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ИТМО\Лабораторные - Физика\"/>
    </mc:Choice>
  </mc:AlternateContent>
  <xr:revisionPtr revIDLastSave="0" documentId="13_ncr:1_{CA0AE36D-141F-4B91-9216-8C5EE4B8A85C}" xr6:coauthVersionLast="45" xr6:coauthVersionMax="45" xr10:uidLastSave="{00000000-0000-0000-0000-000000000000}"/>
  <bookViews>
    <workbookView xWindow="-108" yWindow="-108" windowWidth="23256" windowHeight="12576" xr2:uid="{77E9644A-B090-40D6-8298-52F6941F14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" l="1"/>
  <c r="Q54" i="1"/>
  <c r="R54" i="1"/>
  <c r="S54" i="1"/>
  <c r="T54" i="1"/>
  <c r="O54" i="1"/>
  <c r="C23" i="1" l="1"/>
  <c r="P61" i="1"/>
  <c r="Q61" i="1"/>
  <c r="Q62" i="1" s="1"/>
  <c r="R61" i="1"/>
  <c r="S61" i="1"/>
  <c r="T61" i="1"/>
  <c r="O61" i="1"/>
  <c r="O62" i="1" s="1"/>
  <c r="D65" i="1"/>
  <c r="K15" i="1"/>
  <c r="K16" i="1" s="1"/>
  <c r="K14" i="1"/>
  <c r="K13" i="1"/>
  <c r="P62" i="1"/>
  <c r="R62" i="1"/>
  <c r="S62" i="1"/>
  <c r="T62" i="1"/>
  <c r="AH44" i="1"/>
  <c r="AI44" i="1"/>
  <c r="AJ44" i="1"/>
  <c r="AK44" i="1"/>
  <c r="AL44" i="1"/>
  <c r="AG44" i="1"/>
  <c r="I79" i="1"/>
  <c r="H79" i="1"/>
  <c r="G79" i="1"/>
  <c r="F79" i="1"/>
  <c r="E79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23" i="1" l="1"/>
  <c r="D24" i="1" s="1"/>
  <c r="E23" i="1"/>
  <c r="E24" i="1" s="1"/>
  <c r="F23" i="1"/>
  <c r="F24" i="1" s="1"/>
  <c r="G23" i="1"/>
  <c r="G24" i="1" s="1"/>
  <c r="H23" i="1"/>
  <c r="H24" i="1" s="1"/>
  <c r="C24" i="1"/>
  <c r="C26" i="1" l="1"/>
  <c r="D19" i="1"/>
  <c r="P7" i="1" s="1"/>
  <c r="E19" i="1"/>
  <c r="Q7" i="1" s="1"/>
  <c r="F19" i="1"/>
  <c r="R7" i="1" s="1"/>
  <c r="G19" i="1"/>
  <c r="S7" i="1" s="1"/>
  <c r="H19" i="1"/>
  <c r="T7" i="1" s="1"/>
  <c r="C19" i="1"/>
  <c r="O7" i="1" s="1"/>
  <c r="D15" i="1"/>
  <c r="E15" i="1"/>
  <c r="F15" i="1"/>
  <c r="G15" i="1"/>
  <c r="H15" i="1"/>
  <c r="C15" i="1"/>
  <c r="C7" i="1"/>
  <c r="D11" i="1"/>
  <c r="E11" i="1"/>
  <c r="F11" i="1"/>
  <c r="G11" i="1"/>
  <c r="H11" i="1"/>
  <c r="C11" i="1"/>
  <c r="D7" i="1"/>
  <c r="E7" i="1"/>
  <c r="F7" i="1"/>
  <c r="G7" i="1"/>
  <c r="H7" i="1"/>
  <c r="P5" i="1" l="1"/>
  <c r="E69" i="1"/>
  <c r="E70" i="1"/>
  <c r="E68" i="1"/>
  <c r="T6" i="1"/>
  <c r="I73" i="1"/>
  <c r="I72" i="1"/>
  <c r="I75" i="1" s="1"/>
  <c r="I74" i="1"/>
  <c r="Q4" i="1"/>
  <c r="Q48" i="1"/>
  <c r="Q49" i="1"/>
  <c r="Q50" i="1"/>
  <c r="R4" i="1"/>
  <c r="R50" i="1"/>
  <c r="R49" i="1"/>
  <c r="R48" i="1"/>
  <c r="P4" i="1"/>
  <c r="P49" i="1"/>
  <c r="P50" i="1"/>
  <c r="P48" i="1"/>
  <c r="O5" i="1"/>
  <c r="D69" i="1"/>
  <c r="D70" i="1"/>
  <c r="D68" i="1"/>
  <c r="T5" i="1"/>
  <c r="I69" i="1"/>
  <c r="I68" i="1"/>
  <c r="I70" i="1"/>
  <c r="R6" i="1"/>
  <c r="G73" i="1"/>
  <c r="G74" i="1"/>
  <c r="G72" i="1"/>
  <c r="T4" i="1"/>
  <c r="T16" i="1" s="1"/>
  <c r="T63" i="1" s="1"/>
  <c r="T48" i="1"/>
  <c r="T49" i="1"/>
  <c r="T50" i="1"/>
  <c r="R5" i="1"/>
  <c r="R17" i="1" s="1"/>
  <c r="G69" i="1"/>
  <c r="G70" i="1"/>
  <c r="G68" i="1"/>
  <c r="Q6" i="1"/>
  <c r="F74" i="1"/>
  <c r="F72" i="1"/>
  <c r="F73" i="1"/>
  <c r="O4" i="1"/>
  <c r="O10" i="1" s="1"/>
  <c r="I5" i="1"/>
  <c r="I8" i="1" s="1"/>
  <c r="O49" i="1"/>
  <c r="O50" i="1"/>
  <c r="I6" i="1"/>
  <c r="I9" i="1" s="1"/>
  <c r="O48" i="1"/>
  <c r="I4" i="1"/>
  <c r="I7" i="1" s="1"/>
  <c r="O6" i="1"/>
  <c r="D73" i="1"/>
  <c r="D74" i="1"/>
  <c r="D76" i="1"/>
  <c r="D79" i="1" s="1"/>
  <c r="D72" i="1"/>
  <c r="S6" i="1"/>
  <c r="H73" i="1"/>
  <c r="H74" i="1"/>
  <c r="H72" i="1"/>
  <c r="H75" i="1" s="1"/>
  <c r="S5" i="1"/>
  <c r="S11" i="1" s="1"/>
  <c r="H69" i="1"/>
  <c r="H70" i="1"/>
  <c r="H68" i="1"/>
  <c r="S4" i="1"/>
  <c r="S16" i="1" s="1"/>
  <c r="S63" i="1" s="1"/>
  <c r="S48" i="1"/>
  <c r="S50" i="1"/>
  <c r="S49" i="1"/>
  <c r="Q5" i="1"/>
  <c r="Q17" i="1" s="1"/>
  <c r="F69" i="1"/>
  <c r="F70" i="1"/>
  <c r="F68" i="1"/>
  <c r="F71" i="1" s="1"/>
  <c r="P6" i="1"/>
  <c r="E73" i="1"/>
  <c r="E74" i="1"/>
  <c r="E72" i="1"/>
  <c r="E75" i="1" s="1"/>
  <c r="R10" i="1"/>
  <c r="R16" i="1"/>
  <c r="R63" i="1" s="1"/>
  <c r="P11" i="1"/>
  <c r="P17" i="1"/>
  <c r="Q13" i="1"/>
  <c r="O12" i="1"/>
  <c r="O18" i="1"/>
  <c r="O11" i="1"/>
  <c r="O17" i="1"/>
  <c r="T11" i="1"/>
  <c r="T17" i="1"/>
  <c r="R12" i="1"/>
  <c r="Q12" i="1"/>
  <c r="S13" i="1"/>
  <c r="R13" i="1"/>
  <c r="S12" i="1"/>
  <c r="P13" i="1"/>
  <c r="Q11" i="1"/>
  <c r="P12" i="1"/>
  <c r="O13" i="1"/>
  <c r="P10" i="1"/>
  <c r="P16" i="1"/>
  <c r="P63" i="1" s="1"/>
  <c r="T12" i="1"/>
  <c r="Q10" i="1"/>
  <c r="Q16" i="1"/>
  <c r="Q63" i="1" s="1"/>
  <c r="T13" i="1"/>
  <c r="C28" i="1"/>
  <c r="C30" i="1" s="1"/>
  <c r="T10" i="1"/>
  <c r="S10" i="1"/>
  <c r="S18" i="1"/>
  <c r="H28" i="1"/>
  <c r="H30" i="1" s="1"/>
  <c r="D28" i="1"/>
  <c r="D30" i="1" s="1"/>
  <c r="F28" i="1"/>
  <c r="F30" i="1" s="1"/>
  <c r="E28" i="1"/>
  <c r="E30" i="1" s="1"/>
  <c r="G28" i="1"/>
  <c r="G30" i="1" s="1"/>
  <c r="P18" i="1" l="1"/>
  <c r="Q18" i="1"/>
  <c r="R18" i="1"/>
  <c r="R11" i="1"/>
  <c r="O16" i="1"/>
  <c r="O63" i="1" s="1"/>
  <c r="J19" i="1"/>
  <c r="Q23" i="1"/>
  <c r="Y36" i="1" s="1"/>
  <c r="Y42" i="1" s="1"/>
  <c r="T18" i="1"/>
  <c r="S17" i="1"/>
  <c r="S51" i="1"/>
  <c r="S52" i="1"/>
  <c r="S53" i="1" s="1"/>
  <c r="S55" i="1" s="1"/>
  <c r="S58" i="1" s="1"/>
  <c r="I10" i="1"/>
  <c r="I11" i="1" s="1"/>
  <c r="F75" i="1"/>
  <c r="P51" i="1"/>
  <c r="P52" i="1"/>
  <c r="P53" i="1" s="1"/>
  <c r="P55" i="1" s="1"/>
  <c r="P58" i="1" s="1"/>
  <c r="O52" i="1"/>
  <c r="O53" i="1" s="1"/>
  <c r="O55" i="1" s="1"/>
  <c r="O58" i="1" s="1"/>
  <c r="O51" i="1"/>
  <c r="T52" i="1"/>
  <c r="T53" i="1" s="1"/>
  <c r="T55" i="1" s="1"/>
  <c r="T58" i="1" s="1"/>
  <c r="T51" i="1"/>
  <c r="I71" i="1"/>
  <c r="E71" i="1"/>
  <c r="P23" i="1"/>
  <c r="X35" i="1" s="1"/>
  <c r="X41" i="1" s="1"/>
  <c r="H71" i="1"/>
  <c r="D75" i="1"/>
  <c r="G71" i="1"/>
  <c r="Q51" i="1"/>
  <c r="Q52" i="1"/>
  <c r="Q53" i="1" s="1"/>
  <c r="Q55" i="1" s="1"/>
  <c r="Q58" i="1" s="1"/>
  <c r="G75" i="1"/>
  <c r="D71" i="1"/>
  <c r="R51" i="1"/>
  <c r="R52" i="1"/>
  <c r="R53" i="1" s="1"/>
  <c r="R55" i="1" s="1"/>
  <c r="R58" i="1" s="1"/>
  <c r="R23" i="1"/>
  <c r="Z35" i="1" s="1"/>
  <c r="Z41" i="1" s="1"/>
  <c r="C36" i="1"/>
  <c r="Y37" i="1"/>
  <c r="Y43" i="1" s="1"/>
  <c r="T23" i="1"/>
  <c r="AB34" i="1" s="1"/>
  <c r="AB40" i="1" s="1"/>
  <c r="Y35" i="1"/>
  <c r="Y41" i="1" s="1"/>
  <c r="O23" i="1"/>
  <c r="W34" i="1" s="1"/>
  <c r="W40" i="1" s="1"/>
  <c r="Y34" i="1"/>
  <c r="Y40" i="1" s="1"/>
  <c r="S23" i="1"/>
  <c r="AA34" i="1"/>
  <c r="AA40" i="1" s="1"/>
  <c r="P57" i="1" l="1"/>
  <c r="P56" i="1"/>
  <c r="Q56" i="1"/>
  <c r="Q57" i="1"/>
  <c r="Z34" i="1"/>
  <c r="Z40" i="1" s="1"/>
  <c r="X36" i="1"/>
  <c r="X42" i="1" s="1"/>
  <c r="X34" i="1"/>
  <c r="X40" i="1" s="1"/>
  <c r="S56" i="1"/>
  <c r="S57" i="1"/>
  <c r="T57" i="1"/>
  <c r="T56" i="1"/>
  <c r="R57" i="1"/>
  <c r="R56" i="1"/>
  <c r="X37" i="1"/>
  <c r="X43" i="1" s="1"/>
  <c r="Z37" i="1"/>
  <c r="Z43" i="1" s="1"/>
  <c r="O19" i="1"/>
  <c r="T19" i="1"/>
  <c r="R19" i="1"/>
  <c r="P19" i="1"/>
  <c r="Q19" i="1"/>
  <c r="Q24" i="1" s="1"/>
  <c r="Y30" i="1" s="1"/>
  <c r="Y48" i="1" s="1"/>
  <c r="S19" i="1"/>
  <c r="O57" i="1"/>
  <c r="O56" i="1"/>
  <c r="Z36" i="1"/>
  <c r="Z42" i="1" s="1"/>
  <c r="AB35" i="1"/>
  <c r="AB41" i="1" s="1"/>
  <c r="AB37" i="1"/>
  <c r="AB43" i="1" s="1"/>
  <c r="AB36" i="1"/>
  <c r="AB42" i="1" s="1"/>
  <c r="W37" i="1"/>
  <c r="W43" i="1" s="1"/>
  <c r="W35" i="1"/>
  <c r="W41" i="1" s="1"/>
  <c r="W36" i="1"/>
  <c r="W42" i="1" s="1"/>
  <c r="AA35" i="1"/>
  <c r="AA41" i="1" s="1"/>
  <c r="AA37" i="1"/>
  <c r="AA43" i="1" s="1"/>
  <c r="AA36" i="1"/>
  <c r="AA42" i="1" s="1"/>
  <c r="T59" i="1" l="1"/>
  <c r="T60" i="1"/>
  <c r="Q59" i="1"/>
  <c r="Q60" i="1"/>
  <c r="R59" i="1"/>
  <c r="R60" i="1"/>
  <c r="O59" i="1"/>
  <c r="O60" i="1"/>
  <c r="S59" i="1"/>
  <c r="S60" i="1"/>
  <c r="P59" i="1"/>
  <c r="P60" i="1"/>
  <c r="S24" i="1"/>
  <c r="T24" i="1"/>
  <c r="AB31" i="1" s="1"/>
  <c r="AB49" i="1" s="1"/>
  <c r="Y28" i="1"/>
  <c r="Y46" i="1" s="1"/>
  <c r="Y29" i="1"/>
  <c r="Y47" i="1" s="1"/>
  <c r="R24" i="1"/>
  <c r="O24" i="1"/>
  <c r="W31" i="1" s="1"/>
  <c r="W49" i="1" s="1"/>
  <c r="Y31" i="1"/>
  <c r="Y49" i="1" s="1"/>
  <c r="P24" i="1"/>
  <c r="X31" i="1" s="1"/>
  <c r="X49" i="1" s="1"/>
  <c r="AA28" i="1" l="1"/>
  <c r="AA46" i="1" s="1"/>
  <c r="AA29" i="1"/>
  <c r="AA47" i="1" s="1"/>
  <c r="AA30" i="1"/>
  <c r="AA48" i="1" s="1"/>
  <c r="Z29" i="1"/>
  <c r="Z47" i="1" s="1"/>
  <c r="Z28" i="1"/>
  <c r="Z46" i="1" s="1"/>
  <c r="Z30" i="1"/>
  <c r="Z48" i="1" s="1"/>
  <c r="Z31" i="1"/>
  <c r="Z49" i="1" s="1"/>
  <c r="Q26" i="1"/>
  <c r="X28" i="1"/>
  <c r="X46" i="1" s="1"/>
  <c r="X29" i="1"/>
  <c r="X47" i="1" s="1"/>
  <c r="X30" i="1"/>
  <c r="X48" i="1" s="1"/>
  <c r="AA31" i="1"/>
  <c r="AA49" i="1" s="1"/>
  <c r="W29" i="1"/>
  <c r="W47" i="1" s="1"/>
  <c r="W28" i="1"/>
  <c r="W46" i="1" s="1"/>
  <c r="W30" i="1"/>
  <c r="W48" i="1" s="1"/>
  <c r="AB29" i="1"/>
  <c r="AB47" i="1" s="1"/>
  <c r="AB28" i="1"/>
  <c r="AB46" i="1" s="1"/>
  <c r="AB30" i="1"/>
  <c r="AB48" i="1" s="1"/>
  <c r="T26" i="1" l="1"/>
  <c r="T27" i="1" s="1"/>
  <c r="H25" i="1" s="1"/>
  <c r="P26" i="1"/>
  <c r="P27" i="1" s="1"/>
  <c r="D25" i="1" s="1"/>
  <c r="R26" i="1"/>
  <c r="O26" i="1"/>
  <c r="Q27" i="1"/>
  <c r="E25" i="1" s="1"/>
  <c r="Q25" i="1"/>
  <c r="S26" i="1"/>
  <c r="T25" i="1" l="1"/>
  <c r="AL35" i="1" s="1"/>
  <c r="T40" i="1" s="1"/>
  <c r="P25" i="1"/>
  <c r="AH35" i="1" s="1"/>
  <c r="P40" i="1" s="1"/>
  <c r="O27" i="1"/>
  <c r="C25" i="1" s="1"/>
  <c r="O25" i="1"/>
  <c r="S27" i="1"/>
  <c r="G25" i="1" s="1"/>
  <c r="S25" i="1"/>
  <c r="R27" i="1"/>
  <c r="F25" i="1" s="1"/>
  <c r="R25" i="1"/>
  <c r="Q28" i="1"/>
  <c r="AI36" i="1"/>
  <c r="Q41" i="1" s="1"/>
  <c r="AI35" i="1"/>
  <c r="Q40" i="1" s="1"/>
  <c r="AI37" i="1"/>
  <c r="Q42" i="1" s="1"/>
  <c r="AI38" i="1"/>
  <c r="Q43" i="1" s="1"/>
  <c r="AI45" i="1" l="1"/>
  <c r="P28" i="1"/>
  <c r="AH38" i="1"/>
  <c r="P43" i="1" s="1"/>
  <c r="AH37" i="1"/>
  <c r="P42" i="1" s="1"/>
  <c r="AL36" i="1"/>
  <c r="T41" i="1" s="1"/>
  <c r="AH36" i="1"/>
  <c r="P41" i="1" s="1"/>
  <c r="AH45" i="1" s="1"/>
  <c r="T28" i="1"/>
  <c r="AL38" i="1"/>
  <c r="T43" i="1" s="1"/>
  <c r="AL45" i="1" s="1"/>
  <c r="AL37" i="1"/>
  <c r="T42" i="1" s="1"/>
  <c r="O28" i="1"/>
  <c r="AG35" i="1"/>
  <c r="O40" i="1" s="1"/>
  <c r="AG36" i="1"/>
  <c r="O41" i="1" s="1"/>
  <c r="AG37" i="1"/>
  <c r="O42" i="1" s="1"/>
  <c r="AG38" i="1"/>
  <c r="O43" i="1" s="1"/>
  <c r="S28" i="1"/>
  <c r="AK36" i="1"/>
  <c r="S41" i="1" s="1"/>
  <c r="AK35" i="1"/>
  <c r="S40" i="1" s="1"/>
  <c r="AK37" i="1"/>
  <c r="S42" i="1" s="1"/>
  <c r="AK38" i="1"/>
  <c r="S43" i="1" s="1"/>
  <c r="C27" i="1"/>
  <c r="F29" i="1" s="1"/>
  <c r="F31" i="1" s="1"/>
  <c r="R28" i="1"/>
  <c r="AJ36" i="1"/>
  <c r="R41" i="1" s="1"/>
  <c r="AJ35" i="1"/>
  <c r="R40" i="1" s="1"/>
  <c r="AJ37" i="1"/>
  <c r="R42" i="1" s="1"/>
  <c r="AJ38" i="1"/>
  <c r="R43" i="1" s="1"/>
  <c r="AL31" i="1" l="1"/>
  <c r="AL41" i="1" s="1"/>
  <c r="AL43" i="1" s="1"/>
  <c r="AL32" i="1"/>
  <c r="AL40" i="1" s="1"/>
  <c r="AL42" i="1" s="1"/>
  <c r="AH32" i="1"/>
  <c r="AH40" i="1" s="1"/>
  <c r="AH42" i="1" s="1"/>
  <c r="AH31" i="1"/>
  <c r="AH41" i="1" s="1"/>
  <c r="AH43" i="1" s="1"/>
  <c r="AI31" i="1"/>
  <c r="AI41" i="1" s="1"/>
  <c r="AI43" i="1" s="1"/>
  <c r="AI32" i="1"/>
  <c r="AI40" i="1" s="1"/>
  <c r="AI42" i="1" s="1"/>
  <c r="AJ45" i="1"/>
  <c r="AG45" i="1"/>
  <c r="AK45" i="1"/>
  <c r="H29" i="1"/>
  <c r="H31" i="1" s="1"/>
  <c r="D29" i="1"/>
  <c r="D31" i="1" s="1"/>
  <c r="E29" i="1"/>
  <c r="E31" i="1" s="1"/>
  <c r="C29" i="1"/>
  <c r="C31" i="1" s="1"/>
  <c r="G29" i="1"/>
  <c r="G31" i="1" s="1"/>
  <c r="AJ31" i="1" l="1"/>
  <c r="AJ41" i="1" s="1"/>
  <c r="AJ43" i="1" s="1"/>
  <c r="AJ32" i="1"/>
  <c r="AJ40" i="1" s="1"/>
  <c r="AJ42" i="1" s="1"/>
  <c r="AG31" i="1"/>
  <c r="AG41" i="1" s="1"/>
  <c r="AG43" i="1" s="1"/>
  <c r="AG32" i="1"/>
  <c r="AG40" i="1" s="1"/>
  <c r="AG42" i="1" s="1"/>
  <c r="AK31" i="1"/>
  <c r="AK41" i="1" s="1"/>
  <c r="AK43" i="1" s="1"/>
  <c r="AK32" i="1"/>
  <c r="AK40" i="1" s="1"/>
  <c r="AK42" i="1" s="1"/>
  <c r="C33" i="1"/>
  <c r="C32" i="1" s="1"/>
  <c r="F34" i="1" s="1"/>
  <c r="F35" i="1" s="1"/>
  <c r="C34" i="1" l="1"/>
  <c r="C35" i="1" s="1"/>
  <c r="G34" i="1"/>
  <c r="G35" i="1" s="1"/>
  <c r="E34" i="1"/>
  <c r="E35" i="1" s="1"/>
  <c r="H34" i="1"/>
  <c r="H35" i="1" s="1"/>
  <c r="D34" i="1"/>
  <c r="D35" i="1" s="1"/>
  <c r="F36" i="1" l="1"/>
  <c r="F33" i="1" l="1"/>
  <c r="F32" i="1"/>
</calcChain>
</file>

<file path=xl/sharedStrings.xml><?xml version="1.0" encoding="utf-8"?>
<sst xmlns="http://schemas.openxmlformats.org/spreadsheetml/2006/main" count="125" uniqueCount="112">
  <si>
    <t>m</t>
  </si>
  <si>
    <t>m1</t>
  </si>
  <si>
    <t>m3</t>
  </si>
  <si>
    <t>m4</t>
  </si>
  <si>
    <t>m2</t>
  </si>
  <si>
    <t>Положение утяжелителей</t>
  </si>
  <si>
    <t>m каретки</t>
  </si>
  <si>
    <t>m шайбы</t>
  </si>
  <si>
    <t>m груза</t>
  </si>
  <si>
    <t>d до 1 риски</t>
  </si>
  <si>
    <t>d между рисками</t>
  </si>
  <si>
    <t>d ступицы</t>
  </si>
  <si>
    <t>d груза</t>
  </si>
  <si>
    <t>h груза</t>
  </si>
  <si>
    <t>h</t>
  </si>
  <si>
    <t>СИ</t>
  </si>
  <si>
    <t>Параметр</t>
  </si>
  <si>
    <t>g</t>
  </si>
  <si>
    <t>R</t>
  </si>
  <si>
    <t>R*R</t>
  </si>
  <si>
    <t>I</t>
  </si>
  <si>
    <t>M1-Мср</t>
  </si>
  <si>
    <t>M2-Мср</t>
  </si>
  <si>
    <t>M3-Мср</t>
  </si>
  <si>
    <t>M4-Мср</t>
  </si>
  <si>
    <t>E1-Eср</t>
  </si>
  <si>
    <t>E2-Eср</t>
  </si>
  <si>
    <t>E3-Eср</t>
  </si>
  <si>
    <t>E4-Eср</t>
  </si>
  <si>
    <t>E1-Eср*M1-Mcp</t>
  </si>
  <si>
    <t>E2-Eср*M2-Mcp</t>
  </si>
  <si>
    <t>E3-Eср*M3-Mcp</t>
  </si>
  <si>
    <t>E4-Eср*M4-Mcp</t>
  </si>
  <si>
    <t>(Е1-Еср)^2</t>
  </si>
  <si>
    <t>(Е2-Еср)^2</t>
  </si>
  <si>
    <t>(Е3-Еср)^2</t>
  </si>
  <si>
    <t>(Е4-Еср)^2</t>
  </si>
  <si>
    <t>xy</t>
  </si>
  <si>
    <t>d1</t>
  </si>
  <si>
    <t>d2</t>
  </si>
  <si>
    <t>d3</t>
  </si>
  <si>
    <t>d4</t>
  </si>
  <si>
    <t>d</t>
  </si>
  <si>
    <t>x^2(D)</t>
  </si>
  <si>
    <t>d^2</t>
  </si>
  <si>
    <t>d1^2</t>
  </si>
  <si>
    <t>d2^2</t>
  </si>
  <si>
    <t>d3^2</t>
  </si>
  <si>
    <t>d4^2</t>
  </si>
  <si>
    <t>Sa^2</t>
  </si>
  <si>
    <t>Sb^2</t>
  </si>
  <si>
    <t>delta y</t>
  </si>
  <si>
    <t>delta x</t>
  </si>
  <si>
    <t>ДОБАВИТЬ ГРАФИКИ I(Mtp)</t>
  </si>
  <si>
    <t>R*Rср</t>
  </si>
  <si>
    <t>Iср</t>
  </si>
  <si>
    <t>R*R-R*Rcp</t>
  </si>
  <si>
    <t>I-Icp</t>
  </si>
  <si>
    <t>deltax^2</t>
  </si>
  <si>
    <t>delxdely</t>
  </si>
  <si>
    <t>I0</t>
  </si>
  <si>
    <t>СКО для B</t>
  </si>
  <si>
    <t>СКО для А</t>
  </si>
  <si>
    <t>Таблица 2</t>
  </si>
  <si>
    <t>a1, м/c^2</t>
  </si>
  <si>
    <t>a2, м/c^2</t>
  </si>
  <si>
    <t>a3, м/c^2</t>
  </si>
  <si>
    <t>a4, м/c^2</t>
  </si>
  <si>
    <t>M1, Н·м</t>
  </si>
  <si>
    <t>M2, Н·м</t>
  </si>
  <si>
    <t>M4, Н·м</t>
  </si>
  <si>
    <t>M3, Н·м</t>
  </si>
  <si>
    <t>e1, рад/c^2</t>
  </si>
  <si>
    <t>e2, рад/c^2</t>
  </si>
  <si>
    <t>e3, рад/c^2</t>
  </si>
  <si>
    <t>e4, рад/c^2</t>
  </si>
  <si>
    <t>Еср(x), рад/c^2</t>
  </si>
  <si>
    <t>Мср(y), Н·м</t>
  </si>
  <si>
    <t>Mtp, Н·м</t>
  </si>
  <si>
    <t>I, кг·м²</t>
  </si>
  <si>
    <t>B, кг·м²</t>
  </si>
  <si>
    <t>A, Н·м</t>
  </si>
  <si>
    <t>B=4Мут</t>
  </si>
  <si>
    <t>D</t>
  </si>
  <si>
    <t>di</t>
  </si>
  <si>
    <t>Temp</t>
  </si>
  <si>
    <t>Таблица 3</t>
  </si>
  <si>
    <t>Погр(+-)</t>
  </si>
  <si>
    <t>ДЕЛЬТА</t>
  </si>
  <si>
    <t>eps(a1), %</t>
  </si>
  <si>
    <t>delta a1, m/c^2</t>
  </si>
  <si>
    <t>eps(e1), долей</t>
  </si>
  <si>
    <t>eps(a1), долей</t>
  </si>
  <si>
    <t>delta e1, рад/c^2</t>
  </si>
  <si>
    <t>eps(M1), долей</t>
  </si>
  <si>
    <t>delta M1, Н*м</t>
  </si>
  <si>
    <t>delta(t^2), c^2</t>
  </si>
  <si>
    <t>delta t</t>
  </si>
  <si>
    <t>eps(t1^2), долей</t>
  </si>
  <si>
    <t>eps(e1), %</t>
  </si>
  <si>
    <t>eps(M1), %</t>
  </si>
  <si>
    <t>e(A)</t>
  </si>
  <si>
    <t>e(B)</t>
  </si>
  <si>
    <t>delta A</t>
  </si>
  <si>
    <t>delta B</t>
  </si>
  <si>
    <t>Временная</t>
  </si>
  <si>
    <t>delta t1</t>
  </si>
  <si>
    <t>delta t2</t>
  </si>
  <si>
    <t>delta t3</t>
  </si>
  <si>
    <t>eps t, долей</t>
  </si>
  <si>
    <t>Величина, ед.изм.</t>
  </si>
  <si>
    <t>Таблица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</si>
</sst>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E+00"/>
    <numFmt numFmtId="166" formatCode="0.0000"/>
    <numFmt numFmtId="167" formatCode="0.00000"/>
    <numFmt numFmtId="168" formatCode="0.000000"/>
    <numFmt numFmtId="169" formatCode="0.0000000"/>
    <numFmt numFmtId="170" formatCode="0.00000000"/>
  </numFmts>
  <fonts count="5" x14ac:knownFonts="1">
    <font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2" borderId="1" xfId="0" applyFill="1" applyBorder="1"/>
    <xf numFmtId="2" fontId="0" fillId="0" borderId="0" xfId="0" applyNumberFormat="1" applyFill="1" applyBorder="1"/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5" xfId="0" applyNumberFormat="1" applyFill="1" applyBorder="1"/>
    <xf numFmtId="2" fontId="0" fillId="3" borderId="6" xfId="0" applyNumberFormat="1" applyFill="1" applyBorder="1"/>
    <xf numFmtId="164" fontId="0" fillId="0" borderId="1" xfId="0" applyNumberFormat="1" applyBorder="1"/>
    <xf numFmtId="165" fontId="0" fillId="4" borderId="1" xfId="0" applyNumberFormat="1" applyFill="1" applyBorder="1"/>
    <xf numFmtId="164" fontId="0" fillId="5" borderId="1" xfId="0" applyNumberFormat="1" applyFill="1" applyBorder="1"/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14" xfId="0" applyFill="1" applyBorder="1"/>
    <xf numFmtId="2" fontId="0" fillId="6" borderId="1" xfId="0" applyNumberFormat="1" applyFill="1" applyBorder="1"/>
    <xf numFmtId="0" fontId="0" fillId="2" borderId="17" xfId="0" applyFill="1" applyBorder="1"/>
    <xf numFmtId="164" fontId="0" fillId="0" borderId="17" xfId="0" applyNumberForma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0" borderId="19" xfId="0" applyBorder="1"/>
    <xf numFmtId="0" fontId="0" fillId="0" borderId="13" xfId="0" applyBorder="1"/>
    <xf numFmtId="2" fontId="0" fillId="3" borderId="20" xfId="0" applyNumberFormat="1" applyFill="1" applyBorder="1"/>
    <xf numFmtId="2" fontId="0" fillId="0" borderId="19" xfId="0" applyNumberFormat="1" applyBorder="1"/>
    <xf numFmtId="2" fontId="0" fillId="0" borderId="13" xfId="0" applyNumberFormat="1" applyBorder="1"/>
    <xf numFmtId="0" fontId="0" fillId="2" borderId="14" xfId="0" applyFill="1" applyBorder="1" applyAlignment="1">
      <alignment horizontal="center" vertical="center"/>
    </xf>
    <xf numFmtId="2" fontId="0" fillId="3" borderId="21" xfId="0" applyNumberFormat="1" applyFill="1" applyBorder="1"/>
    <xf numFmtId="2" fontId="0" fillId="3" borderId="22" xfId="0" applyNumberFormat="1" applyFill="1" applyBorder="1"/>
    <xf numFmtId="0" fontId="0" fillId="2" borderId="8" xfId="0" applyFill="1" applyBorder="1"/>
    <xf numFmtId="0" fontId="0" fillId="2" borderId="9" xfId="0" applyFill="1" applyBorder="1"/>
    <xf numFmtId="2" fontId="0" fillId="6" borderId="11" xfId="0" applyNumberFormat="1" applyFill="1" applyBorder="1"/>
    <xf numFmtId="166" fontId="0" fillId="0" borderId="11" xfId="0" applyNumberFormat="1" applyBorder="1"/>
    <xf numFmtId="167" fontId="0" fillId="0" borderId="11" xfId="0" applyNumberFormat="1" applyBorder="1"/>
    <xf numFmtId="0" fontId="0" fillId="5" borderId="10" xfId="0" applyFill="1" applyBorder="1"/>
    <xf numFmtId="0" fontId="0" fillId="5" borderId="14" xfId="0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2" fontId="0" fillId="3" borderId="0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2" borderId="27" xfId="0" applyFill="1" applyBorder="1"/>
    <xf numFmtId="164" fontId="0" fillId="0" borderId="11" xfId="0" applyNumberFormat="1" applyBorder="1"/>
    <xf numFmtId="0" fontId="0" fillId="2" borderId="28" xfId="0" applyFill="1" applyBorder="1"/>
    <xf numFmtId="0" fontId="0" fillId="7" borderId="9" xfId="0" applyFill="1" applyBorder="1"/>
    <xf numFmtId="0" fontId="0" fillId="7" borderId="16" xfId="0" applyFill="1" applyBorder="1"/>
    <xf numFmtId="168" fontId="0" fillId="0" borderId="18" xfId="0" applyNumberFormat="1" applyBorder="1"/>
    <xf numFmtId="0" fontId="0" fillId="2" borderId="29" xfId="0" applyFill="1" applyBorder="1"/>
    <xf numFmtId="0" fontId="0" fillId="0" borderId="25" xfId="0" applyBorder="1"/>
    <xf numFmtId="0" fontId="0" fillId="2" borderId="23" xfId="0" applyFill="1" applyBorder="1"/>
    <xf numFmtId="166" fontId="0" fillId="0" borderId="17" xfId="0" applyNumberFormat="1" applyBorder="1" applyAlignment="1">
      <alignment horizontal="left" indent="5"/>
    </xf>
    <xf numFmtId="2" fontId="0" fillId="0" borderId="1" xfId="0" applyNumberFormat="1" applyBorder="1"/>
    <xf numFmtId="169" fontId="0" fillId="0" borderId="1" xfId="0" applyNumberFormat="1" applyBorder="1"/>
    <xf numFmtId="2" fontId="0" fillId="5" borderId="1" xfId="0" applyNumberFormat="1" applyFill="1" applyBorder="1"/>
    <xf numFmtId="2" fontId="0" fillId="5" borderId="11" xfId="0" applyNumberFormat="1" applyFill="1" applyBorder="1"/>
    <xf numFmtId="2" fontId="0" fillId="5" borderId="15" xfId="0" applyNumberFormat="1" applyFill="1" applyBorder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7" fontId="0" fillId="0" borderId="17" xfId="0" applyNumberFormat="1" applyBorder="1"/>
    <xf numFmtId="168" fontId="0" fillId="0" borderId="15" xfId="0" applyNumberFormat="1" applyBorder="1"/>
    <xf numFmtId="168" fontId="0" fillId="0" borderId="16" xfId="0" applyNumberFormat="1" applyBorder="1"/>
    <xf numFmtId="169" fontId="0" fillId="0" borderId="15" xfId="0" applyNumberFormat="1" applyBorder="1"/>
    <xf numFmtId="170" fontId="0" fillId="0" borderId="15" xfId="0" applyNumberFormat="1" applyBorder="1"/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/>
    <xf numFmtId="0" fontId="0" fillId="0" borderId="0" xfId="0" applyFill="1" applyBorder="1"/>
    <xf numFmtId="0" fontId="0" fillId="2" borderId="3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0" fontId="0" fillId="2" borderId="35" xfId="0" applyFill="1" applyBorder="1"/>
    <xf numFmtId="0" fontId="0" fillId="0" borderId="31" xfId="0" applyBorder="1"/>
    <xf numFmtId="2" fontId="0" fillId="0" borderId="31" xfId="0" applyNumberFormat="1" applyFill="1" applyBorder="1"/>
    <xf numFmtId="0" fontId="0" fillId="0" borderId="31" xfId="0" applyFill="1" applyBorder="1"/>
    <xf numFmtId="0" fontId="0" fillId="4" borderId="31" xfId="0" applyFill="1" applyBorder="1"/>
    <xf numFmtId="0" fontId="0" fillId="4" borderId="32" xfId="0" applyFill="1" applyBorder="1"/>
    <xf numFmtId="164" fontId="0" fillId="3" borderId="0" xfId="0" applyNumberFormat="1" applyFill="1" applyBorder="1"/>
    <xf numFmtId="164" fontId="0" fillId="0" borderId="0" xfId="0" applyNumberFormat="1"/>
    <xf numFmtId="0" fontId="0" fillId="4" borderId="2" xfId="0" applyFill="1" applyBorder="1"/>
    <xf numFmtId="2" fontId="0" fillId="4" borderId="5" xfId="0" applyNumberFormat="1" applyFill="1" applyBorder="1"/>
    <xf numFmtId="2" fontId="0" fillId="4" borderId="2" xfId="0" applyNumberFormat="1" applyFill="1" applyBorder="1"/>
    <xf numFmtId="2" fontId="0" fillId="4" borderId="13" xfId="0" applyNumberFormat="1" applyFill="1" applyBorder="1"/>
    <xf numFmtId="2" fontId="0" fillId="4" borderId="21" xfId="0" applyNumberFormat="1" applyFill="1" applyBorder="1"/>
    <xf numFmtId="2" fontId="0" fillId="4" borderId="22" xfId="0" applyNumberFormat="1" applyFill="1" applyBorder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5" fontId="0" fillId="0" borderId="1" xfId="0" applyNumberFormat="1" applyBorder="1"/>
    <xf numFmtId="164" fontId="0" fillId="3" borderId="1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0" fillId="2" borderId="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M(E</a:t>
            </a:r>
            <a:r>
              <a:rPr lang="ru-RU"/>
              <a:t>)</a:t>
            </a:r>
          </a:p>
        </c:rich>
      </c:tx>
      <c:layout>
        <c:manualLayout>
          <c:xMode val="edge"/>
          <c:yMode val="edge"/>
          <c:x val="0.35877241601783016"/>
          <c:y val="4.79203067916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положение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A3-45A8-9626-D50A8F0F506E}"/>
              </c:ext>
            </c:extLst>
          </c:dPt>
          <c:xVal>
            <c:numRef>
              <c:f>Лист1!$O$10:$O$13</c:f>
              <c:numCache>
                <c:formatCode>0.00</c:formatCode>
                <c:ptCount val="4"/>
                <c:pt idx="0">
                  <c:v>3.1298463714908551</c:v>
                </c:pt>
                <c:pt idx="1">
                  <c:v>5.4346963436743252</c:v>
                </c:pt>
                <c:pt idx="2">
                  <c:v>7.7271354674782042</c:v>
                </c:pt>
                <c:pt idx="3">
                  <c:v>10.836861118658213</c:v>
                </c:pt>
              </c:numCache>
            </c:numRef>
          </c:xVal>
          <c:yVal>
            <c:numRef>
              <c:f>Лист1!$O$16:$O$19</c:f>
              <c:numCache>
                <c:formatCode>0.00</c:formatCode>
                <c:ptCount val="4"/>
                <c:pt idx="0">
                  <c:v>5.9739731108951526E-2</c:v>
                </c:pt>
                <c:pt idx="1">
                  <c:v>0.10836969722385359</c:v>
                </c:pt>
                <c:pt idx="2">
                  <c:v>0.15646782815375673</c:v>
                </c:pt>
                <c:pt idx="3">
                  <c:v>0.20363158753404903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7-448C-AA14-7E942CD50A6B}"/>
            </c:ext>
          </c:extLst>
        </c:ser>
        <c:ser>
          <c:idx val="1"/>
          <c:order val="1"/>
          <c:tx>
            <c:v>2 положение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Лист1!$P$10:$P$13</c:f>
              <c:numCache>
                <c:formatCode>0.00</c:formatCode>
                <c:ptCount val="4"/>
                <c:pt idx="0">
                  <c:v>2.1560859770426806</c:v>
                </c:pt>
                <c:pt idx="1">
                  <c:v>3.9078627687617113</c:v>
                </c:pt>
                <c:pt idx="2">
                  <c:v>5.478260869565216</c:v>
                </c:pt>
                <c:pt idx="3">
                  <c:v>7.4590078678917342</c:v>
                </c:pt>
              </c:numCache>
            </c:numRef>
          </c:xVal>
          <c:yVal>
            <c:numRef>
              <c:f>Лист1!$P$16:$P$19</c:f>
              <c:numCache>
                <c:formatCode>0.00</c:formatCode>
                <c:ptCount val="4"/>
                <c:pt idx="0">
                  <c:v>5.9877267948344574E-2</c:v>
                </c:pt>
                <c:pt idx="1">
                  <c:v>0.10876304466992329</c:v>
                </c:pt>
                <c:pt idx="2">
                  <c:v>0.15730891399999999</c:v>
                </c:pt>
                <c:pt idx="3">
                  <c:v>0.20528802934471965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7-448C-AA14-7E942CD50A6B}"/>
            </c:ext>
          </c:extLst>
        </c:ser>
        <c:ser>
          <c:idx val="2"/>
          <c:order val="2"/>
          <c:tx>
            <c:v>3 положение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Лист1!$Q$10:$Q$13</c:f>
              <c:numCache>
                <c:formatCode>0.00</c:formatCode>
                <c:ptCount val="4"/>
                <c:pt idx="0">
                  <c:v>1.5903282195109338</c:v>
                </c:pt>
                <c:pt idx="1">
                  <c:v>2.9531703127069848</c:v>
                </c:pt>
                <c:pt idx="2">
                  <c:v>4.0572377063443472</c:v>
                </c:pt>
                <c:pt idx="3">
                  <c:v>5.6121441811507502</c:v>
                </c:pt>
              </c:numCache>
            </c:numRef>
          </c:xVal>
          <c:yVal>
            <c:numRef>
              <c:f>Лист1!$Q$16:$Q$19</c:f>
              <c:numCache>
                <c:formatCode>0.00</c:formatCode>
                <c:ptCount val="4"/>
                <c:pt idx="0">
                  <c:v>5.9957177271291635E-2</c:v>
                </c:pt>
                <c:pt idx="1">
                  <c:v>0.10900899540452948</c:v>
                </c:pt>
                <c:pt idx="2">
                  <c:v>0.15784038092611408</c:v>
                </c:pt>
                <c:pt idx="3">
                  <c:v>0.20619369990001474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7-448C-AA14-7E942CD50A6B}"/>
            </c:ext>
          </c:extLst>
        </c:ser>
        <c:ser>
          <c:idx val="3"/>
          <c:order val="3"/>
          <c:tx>
            <c:v>4 положение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Лист1!$R$10:$R$13</c:f>
              <c:numCache>
                <c:formatCode>0.00</c:formatCode>
                <c:ptCount val="4"/>
                <c:pt idx="0">
                  <c:v>1.2281598095580313</c:v>
                </c:pt>
                <c:pt idx="1">
                  <c:v>2.2253422934091556</c:v>
                </c:pt>
                <c:pt idx="2">
                  <c:v>3.1488583027008983</c:v>
                </c:pt>
                <c:pt idx="3">
                  <c:v>4.2079582308714985</c:v>
                </c:pt>
              </c:numCache>
            </c:numRef>
          </c:xVal>
          <c:yVal>
            <c:numRef>
              <c:f>Лист1!$Q$16:$Q$19</c:f>
              <c:numCache>
                <c:formatCode>0.00</c:formatCode>
                <c:ptCount val="4"/>
                <c:pt idx="0">
                  <c:v>5.9957177271291635E-2</c:v>
                </c:pt>
                <c:pt idx="1">
                  <c:v>0.10900899540452948</c:v>
                </c:pt>
                <c:pt idx="2">
                  <c:v>0.15784038092611408</c:v>
                </c:pt>
                <c:pt idx="3">
                  <c:v>0.20619369990001474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7-448C-AA14-7E942CD50A6B}"/>
            </c:ext>
          </c:extLst>
        </c:ser>
        <c:ser>
          <c:idx val="4"/>
          <c:order val="4"/>
          <c:tx>
            <c:v>5 положение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Лист1!$S$10:$S$13</c:f>
              <c:numCache>
                <c:formatCode>0.00</c:formatCode>
                <c:ptCount val="4"/>
                <c:pt idx="0">
                  <c:v>0.97696569219042784</c:v>
                </c:pt>
                <c:pt idx="1">
                  <c:v>1.6611583008976791</c:v>
                </c:pt>
                <c:pt idx="2">
                  <c:v>2.4675739244021528</c:v>
                </c:pt>
                <c:pt idx="3">
                  <c:v>3.1251202923287131</c:v>
                </c:pt>
              </c:numCache>
            </c:numRef>
          </c:xVal>
          <c:yVal>
            <c:numRef>
              <c:f>Лист1!$S$16:$S$19</c:f>
              <c:numCache>
                <c:formatCode>0.00</c:formatCode>
                <c:ptCount val="4"/>
                <c:pt idx="0">
                  <c:v>6.0043810434737957E-2</c:v>
                </c:pt>
                <c:pt idx="1">
                  <c:v>0.10934184741504784</c:v>
                </c:pt>
                <c:pt idx="2">
                  <c:v>0.15843491994955181</c:v>
                </c:pt>
                <c:pt idx="3">
                  <c:v>0.20741329413568699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7-448C-AA14-7E942CD50A6B}"/>
            </c:ext>
          </c:extLst>
        </c:ser>
        <c:ser>
          <c:idx val="5"/>
          <c:order val="5"/>
          <c:tx>
            <c:v>6 положение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Лист1!$T$10:$T$13</c:f>
              <c:numCache>
                <c:formatCode>0.00</c:formatCode>
                <c:ptCount val="4"/>
                <c:pt idx="0">
                  <c:v>0.69577268615989074</c:v>
                </c:pt>
                <c:pt idx="1">
                  <c:v>1.3280757974597135</c:v>
                </c:pt>
                <c:pt idx="2">
                  <c:v>1.9203633546937178</c:v>
                </c:pt>
                <c:pt idx="3">
                  <c:v>2.5490289534892847</c:v>
                </c:pt>
              </c:numCache>
            </c:numRef>
          </c:xVal>
          <c:yVal>
            <c:numRef>
              <c:f>Лист1!$T$16:$T$19</c:f>
              <c:numCache>
                <c:formatCode>0.00</c:formatCode>
                <c:ptCount val="4"/>
                <c:pt idx="0">
                  <c:v>6.0083526978488733E-2</c:v>
                </c:pt>
                <c:pt idx="1">
                  <c:v>0.10942765712883104</c:v>
                </c:pt>
                <c:pt idx="2">
                  <c:v>0.15863957834425446</c:v>
                </c:pt>
                <c:pt idx="3">
                  <c:v>0.2076957995347011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7-448C-AA14-7E942CD5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43104"/>
        <c:axId val="1781091088"/>
      </c:scatterChart>
      <c:valAx>
        <c:axId val="17919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</a:t>
                </a:r>
                <a:r>
                  <a:rPr lang="ru-RU"/>
                  <a:t>рад</a:t>
                </a:r>
                <a:r>
                  <a:rPr lang="en-US"/>
                  <a:t>/c^2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091088"/>
        <c:crosses val="autoZero"/>
        <c:crossBetween val="midCat"/>
      </c:valAx>
      <c:valAx>
        <c:axId val="17810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9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I(R^2)</a:t>
            </a:r>
            <a:endParaRPr lang="ru-RU"/>
          </a:p>
        </c:rich>
      </c:tx>
      <c:layout>
        <c:manualLayout>
          <c:xMode val="edge"/>
          <c:yMode val="edge"/>
          <c:x val="0.35877241601783016"/>
          <c:y val="4.79203067916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88129272719689"/>
          <c:y val="0.1542447130493767"/>
          <c:w val="0.66538062674801346"/>
          <c:h val="0.73306621858102483"/>
        </c:manualLayout>
      </c:layout>
      <c:scatterChart>
        <c:scatterStyle val="lineMarker"/>
        <c:varyColors val="0"/>
        <c:ser>
          <c:idx val="0"/>
          <c:order val="0"/>
          <c:tx>
            <c:v>I(R*R)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Лист1!$C$24:$H$24</c:f>
              <c:numCache>
                <c:formatCode>0.000</c:formatCode>
                <c:ptCount val="6"/>
                <c:pt idx="0">
                  <c:v>9.4090000000000007E-3</c:v>
                </c:pt>
                <c:pt idx="1">
                  <c:v>1.4884E-2</c:v>
                </c:pt>
                <c:pt idx="2">
                  <c:v>2.1609000000000007E-2</c:v>
                </c:pt>
                <c:pt idx="3">
                  <c:v>2.9584000000000006E-2</c:v>
                </c:pt>
                <c:pt idx="4">
                  <c:v>3.8809000000000003E-2</c:v>
                </c:pt>
                <c:pt idx="5">
                  <c:v>4.9284000000000001E-2</c:v>
                </c:pt>
              </c:numCache>
            </c:numRef>
          </c:xVal>
          <c:yVal>
            <c:numRef>
              <c:f>Лист1!$C$25:$H$25</c:f>
              <c:numCache>
                <c:formatCode>0.000</c:formatCode>
                <c:ptCount val="6"/>
                <c:pt idx="0">
                  <c:v>1.87550002764829E-2</c:v>
                </c:pt>
                <c:pt idx="1">
                  <c:v>2.7675331352482666E-2</c:v>
                </c:pt>
                <c:pt idx="2">
                  <c:v>3.6869240943607565E-2</c:v>
                </c:pt>
                <c:pt idx="3">
                  <c:v>4.9607255828937512E-2</c:v>
                </c:pt>
                <c:pt idx="4" formatCode="0.00">
                  <c:v>6.7644938125523718E-2</c:v>
                </c:pt>
                <c:pt idx="5" formatCode="0.00">
                  <c:v>7.9968802204291506E-2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85-445A-AE7B-6B0E8D95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43104"/>
        <c:axId val="1781091088"/>
      </c:scatterChart>
      <c:valAx>
        <c:axId val="17919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R^2,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091088"/>
        <c:crosses val="autoZero"/>
        <c:crossBetween val="midCat"/>
      </c:valAx>
      <c:valAx>
        <c:axId val="17810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9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2</xdr:row>
      <xdr:rowOff>3810</xdr:rowOff>
    </xdr:from>
    <xdr:to>
      <xdr:col>31</xdr:col>
      <xdr:colOff>0</xdr:colOff>
      <xdr:row>24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47BF715-9CF6-47BD-85B1-67C59985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591415</xdr:colOff>
      <xdr:row>38</xdr:row>
      <xdr:rowOff>155922</xdr:rowOff>
    </xdr:from>
    <xdr:to>
      <xdr:col>9</xdr:col>
      <xdr:colOff>215537</xdr:colOff>
      <xdr:row>59</xdr:row>
      <xdr:rowOff>146957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6A20AD3-623C-4C4D-8CFB-25F7CC04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ABDE-9F43-49B6-9C3F-52448B5DBAFA}">
  <dimension ref="B1:AL79"/>
  <sheetViews>
    <sheetView tabSelected="1" topLeftCell="A40" zoomScale="85" zoomScaleNormal="85" workbookViewId="0">
      <selection activeCell="Y65" sqref="Y65"/>
    </sheetView>
  </sheetViews>
  <sheetFormatPr defaultRowHeight="14.4" x14ac:dyDescent="0.3"/>
  <cols>
    <col min="3" max="5" width="12" bestFit="1" customWidth="1"/>
    <col min="6" max="6" width="13.6640625" customWidth="1"/>
    <col min="7" max="7" width="12" bestFit="1" customWidth="1"/>
    <col min="8" max="8" width="11" bestFit="1" customWidth="1"/>
    <col min="10" max="10" width="15.44140625" customWidth="1"/>
    <col min="13" max="13" width="5.44140625" customWidth="1"/>
    <col min="14" max="14" width="16.77734375" customWidth="1"/>
    <col min="15" max="15" width="7.44140625" customWidth="1"/>
    <col min="16" max="16" width="8.88671875" customWidth="1"/>
    <col min="17" max="17" width="9" customWidth="1"/>
    <col min="18" max="18" width="7.88671875" customWidth="1"/>
    <col min="19" max="19" width="8.33203125" customWidth="1"/>
    <col min="20" max="20" width="8.44140625" customWidth="1"/>
    <col min="22" max="22" width="10.44140625" bestFit="1" customWidth="1"/>
    <col min="23" max="23" width="9.44140625" bestFit="1" customWidth="1"/>
  </cols>
  <sheetData>
    <row r="1" spans="2:34" ht="15" thickBot="1" x14ac:dyDescent="0.35"/>
    <row r="2" spans="2:34" ht="27.6" customHeight="1" thickBot="1" x14ac:dyDescent="0.45">
      <c r="B2" s="142" t="s">
        <v>0</v>
      </c>
      <c r="C2" s="144" t="s">
        <v>5</v>
      </c>
      <c r="D2" s="144"/>
      <c r="E2" s="144"/>
      <c r="F2" s="144"/>
      <c r="G2" s="144"/>
      <c r="H2" s="145"/>
      <c r="J2" s="96" t="s">
        <v>16</v>
      </c>
      <c r="K2" s="95" t="s">
        <v>15</v>
      </c>
      <c r="L2" s="95" t="s">
        <v>87</v>
      </c>
      <c r="N2" s="147" t="s">
        <v>63</v>
      </c>
      <c r="O2" s="148"/>
      <c r="P2" s="148"/>
      <c r="Q2" s="148"/>
      <c r="R2" s="148"/>
      <c r="S2" s="148"/>
      <c r="T2" s="149"/>
    </row>
    <row r="3" spans="2:34" ht="13.8" customHeight="1" x14ac:dyDescent="0.3">
      <c r="B3" s="151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41">
        <v>6</v>
      </c>
      <c r="J3" s="97" t="s">
        <v>6</v>
      </c>
      <c r="K3" s="99">
        <v>4.7E-2</v>
      </c>
      <c r="L3" s="102">
        <v>5.0000000000000001E-3</v>
      </c>
      <c r="M3" s="2"/>
      <c r="N3" s="24"/>
      <c r="O3" s="25">
        <v>1</v>
      </c>
      <c r="P3" s="25">
        <v>2</v>
      </c>
      <c r="Q3" s="25">
        <v>3</v>
      </c>
      <c r="R3" s="25">
        <v>4</v>
      </c>
      <c r="S3" s="25">
        <v>5</v>
      </c>
      <c r="T3" s="26">
        <v>6</v>
      </c>
    </row>
    <row r="4" spans="2:34" x14ac:dyDescent="0.3">
      <c r="B4" s="151" t="s">
        <v>1</v>
      </c>
      <c r="C4" s="4">
        <v>4.45</v>
      </c>
      <c r="D4" s="5">
        <v>5.53</v>
      </c>
      <c r="E4" s="5">
        <v>6.16</v>
      </c>
      <c r="F4" s="5">
        <v>7</v>
      </c>
      <c r="G4" s="5">
        <v>8.1199999999999992</v>
      </c>
      <c r="H4" s="42">
        <v>9.25</v>
      </c>
      <c r="I4" s="1">
        <f>C4-$C$7</f>
        <v>4.0000000000000036E-2</v>
      </c>
      <c r="J4" s="97" t="s">
        <v>7</v>
      </c>
      <c r="K4" s="99">
        <v>0.22</v>
      </c>
      <c r="L4" s="102">
        <v>5.0000000000000001E-3</v>
      </c>
      <c r="M4" s="2"/>
      <c r="N4" s="27" t="s">
        <v>64</v>
      </c>
      <c r="O4" s="15">
        <f t="shared" ref="O4:T4" si="0">2*$K$11/C7/C7</f>
        <v>7.1986466544289668E-2</v>
      </c>
      <c r="P4" s="15">
        <f t="shared" si="0"/>
        <v>4.9589977471981656E-2</v>
      </c>
      <c r="Q4" s="15">
        <f t="shared" si="0"/>
        <v>3.6577549048751476E-2</v>
      </c>
      <c r="R4" s="15">
        <f t="shared" si="0"/>
        <v>2.8247675619834718E-2</v>
      </c>
      <c r="S4" s="15">
        <f t="shared" si="0"/>
        <v>2.2470210920379839E-2</v>
      </c>
      <c r="T4" s="28">
        <f t="shared" si="0"/>
        <v>1.6002771781677486E-2</v>
      </c>
    </row>
    <row r="5" spans="2:34" x14ac:dyDescent="0.3">
      <c r="B5" s="151"/>
      <c r="C5" s="6">
        <v>4.34</v>
      </c>
      <c r="D5" s="2">
        <v>5.22</v>
      </c>
      <c r="E5" s="2">
        <v>6.21</v>
      </c>
      <c r="F5" s="2">
        <v>7.06</v>
      </c>
      <c r="G5" s="2">
        <v>7.69</v>
      </c>
      <c r="H5" s="43">
        <v>9.34</v>
      </c>
      <c r="I5" s="1">
        <f t="shared" ref="I5:I6" si="1">C5-$C$7</f>
        <v>-7.0000000000000284E-2</v>
      </c>
      <c r="J5" s="97" t="s">
        <v>8</v>
      </c>
      <c r="K5" s="99">
        <v>0.40799999999999997</v>
      </c>
      <c r="L5" s="102">
        <v>5.0000000000000001E-3</v>
      </c>
      <c r="M5" s="2"/>
      <c r="N5" s="27" t="s">
        <v>65</v>
      </c>
      <c r="O5" s="14">
        <f t="shared" ref="O5:T5" si="2">2*$K$11/C11/C11</f>
        <v>0.12499801590450947</v>
      </c>
      <c r="P5" s="15">
        <f t="shared" si="2"/>
        <v>8.9880843681519357E-2</v>
      </c>
      <c r="Q5" s="15">
        <f t="shared" si="2"/>
        <v>6.7922917192260651E-2</v>
      </c>
      <c r="R5" s="15">
        <f t="shared" si="2"/>
        <v>5.1182872748410574E-2</v>
      </c>
      <c r="S5" s="15">
        <f t="shared" si="2"/>
        <v>3.8206640920646621E-2</v>
      </c>
      <c r="T5" s="28">
        <f t="shared" si="2"/>
        <v>3.0545743341573412E-2</v>
      </c>
    </row>
    <row r="6" spans="2:34" x14ac:dyDescent="0.3">
      <c r="B6" s="151"/>
      <c r="C6" s="6">
        <v>4.4400000000000004</v>
      </c>
      <c r="D6" s="2">
        <v>5.19</v>
      </c>
      <c r="E6" s="2">
        <v>6.19</v>
      </c>
      <c r="F6" s="2">
        <v>7.06</v>
      </c>
      <c r="G6" s="2">
        <v>7.87</v>
      </c>
      <c r="H6" s="43">
        <v>9.4700000000000006</v>
      </c>
      <c r="I6" s="1">
        <f t="shared" si="1"/>
        <v>3.0000000000000249E-2</v>
      </c>
      <c r="J6" s="97" t="s">
        <v>9</v>
      </c>
      <c r="K6" s="99">
        <v>5.7000000000000002E-2</v>
      </c>
      <c r="L6" s="102">
        <v>5.0000000000000001E-3</v>
      </c>
      <c r="N6" s="27" t="s">
        <v>66</v>
      </c>
      <c r="O6" s="14">
        <f t="shared" ref="O6:T6" si="3">2*$K$11/C15/C15</f>
        <v>0.1777241157519987</v>
      </c>
      <c r="P6" s="14">
        <f t="shared" si="3"/>
        <v>0.12599999999999997</v>
      </c>
      <c r="Q6" s="15">
        <f t="shared" si="3"/>
        <v>9.3316467245919979E-2</v>
      </c>
      <c r="R6" s="15">
        <f t="shared" si="3"/>
        <v>7.2423740962120661E-2</v>
      </c>
      <c r="S6" s="15">
        <f t="shared" si="3"/>
        <v>5.6754200261249513E-2</v>
      </c>
      <c r="T6" s="28">
        <f t="shared" si="3"/>
        <v>4.4168357157955508E-2</v>
      </c>
    </row>
    <row r="7" spans="2:34" x14ac:dyDescent="0.3">
      <c r="B7" s="151"/>
      <c r="C7" s="17">
        <f>AVERAGE(C4:C6)</f>
        <v>4.41</v>
      </c>
      <c r="D7" s="18">
        <f t="shared" ref="D7:H7" si="4">AVERAGE(D4:D6)</f>
        <v>5.3133333333333335</v>
      </c>
      <c r="E7" s="18">
        <f t="shared" si="4"/>
        <v>6.1866666666666674</v>
      </c>
      <c r="F7" s="18">
        <f t="shared" si="4"/>
        <v>7.0399999999999991</v>
      </c>
      <c r="G7" s="18">
        <f t="shared" si="4"/>
        <v>7.8933333333333335</v>
      </c>
      <c r="H7" s="44">
        <f t="shared" si="4"/>
        <v>9.3533333333333335</v>
      </c>
      <c r="I7" s="59">
        <f>I4*I4</f>
        <v>1.6000000000000029E-3</v>
      </c>
      <c r="J7" s="97" t="s">
        <v>10</v>
      </c>
      <c r="K7" s="99">
        <v>2.5000000000000001E-2</v>
      </c>
      <c r="L7" s="102">
        <v>2E-3</v>
      </c>
      <c r="M7" s="2"/>
      <c r="N7" s="27" t="s">
        <v>67</v>
      </c>
      <c r="O7" s="14">
        <f t="shared" ref="O7:T7" si="5">2*$K$11/C19/C19</f>
        <v>0.24924780572913888</v>
      </c>
      <c r="P7" s="14">
        <f t="shared" si="5"/>
        <v>0.17155718096150988</v>
      </c>
      <c r="Q7" s="14">
        <f t="shared" si="5"/>
        <v>0.12907931616646726</v>
      </c>
      <c r="R7" s="15">
        <f t="shared" si="5"/>
        <v>9.6783039310044464E-2</v>
      </c>
      <c r="S7" s="15">
        <f t="shared" si="5"/>
        <v>7.1877766723560402E-2</v>
      </c>
      <c r="T7" s="28">
        <f t="shared" si="5"/>
        <v>5.8627665930253543E-2</v>
      </c>
      <c r="AF7" s="146" t="s">
        <v>53</v>
      </c>
      <c r="AG7" s="146"/>
      <c r="AH7" s="146"/>
    </row>
    <row r="8" spans="2:34" x14ac:dyDescent="0.3">
      <c r="B8" s="151" t="s">
        <v>4</v>
      </c>
      <c r="C8" s="4">
        <v>3.32</v>
      </c>
      <c r="D8" s="5">
        <v>3.94</v>
      </c>
      <c r="E8" s="5">
        <v>4.6900000000000004</v>
      </c>
      <c r="F8" s="5">
        <v>5.25</v>
      </c>
      <c r="G8" s="5">
        <v>6.13</v>
      </c>
      <c r="H8" s="42">
        <v>6.81</v>
      </c>
      <c r="I8" s="59">
        <f t="shared" ref="I8:I9" si="6">I5*I5</f>
        <v>4.9000000000000397E-3</v>
      </c>
      <c r="J8" s="97" t="s">
        <v>11</v>
      </c>
      <c r="K8" s="99">
        <v>4.5999999999999999E-2</v>
      </c>
      <c r="L8" s="102">
        <v>5.0000000000000001E-3</v>
      </c>
      <c r="M8" s="2"/>
      <c r="N8" s="29"/>
      <c r="O8" s="13"/>
      <c r="P8" s="13"/>
      <c r="Q8" s="13"/>
      <c r="R8" s="13"/>
      <c r="S8" s="13"/>
      <c r="T8" s="30"/>
      <c r="AF8" s="146"/>
      <c r="AG8" s="146"/>
      <c r="AH8" s="146"/>
    </row>
    <row r="9" spans="2:34" x14ac:dyDescent="0.3">
      <c r="B9" s="151"/>
      <c r="C9" s="6">
        <v>3.35</v>
      </c>
      <c r="D9" s="2">
        <v>4.0599999999999996</v>
      </c>
      <c r="E9" s="2">
        <v>4.4000000000000004</v>
      </c>
      <c r="F9" s="2">
        <v>5.25</v>
      </c>
      <c r="G9" s="2">
        <v>5.97</v>
      </c>
      <c r="H9" s="43">
        <v>6.72</v>
      </c>
      <c r="I9" s="59">
        <f t="shared" si="6"/>
        <v>9.0000000000001494E-4</v>
      </c>
      <c r="J9" s="97" t="s">
        <v>12</v>
      </c>
      <c r="K9" s="99">
        <v>0.04</v>
      </c>
      <c r="L9" s="102">
        <v>5.0000000000000001E-3</v>
      </c>
      <c r="M9" s="2"/>
      <c r="N9" s="27"/>
      <c r="O9" s="16">
        <v>1</v>
      </c>
      <c r="P9" s="16">
        <v>2</v>
      </c>
      <c r="Q9" s="16">
        <v>3</v>
      </c>
      <c r="R9" s="16">
        <v>4</v>
      </c>
      <c r="S9" s="16">
        <v>5</v>
      </c>
      <c r="T9" s="31">
        <v>6</v>
      </c>
      <c r="AF9" s="146"/>
      <c r="AG9" s="146"/>
      <c r="AH9" s="146"/>
    </row>
    <row r="10" spans="2:34" x14ac:dyDescent="0.3">
      <c r="B10" s="151"/>
      <c r="C10" s="6">
        <v>3.37</v>
      </c>
      <c r="D10" s="2">
        <v>3.84</v>
      </c>
      <c r="E10" s="2">
        <v>4.53</v>
      </c>
      <c r="F10" s="2">
        <v>5.19</v>
      </c>
      <c r="G10" s="2">
        <v>6.06</v>
      </c>
      <c r="H10" s="43">
        <v>6.78</v>
      </c>
      <c r="I10">
        <f>SUM(I7:I9)/6</f>
        <v>1.233333333333343E-3</v>
      </c>
      <c r="J10" s="97" t="s">
        <v>13</v>
      </c>
      <c r="K10" s="99">
        <v>0.04</v>
      </c>
      <c r="L10" s="102">
        <v>5.0000000000000001E-3</v>
      </c>
      <c r="M10" s="2"/>
      <c r="N10" s="27" t="s">
        <v>72</v>
      </c>
      <c r="O10" s="14">
        <f>2*O4/$K$8</f>
        <v>3.1298463714908551</v>
      </c>
      <c r="P10" s="14">
        <f t="shared" ref="P10:T10" si="7">2*P4/$K$8</f>
        <v>2.1560859770426806</v>
      </c>
      <c r="Q10" s="14">
        <f t="shared" si="7"/>
        <v>1.5903282195109338</v>
      </c>
      <c r="R10" s="14">
        <f t="shared" si="7"/>
        <v>1.2281598095580313</v>
      </c>
      <c r="S10" s="14">
        <f t="shared" si="7"/>
        <v>0.97696569219042784</v>
      </c>
      <c r="T10" s="32">
        <f t="shared" si="7"/>
        <v>0.69577268615989074</v>
      </c>
      <c r="V10" s="1"/>
      <c r="W10" s="1"/>
      <c r="AF10" s="146"/>
      <c r="AG10" s="146"/>
      <c r="AH10" s="146"/>
    </row>
    <row r="11" spans="2:34" ht="15" thickBot="1" x14ac:dyDescent="0.35">
      <c r="B11" s="151"/>
      <c r="C11" s="17">
        <f>AVERAGE(C8:C10)</f>
        <v>3.3466666666666662</v>
      </c>
      <c r="D11" s="18">
        <f t="shared" ref="D11:H11" si="8">AVERAGE(D8:D10)</f>
        <v>3.9466666666666668</v>
      </c>
      <c r="E11" s="18">
        <f t="shared" si="8"/>
        <v>4.54</v>
      </c>
      <c r="F11" s="18">
        <f t="shared" si="8"/>
        <v>5.23</v>
      </c>
      <c r="G11" s="18">
        <f t="shared" si="8"/>
        <v>6.0533333333333337</v>
      </c>
      <c r="H11" s="44">
        <f t="shared" si="8"/>
        <v>6.77</v>
      </c>
      <c r="I11" s="104">
        <f>SQRT(I10)</f>
        <v>3.5118845842842597E-2</v>
      </c>
      <c r="J11" s="97" t="s">
        <v>14</v>
      </c>
      <c r="K11" s="100">
        <v>0.7</v>
      </c>
      <c r="L11" s="103">
        <v>5.0000000000000001E-3</v>
      </c>
      <c r="M11" s="2"/>
      <c r="N11" s="27" t="s">
        <v>73</v>
      </c>
      <c r="O11" s="14">
        <f t="shared" ref="O11:T13" si="9">2*O5/$K$8</f>
        <v>5.4346963436743252</v>
      </c>
      <c r="P11" s="14">
        <f t="shared" si="9"/>
        <v>3.9078627687617113</v>
      </c>
      <c r="Q11" s="14">
        <f t="shared" si="9"/>
        <v>2.9531703127069848</v>
      </c>
      <c r="R11" s="14">
        <f t="shared" si="9"/>
        <v>2.2253422934091556</v>
      </c>
      <c r="S11" s="14">
        <f t="shared" si="9"/>
        <v>1.6611583008976791</v>
      </c>
      <c r="T11" s="32">
        <f t="shared" si="9"/>
        <v>1.3280757974597135</v>
      </c>
      <c r="V11" s="1"/>
      <c r="W11" s="1"/>
      <c r="AF11" s="146"/>
      <c r="AG11" s="146"/>
      <c r="AH11" s="146"/>
    </row>
    <row r="12" spans="2:34" x14ac:dyDescent="0.3">
      <c r="B12" s="151" t="s">
        <v>2</v>
      </c>
      <c r="C12" s="9">
        <v>2.71</v>
      </c>
      <c r="D12" s="10">
        <v>3.25</v>
      </c>
      <c r="E12" s="10">
        <v>3.9</v>
      </c>
      <c r="F12" s="10">
        <v>4.3099999999999996</v>
      </c>
      <c r="G12" s="10">
        <v>5</v>
      </c>
      <c r="H12" s="45">
        <v>5.6</v>
      </c>
      <c r="J12" s="97" t="s">
        <v>17</v>
      </c>
      <c r="K12" s="101">
        <v>9.8000000000000007</v>
      </c>
      <c r="L12" s="94"/>
      <c r="N12" s="27" t="s">
        <v>74</v>
      </c>
      <c r="O12" s="14">
        <f t="shared" si="9"/>
        <v>7.7271354674782042</v>
      </c>
      <c r="P12" s="14">
        <f t="shared" si="9"/>
        <v>5.478260869565216</v>
      </c>
      <c r="Q12" s="14">
        <f t="shared" si="9"/>
        <v>4.0572377063443472</v>
      </c>
      <c r="R12" s="14">
        <f t="shared" si="9"/>
        <v>3.1488583027008983</v>
      </c>
      <c r="S12" s="14">
        <f t="shared" si="9"/>
        <v>2.4675739244021528</v>
      </c>
      <c r="T12" s="32">
        <f t="shared" si="9"/>
        <v>1.9203633546937178</v>
      </c>
      <c r="V12" s="1"/>
      <c r="W12" s="1"/>
      <c r="AF12" s="146"/>
      <c r="AG12" s="146"/>
      <c r="AH12" s="146"/>
    </row>
    <row r="13" spans="2:34" x14ac:dyDescent="0.3">
      <c r="B13" s="151"/>
      <c r="C13" s="7">
        <v>2.84</v>
      </c>
      <c r="D13" s="3">
        <v>3.43</v>
      </c>
      <c r="E13" s="3">
        <v>3.85</v>
      </c>
      <c r="F13" s="3">
        <v>4.53</v>
      </c>
      <c r="G13" s="3">
        <v>4.93</v>
      </c>
      <c r="H13" s="46">
        <v>5.66</v>
      </c>
      <c r="J13" s="97" t="s">
        <v>1</v>
      </c>
      <c r="K13" s="99">
        <f>K3+K4</f>
        <v>0.26700000000000002</v>
      </c>
      <c r="L13" s="2"/>
      <c r="M13" s="12"/>
      <c r="N13" s="27" t="s">
        <v>75</v>
      </c>
      <c r="O13" s="14">
        <f t="shared" si="9"/>
        <v>10.836861118658213</v>
      </c>
      <c r="P13" s="14">
        <f t="shared" si="9"/>
        <v>7.4590078678917342</v>
      </c>
      <c r="Q13" s="14">
        <f t="shared" si="9"/>
        <v>5.6121441811507502</v>
      </c>
      <c r="R13" s="14">
        <f t="shared" si="9"/>
        <v>4.2079582308714985</v>
      </c>
      <c r="S13" s="14">
        <f t="shared" si="9"/>
        <v>3.1251202923287131</v>
      </c>
      <c r="T13" s="32">
        <f t="shared" si="9"/>
        <v>2.5490289534892847</v>
      </c>
      <c r="V13" s="1"/>
      <c r="W13" s="1"/>
      <c r="AF13" s="146"/>
      <c r="AG13" s="146"/>
      <c r="AH13" s="146"/>
    </row>
    <row r="14" spans="2:34" x14ac:dyDescent="0.3">
      <c r="B14" s="151"/>
      <c r="C14" s="7">
        <v>2.87</v>
      </c>
      <c r="D14" s="3">
        <v>3.32</v>
      </c>
      <c r="E14" s="3">
        <v>3.87</v>
      </c>
      <c r="F14" s="3">
        <v>4.3499999999999996</v>
      </c>
      <c r="G14" s="3">
        <v>4.97</v>
      </c>
      <c r="H14" s="46">
        <v>5.63</v>
      </c>
      <c r="J14" s="97" t="s">
        <v>4</v>
      </c>
      <c r="K14" s="99">
        <f>K13+$K$4</f>
        <v>0.48699999999999999</v>
      </c>
      <c r="L14" s="2"/>
      <c r="N14" s="29"/>
      <c r="O14" s="13"/>
      <c r="P14" s="13"/>
      <c r="Q14" s="13"/>
      <c r="R14" s="13"/>
      <c r="S14" s="13"/>
      <c r="T14" s="30"/>
      <c r="AF14" s="146"/>
      <c r="AG14" s="146"/>
      <c r="AH14" s="146"/>
    </row>
    <row r="15" spans="2:34" x14ac:dyDescent="0.3">
      <c r="B15" s="151"/>
      <c r="C15" s="17">
        <f>AVERAGE(C12:C14)</f>
        <v>2.8066666666666666</v>
      </c>
      <c r="D15" s="18">
        <f t="shared" ref="D15:H15" si="10">AVERAGE(D12:D14)</f>
        <v>3.3333333333333335</v>
      </c>
      <c r="E15" s="18">
        <f t="shared" si="10"/>
        <v>3.8733333333333335</v>
      </c>
      <c r="F15" s="18">
        <f t="shared" si="10"/>
        <v>4.3966666666666665</v>
      </c>
      <c r="G15" s="18">
        <f t="shared" si="10"/>
        <v>4.9666666666666659</v>
      </c>
      <c r="H15" s="44">
        <f t="shared" si="10"/>
        <v>5.63</v>
      </c>
      <c r="J15" s="97" t="s">
        <v>2</v>
      </c>
      <c r="K15" s="99">
        <f t="shared" ref="K15:K16" si="11">K14+$K$4</f>
        <v>0.70699999999999996</v>
      </c>
      <c r="L15" s="2"/>
      <c r="N15" s="27"/>
      <c r="O15" s="16">
        <v>1</v>
      </c>
      <c r="P15" s="16">
        <v>2</v>
      </c>
      <c r="Q15" s="16">
        <v>3</v>
      </c>
      <c r="R15" s="16">
        <v>4</v>
      </c>
      <c r="S15" s="16">
        <v>5</v>
      </c>
      <c r="T15" s="31">
        <v>6</v>
      </c>
      <c r="AF15" s="146"/>
      <c r="AG15" s="146"/>
      <c r="AH15" s="146"/>
    </row>
    <row r="16" spans="2:34" ht="15" thickBot="1" x14ac:dyDescent="0.35">
      <c r="B16" s="151" t="s">
        <v>3</v>
      </c>
      <c r="C16" s="3">
        <v>2.31</v>
      </c>
      <c r="D16" s="3">
        <v>2.81</v>
      </c>
      <c r="E16" s="3">
        <v>3.32</v>
      </c>
      <c r="F16" s="3">
        <v>3.9</v>
      </c>
      <c r="G16" s="3">
        <v>4.4000000000000004</v>
      </c>
      <c r="H16" s="46">
        <v>4.88</v>
      </c>
      <c r="J16" s="98" t="s">
        <v>3</v>
      </c>
      <c r="K16" s="99">
        <f t="shared" si="11"/>
        <v>0.92699999999999994</v>
      </c>
      <c r="L16" s="2"/>
      <c r="N16" s="27" t="s">
        <v>68</v>
      </c>
      <c r="O16" s="14">
        <f>$K13*$K$8/2*($K$12-O4)</f>
        <v>5.9739731108951526E-2</v>
      </c>
      <c r="P16" s="14">
        <f t="shared" ref="P16:T16" si="12">$K13*$K$8/2*($K$12-P4)</f>
        <v>5.9877267948344574E-2</v>
      </c>
      <c r="Q16" s="14">
        <f t="shared" si="12"/>
        <v>5.9957177271291635E-2</v>
      </c>
      <c r="R16" s="14">
        <f t="shared" si="12"/>
        <v>6.0008331024018612E-2</v>
      </c>
      <c r="S16" s="14">
        <f t="shared" si="12"/>
        <v>6.0043810434737957E-2</v>
      </c>
      <c r="T16" s="32">
        <f t="shared" si="12"/>
        <v>6.0083526978488733E-2</v>
      </c>
    </row>
    <row r="17" spans="2:38" x14ac:dyDescent="0.3">
      <c r="B17" s="151"/>
      <c r="C17" s="3">
        <v>2.37</v>
      </c>
      <c r="D17" s="3">
        <v>2.94</v>
      </c>
      <c r="E17" s="3">
        <v>3.28</v>
      </c>
      <c r="F17" s="3">
        <v>3.66</v>
      </c>
      <c r="G17" s="3">
        <v>4.34</v>
      </c>
      <c r="H17" s="46">
        <v>4.84</v>
      </c>
      <c r="N17" s="27" t="s">
        <v>69</v>
      </c>
      <c r="O17" s="14">
        <f t="shared" ref="O17:T19" si="13">$K14*$K$8/2*($K$12-O5)</f>
        <v>0.10836969722385359</v>
      </c>
      <c r="P17" s="14">
        <f t="shared" si="13"/>
        <v>0.10876304466992329</v>
      </c>
      <c r="Q17" s="14">
        <f t="shared" si="13"/>
        <v>0.10900899540452948</v>
      </c>
      <c r="R17" s="14">
        <f t="shared" si="13"/>
        <v>0.10919650064234504</v>
      </c>
      <c r="S17" s="14">
        <f t="shared" si="13"/>
        <v>0.10934184741504784</v>
      </c>
      <c r="T17" s="32">
        <f t="shared" si="13"/>
        <v>0.10942765712883104</v>
      </c>
    </row>
    <row r="18" spans="2:38" x14ac:dyDescent="0.3">
      <c r="B18" s="151"/>
      <c r="C18" s="3">
        <v>2.4300000000000002</v>
      </c>
      <c r="D18" s="3">
        <v>2.82</v>
      </c>
      <c r="E18" s="3">
        <v>3.28</v>
      </c>
      <c r="F18" s="3">
        <v>3.85</v>
      </c>
      <c r="G18" s="3">
        <v>4.5</v>
      </c>
      <c r="H18" s="46">
        <v>4.9400000000000004</v>
      </c>
      <c r="N18" s="27" t="s">
        <v>71</v>
      </c>
      <c r="O18" s="14">
        <f t="shared" si="13"/>
        <v>0.15646782815375673</v>
      </c>
      <c r="P18" s="14">
        <f t="shared" si="13"/>
        <v>0.15730891399999999</v>
      </c>
      <c r="Q18" s="14">
        <f t="shared" si="13"/>
        <v>0.15784038092611408</v>
      </c>
      <c r="R18" s="14">
        <f t="shared" si="13"/>
        <v>0.15818011754821495</v>
      </c>
      <c r="S18" s="14">
        <f t="shared" si="13"/>
        <v>0.15843491994955181</v>
      </c>
      <c r="T18" s="32">
        <f t="shared" si="13"/>
        <v>0.15863957834425446</v>
      </c>
    </row>
    <row r="19" spans="2:38" ht="15" thickBot="1" x14ac:dyDescent="0.35">
      <c r="B19" s="152"/>
      <c r="C19" s="48">
        <f>AVERAGE(C16:C18)</f>
        <v>2.3699999999999997</v>
      </c>
      <c r="D19" s="48">
        <f t="shared" ref="D19:H19" si="14">AVERAGE(D16:D18)</f>
        <v>2.8566666666666669</v>
      </c>
      <c r="E19" s="48">
        <f t="shared" si="14"/>
        <v>3.293333333333333</v>
      </c>
      <c r="F19" s="48">
        <f t="shared" si="14"/>
        <v>3.8033333333333332</v>
      </c>
      <c r="G19" s="48">
        <f t="shared" si="14"/>
        <v>4.4133333333333331</v>
      </c>
      <c r="H19" s="49">
        <f t="shared" si="14"/>
        <v>4.8866666666666667</v>
      </c>
      <c r="J19" s="105">
        <f>K12-O4</f>
        <v>9.7280135334557105</v>
      </c>
      <c r="N19" s="33" t="s">
        <v>70</v>
      </c>
      <c r="O19" s="80">
        <f t="shared" si="13"/>
        <v>0.20363158753404903</v>
      </c>
      <c r="P19" s="80">
        <f t="shared" si="13"/>
        <v>0.20528802934471965</v>
      </c>
      <c r="Q19" s="80">
        <f t="shared" si="13"/>
        <v>0.20619369990001474</v>
      </c>
      <c r="R19" s="80">
        <f t="shared" si="13"/>
        <v>0.20688228881887052</v>
      </c>
      <c r="S19" s="80">
        <f t="shared" si="13"/>
        <v>0.20741329413568699</v>
      </c>
      <c r="T19" s="81">
        <f t="shared" si="13"/>
        <v>0.2076957995347011</v>
      </c>
    </row>
    <row r="20" spans="2:38" ht="15" thickBot="1" x14ac:dyDescent="0.35">
      <c r="B20" s="92"/>
      <c r="C20" s="93"/>
      <c r="D20" s="93"/>
      <c r="E20" s="93"/>
      <c r="F20" s="93"/>
      <c r="G20" s="93"/>
      <c r="H20" s="93"/>
      <c r="N20" s="60"/>
      <c r="O20" s="61"/>
      <c r="P20" s="61"/>
      <c r="Q20" s="61"/>
      <c r="R20" s="61"/>
      <c r="S20" s="61"/>
      <c r="T20" s="61"/>
    </row>
    <row r="21" spans="2:38" ht="25.8" customHeight="1" thickBot="1" x14ac:dyDescent="0.5">
      <c r="B21" s="147" t="s">
        <v>111</v>
      </c>
      <c r="C21" s="148"/>
      <c r="D21" s="148"/>
      <c r="E21" s="148"/>
      <c r="F21" s="148"/>
      <c r="G21" s="148"/>
      <c r="H21" s="149"/>
      <c r="N21" s="150" t="s">
        <v>86</v>
      </c>
      <c r="O21" s="148"/>
      <c r="P21" s="148"/>
      <c r="Q21" s="148"/>
      <c r="R21" s="148"/>
      <c r="S21" s="148"/>
      <c r="T21" s="149"/>
    </row>
    <row r="22" spans="2:38" x14ac:dyDescent="0.3">
      <c r="B22" s="24"/>
      <c r="C22" s="25">
        <v>1</v>
      </c>
      <c r="D22" s="25">
        <v>2</v>
      </c>
      <c r="E22" s="25">
        <v>3</v>
      </c>
      <c r="F22" s="25">
        <v>4</v>
      </c>
      <c r="G22" s="25">
        <v>5</v>
      </c>
      <c r="H22" s="26">
        <v>6</v>
      </c>
      <c r="N22" s="24"/>
      <c r="O22" s="50">
        <v>1</v>
      </c>
      <c r="P22" s="50">
        <v>2</v>
      </c>
      <c r="Q22" s="50">
        <v>3</v>
      </c>
      <c r="R22" s="50">
        <v>4</v>
      </c>
      <c r="S22" s="50">
        <v>5</v>
      </c>
      <c r="T22" s="51">
        <v>6</v>
      </c>
    </row>
    <row r="23" spans="2:38" x14ac:dyDescent="0.3">
      <c r="B23" s="27" t="s">
        <v>18</v>
      </c>
      <c r="C23" s="14">
        <f t="shared" ref="C23:H23" si="15">$K$6+$K$7*(C$3-1)+$K$9</f>
        <v>9.7000000000000003E-2</v>
      </c>
      <c r="D23" s="14">
        <f t="shared" si="15"/>
        <v>0.122</v>
      </c>
      <c r="E23" s="14">
        <f t="shared" si="15"/>
        <v>0.14700000000000002</v>
      </c>
      <c r="F23" s="14">
        <f t="shared" si="15"/>
        <v>0.17200000000000001</v>
      </c>
      <c r="G23" s="14">
        <f t="shared" si="15"/>
        <v>0.19700000000000001</v>
      </c>
      <c r="H23" s="32">
        <f t="shared" si="15"/>
        <v>0.222</v>
      </c>
      <c r="N23" s="27" t="s">
        <v>76</v>
      </c>
      <c r="O23" s="34">
        <f>AVERAGE(O10:O13)</f>
        <v>6.7821348253253992</v>
      </c>
      <c r="P23" s="34">
        <f t="shared" ref="P23:T23" si="16">AVERAGE(P10:P13)</f>
        <v>4.7503043708153356</v>
      </c>
      <c r="Q23" s="34">
        <f t="shared" si="16"/>
        <v>3.5532201049282541</v>
      </c>
      <c r="R23" s="34">
        <f t="shared" si="16"/>
        <v>2.7025796591348961</v>
      </c>
      <c r="S23" s="34">
        <f t="shared" si="16"/>
        <v>2.0577045524547435</v>
      </c>
      <c r="T23" s="52">
        <f t="shared" si="16"/>
        <v>1.6233101979506517</v>
      </c>
    </row>
    <row r="24" spans="2:38" x14ac:dyDescent="0.3">
      <c r="B24" s="27" t="s">
        <v>19</v>
      </c>
      <c r="C24" s="87">
        <f>C23*C23</f>
        <v>9.4090000000000007E-3</v>
      </c>
      <c r="D24" s="87">
        <f t="shared" ref="D24:H24" si="17">D23*D23</f>
        <v>1.4884E-2</v>
      </c>
      <c r="E24" s="87">
        <f t="shared" si="17"/>
        <v>2.1609000000000007E-2</v>
      </c>
      <c r="F24" s="87">
        <f t="shared" si="17"/>
        <v>2.9584000000000006E-2</v>
      </c>
      <c r="G24" s="87">
        <f t="shared" si="17"/>
        <v>3.8809000000000003E-2</v>
      </c>
      <c r="H24" s="88">
        <f t="shared" si="17"/>
        <v>4.9284000000000001E-2</v>
      </c>
      <c r="N24" s="27" t="s">
        <v>77</v>
      </c>
      <c r="O24" s="34">
        <f>AVERAGE(O16:O19)</f>
        <v>0.13205221100515274</v>
      </c>
      <c r="P24" s="34">
        <f t="shared" ref="P24:T24" si="18">AVERAGE(P16:P19)</f>
        <v>0.13280931399074689</v>
      </c>
      <c r="Q24" s="34">
        <f t="shared" si="18"/>
        <v>0.1332500633754875</v>
      </c>
      <c r="R24" s="34">
        <f t="shared" si="18"/>
        <v>0.13356680950836228</v>
      </c>
      <c r="S24" s="34">
        <f t="shared" si="18"/>
        <v>0.13380846798375615</v>
      </c>
      <c r="T24" s="52">
        <f t="shared" si="18"/>
        <v>0.13396164049656883</v>
      </c>
    </row>
    <row r="25" spans="2:38" ht="15" thickBot="1" x14ac:dyDescent="0.35">
      <c r="B25" s="33" t="s">
        <v>20</v>
      </c>
      <c r="C25" s="89">
        <f t="shared" ref="C25:H25" si="19">O27</f>
        <v>1.87550002764829E-2</v>
      </c>
      <c r="D25" s="89">
        <f t="shared" si="19"/>
        <v>2.7675331352482666E-2</v>
      </c>
      <c r="E25" s="89">
        <f t="shared" si="19"/>
        <v>3.6869240943607565E-2</v>
      </c>
      <c r="F25" s="89">
        <f t="shared" si="19"/>
        <v>4.9607255828937512E-2</v>
      </c>
      <c r="G25" s="90">
        <f t="shared" si="19"/>
        <v>6.7644938125523718E-2</v>
      </c>
      <c r="H25" s="91">
        <f t="shared" si="19"/>
        <v>7.9968802204291506E-2</v>
      </c>
      <c r="N25" s="27" t="s">
        <v>81</v>
      </c>
      <c r="O25" s="37">
        <f>O24-O26*O23</f>
        <v>4.8532704810305693E-3</v>
      </c>
      <c r="P25" s="37">
        <f t="shared" ref="P25:T25" si="20">P24-P26*P23</f>
        <v>1.343066503285778E-3</v>
      </c>
      <c r="Q25" s="37">
        <f t="shared" si="20"/>
        <v>2.245535201217147E-3</v>
      </c>
      <c r="R25" s="19">
        <f t="shared" si="20"/>
        <v>-5.0075104042524021E-4</v>
      </c>
      <c r="S25" s="37">
        <f t="shared" si="20"/>
        <v>-5.3848291476534527E-3</v>
      </c>
      <c r="T25" s="53">
        <f t="shared" si="20"/>
        <v>4.1474683604438844E-3</v>
      </c>
    </row>
    <row r="26" spans="2:38" x14ac:dyDescent="0.3">
      <c r="B26" s="24" t="s">
        <v>54</v>
      </c>
      <c r="C26" s="62">
        <f>AVERAGE(C24:H24)</f>
        <v>2.7263166666666672E-2</v>
      </c>
      <c r="D26" s="63"/>
      <c r="E26" s="62"/>
      <c r="F26" s="62"/>
      <c r="G26" s="62"/>
      <c r="H26" s="64"/>
      <c r="N26" s="27" t="s">
        <v>80</v>
      </c>
      <c r="O26" s="19">
        <f>SUM(W46:W49)/(SUM(W40:W43))</f>
        <v>1.87550002764829E-2</v>
      </c>
      <c r="P26" s="19">
        <f t="shared" ref="P26:T26" si="21">SUM(X46:X49)/(SUM(X40:X43))</f>
        <v>2.7675331352482666E-2</v>
      </c>
      <c r="Q26" s="19">
        <f t="shared" si="21"/>
        <v>3.6869240943607565E-2</v>
      </c>
      <c r="R26" s="19">
        <f t="shared" si="21"/>
        <v>4.9607255828937512E-2</v>
      </c>
      <c r="S26" s="19">
        <f t="shared" si="21"/>
        <v>6.7644938125523718E-2</v>
      </c>
      <c r="T26" s="66">
        <f t="shared" si="21"/>
        <v>7.9968802204291506E-2</v>
      </c>
    </row>
    <row r="27" spans="2:38" x14ac:dyDescent="0.3">
      <c r="B27" s="65" t="s">
        <v>55</v>
      </c>
      <c r="C27" s="36">
        <f>AVERAGE(C25:H25)</f>
        <v>4.6753428121887645E-2</v>
      </c>
      <c r="D27" s="2"/>
      <c r="E27" s="2"/>
      <c r="F27" s="2"/>
      <c r="G27" s="2"/>
      <c r="H27" s="43"/>
      <c r="N27" s="55" t="s">
        <v>79</v>
      </c>
      <c r="O27" s="21">
        <f t="shared" ref="O27:T27" si="22">O26</f>
        <v>1.87550002764829E-2</v>
      </c>
      <c r="P27" s="21">
        <f t="shared" si="22"/>
        <v>2.7675331352482666E-2</v>
      </c>
      <c r="Q27" s="21">
        <f t="shared" si="22"/>
        <v>3.6869240943607565E-2</v>
      </c>
      <c r="R27" s="21">
        <f t="shared" si="22"/>
        <v>4.9607255828937512E-2</v>
      </c>
      <c r="S27" s="77">
        <f t="shared" si="22"/>
        <v>6.7644938125523718E-2</v>
      </c>
      <c r="T27" s="78">
        <f t="shared" si="22"/>
        <v>7.9968802204291506E-2</v>
      </c>
      <c r="V27" s="11" t="s">
        <v>51</v>
      </c>
      <c r="W27" s="16">
        <v>1</v>
      </c>
      <c r="X27" s="16">
        <v>2</v>
      </c>
      <c r="Y27" s="16">
        <v>3</v>
      </c>
      <c r="Z27" s="16">
        <v>4</v>
      </c>
      <c r="AA27" s="16">
        <v>5</v>
      </c>
      <c r="AB27" s="16">
        <v>6</v>
      </c>
    </row>
    <row r="28" spans="2:38" ht="15" thickBot="1" x14ac:dyDescent="0.35">
      <c r="B28" s="27" t="s">
        <v>56</v>
      </c>
      <c r="C28" s="19">
        <f>C24-$C$26</f>
        <v>-1.7854166666666671E-2</v>
      </c>
      <c r="D28" s="19">
        <f t="shared" ref="D28:H28" si="23">D24-$C$26</f>
        <v>-1.2379166666666672E-2</v>
      </c>
      <c r="E28" s="19">
        <f t="shared" si="23"/>
        <v>-5.654166666666665E-3</v>
      </c>
      <c r="F28" s="19">
        <f t="shared" si="23"/>
        <v>2.3208333333333345E-3</v>
      </c>
      <c r="G28" s="19">
        <f t="shared" si="23"/>
        <v>1.1545833333333332E-2</v>
      </c>
      <c r="H28" s="66">
        <f t="shared" si="23"/>
        <v>2.202083333333333E-2</v>
      </c>
      <c r="N28" s="56" t="s">
        <v>78</v>
      </c>
      <c r="O28" s="57">
        <f t="shared" ref="O28:T28" si="24">O25</f>
        <v>4.8532704810305693E-3</v>
      </c>
      <c r="P28" s="57">
        <f t="shared" si="24"/>
        <v>1.343066503285778E-3</v>
      </c>
      <c r="Q28" s="57">
        <f t="shared" si="24"/>
        <v>2.245535201217147E-3</v>
      </c>
      <c r="R28" s="79">
        <f t="shared" si="24"/>
        <v>-5.0075104042524021E-4</v>
      </c>
      <c r="S28" s="79">
        <f t="shared" si="24"/>
        <v>-5.3848291476534527E-3</v>
      </c>
      <c r="T28" s="58">
        <f t="shared" si="24"/>
        <v>4.1474683604438844E-3</v>
      </c>
      <c r="V28" s="11" t="s">
        <v>21</v>
      </c>
      <c r="W28" s="15">
        <f t="shared" ref="W28:AB31" si="25">O16-O$24</f>
        <v>-7.2312479896201209E-2</v>
      </c>
      <c r="X28" s="15">
        <f t="shared" si="25"/>
        <v>-7.2932046042402304E-2</v>
      </c>
      <c r="Y28" s="15">
        <f t="shared" si="25"/>
        <v>-7.3292886104195876E-2</v>
      </c>
      <c r="Z28" s="15">
        <f t="shared" si="25"/>
        <v>-7.3558478484343659E-2</v>
      </c>
      <c r="AA28" s="15">
        <f t="shared" si="25"/>
        <v>-7.3764657549018189E-2</v>
      </c>
      <c r="AB28" s="15">
        <f t="shared" si="25"/>
        <v>-7.3878113518080102E-2</v>
      </c>
    </row>
    <row r="29" spans="2:38" x14ac:dyDescent="0.3">
      <c r="B29" s="27" t="s">
        <v>57</v>
      </c>
      <c r="C29" s="19">
        <f>C25-$C$27</f>
        <v>-2.7998427845404746E-2</v>
      </c>
      <c r="D29" s="19">
        <f t="shared" ref="D29:H29" si="26">D25-$C$27</f>
        <v>-1.907809676940498E-2</v>
      </c>
      <c r="E29" s="19">
        <f t="shared" si="26"/>
        <v>-9.8841871782800808E-3</v>
      </c>
      <c r="F29" s="19">
        <f t="shared" si="26"/>
        <v>2.8538277070498663E-3</v>
      </c>
      <c r="G29" s="19">
        <f t="shared" si="26"/>
        <v>2.0891510003636073E-2</v>
      </c>
      <c r="H29" s="66">
        <f t="shared" si="26"/>
        <v>3.321537408240386E-2</v>
      </c>
      <c r="V29" s="11" t="s">
        <v>22</v>
      </c>
      <c r="W29" s="15">
        <f t="shared" si="25"/>
        <v>-2.3682513781299153E-2</v>
      </c>
      <c r="X29" s="15">
        <f t="shared" si="25"/>
        <v>-2.4046269320823599E-2</v>
      </c>
      <c r="Y29" s="15">
        <f t="shared" si="25"/>
        <v>-2.4241067970958027E-2</v>
      </c>
      <c r="Z29" s="15">
        <f t="shared" si="25"/>
        <v>-2.4370308866017237E-2</v>
      </c>
      <c r="AA29" s="15">
        <f t="shared" si="25"/>
        <v>-2.4466620568708311E-2</v>
      </c>
      <c r="AB29" s="15">
        <f t="shared" si="25"/>
        <v>-2.4533983367737794E-2</v>
      </c>
    </row>
    <row r="30" spans="2:38" x14ac:dyDescent="0.3">
      <c r="B30" s="27" t="s">
        <v>58</v>
      </c>
      <c r="C30" s="38">
        <f>C28*C28</f>
        <v>3.1877126736111125E-4</v>
      </c>
      <c r="D30" s="38">
        <f t="shared" ref="D30:H30" si="27">D28*D28</f>
        <v>1.5324376736111124E-4</v>
      </c>
      <c r="E30" s="38">
        <f t="shared" si="27"/>
        <v>3.1969600694444427E-5</v>
      </c>
      <c r="F30" s="38">
        <f t="shared" si="27"/>
        <v>5.3862673611111164E-6</v>
      </c>
      <c r="G30" s="38">
        <f t="shared" si="27"/>
        <v>1.3330626736111106E-4</v>
      </c>
      <c r="H30" s="54">
        <f t="shared" si="27"/>
        <v>4.8491710069444428E-4</v>
      </c>
      <c r="V30" s="11" t="s">
        <v>23</v>
      </c>
      <c r="W30" s="15">
        <f t="shared" si="25"/>
        <v>2.4415617148603991E-2</v>
      </c>
      <c r="X30" s="15">
        <f t="shared" si="25"/>
        <v>2.4499600009253109E-2</v>
      </c>
      <c r="Y30" s="15">
        <f t="shared" si="25"/>
        <v>2.4590317550626573E-2</v>
      </c>
      <c r="Z30" s="15">
        <f t="shared" si="25"/>
        <v>2.4613308039852677E-2</v>
      </c>
      <c r="AA30" s="15">
        <f t="shared" si="25"/>
        <v>2.4626451965795659E-2</v>
      </c>
      <c r="AB30" s="15">
        <f t="shared" si="25"/>
        <v>2.4677937847685627E-2</v>
      </c>
    </row>
    <row r="31" spans="2:38" ht="15" thickBot="1" x14ac:dyDescent="0.35">
      <c r="B31" s="65" t="s">
        <v>59</v>
      </c>
      <c r="C31" s="82">
        <f>C29*C28</f>
        <v>4.998885971564973E-4</v>
      </c>
      <c r="D31" s="38">
        <f t="shared" ref="D31:H31" si="28">D29*D28</f>
        <v>2.3617093959125925E-4</v>
      </c>
      <c r="E31" s="38">
        <f t="shared" si="28"/>
        <v>5.5886841670525274E-5</v>
      </c>
      <c r="F31" s="38">
        <f t="shared" si="28"/>
        <v>6.6232584701115679E-6</v>
      </c>
      <c r="G31" s="38">
        <f t="shared" si="28"/>
        <v>2.4120989258364812E-4</v>
      </c>
      <c r="H31" s="54">
        <f t="shared" si="28"/>
        <v>7.3143021677293492E-4</v>
      </c>
      <c r="V31" s="11" t="s">
        <v>24</v>
      </c>
      <c r="W31" s="15">
        <f t="shared" si="25"/>
        <v>7.1579376528896288E-2</v>
      </c>
      <c r="X31" s="15">
        <f t="shared" si="25"/>
        <v>7.2478715353972767E-2</v>
      </c>
      <c r="Y31" s="15">
        <f t="shared" si="25"/>
        <v>7.2943636524527233E-2</v>
      </c>
      <c r="Z31" s="15">
        <f t="shared" si="25"/>
        <v>7.3315479310508247E-2</v>
      </c>
      <c r="AA31" s="15">
        <f t="shared" si="25"/>
        <v>7.3604826151930841E-2</v>
      </c>
      <c r="AB31" s="15">
        <f t="shared" si="25"/>
        <v>7.3734159038132269E-2</v>
      </c>
      <c r="AF31" s="11" t="s">
        <v>61</v>
      </c>
      <c r="AG31" s="20">
        <f t="shared" ref="AG31:AL31" si="29">1/AG44*AG45</f>
        <v>2.5180476917510067E-6</v>
      </c>
      <c r="AH31" s="20">
        <f t="shared" si="29"/>
        <v>1.760924766059442E-6</v>
      </c>
      <c r="AI31" s="20">
        <f t="shared" si="29"/>
        <v>5.7696392193513271E-6</v>
      </c>
      <c r="AJ31" s="20">
        <f t="shared" si="29"/>
        <v>1.7746648204224856E-6</v>
      </c>
      <c r="AK31" s="20">
        <f t="shared" si="29"/>
        <v>6.6684369006389635E-6</v>
      </c>
      <c r="AL31" s="20">
        <f t="shared" si="29"/>
        <v>9.936828346629855E-7</v>
      </c>
    </row>
    <row r="32" spans="2:38" x14ac:dyDescent="0.3">
      <c r="B32" s="24" t="s">
        <v>60</v>
      </c>
      <c r="C32" s="68">
        <f>-1*(C33*C26-C27)</f>
        <v>3.9288166791441523E-3</v>
      </c>
      <c r="D32" s="2"/>
      <c r="E32" s="11" t="s">
        <v>49</v>
      </c>
      <c r="F32" s="76">
        <f>(1/6+C26*C26/C36)*F36</f>
        <v>2.3229459621329904E-6</v>
      </c>
      <c r="G32" s="2"/>
      <c r="H32" s="43"/>
      <c r="AF32" s="11" t="s">
        <v>62</v>
      </c>
      <c r="AG32" s="20">
        <f t="shared" ref="AG32:AL32" si="30">(1/4+O23*O23/AG44)*AG45</f>
        <v>1.3627550981200107E-4</v>
      </c>
      <c r="AH32" s="20">
        <f t="shared" si="30"/>
        <v>4.647443150381135E-5</v>
      </c>
      <c r="AI32" s="20">
        <f t="shared" si="30"/>
        <v>8.5401765353847401E-5</v>
      </c>
      <c r="AJ32" s="20">
        <f t="shared" si="30"/>
        <v>1.5121362543634341E-5</v>
      </c>
      <c r="AK32" s="20">
        <f t="shared" si="30"/>
        <v>3.2624005149116672E-5</v>
      </c>
      <c r="AL32" s="20">
        <f t="shared" si="30"/>
        <v>3.0886715528193666E-6</v>
      </c>
    </row>
    <row r="33" spans="2:38" ht="15" thickBot="1" x14ac:dyDescent="0.35">
      <c r="B33" s="33" t="s">
        <v>82</v>
      </c>
      <c r="C33" s="69">
        <f>SUM(C31:H31)/SUM(C30:H30)</f>
        <v>1.5707864007999861</v>
      </c>
      <c r="D33" s="2"/>
      <c r="E33" s="35" t="s">
        <v>50</v>
      </c>
      <c r="F33" s="74">
        <f>F36/C36</f>
        <v>2.4945387062077756E-3</v>
      </c>
      <c r="G33" s="2"/>
      <c r="H33" s="43"/>
      <c r="V33" s="11" t="s">
        <v>52</v>
      </c>
      <c r="W33" s="16">
        <v>1</v>
      </c>
      <c r="X33" s="16">
        <v>2</v>
      </c>
      <c r="Y33" s="16">
        <v>3</v>
      </c>
      <c r="Z33" s="16">
        <v>4</v>
      </c>
      <c r="AA33" s="16">
        <v>5</v>
      </c>
      <c r="AB33" s="16">
        <v>6</v>
      </c>
    </row>
    <row r="34" spans="2:38" x14ac:dyDescent="0.3">
      <c r="B34" s="67" t="s">
        <v>84</v>
      </c>
      <c r="C34" s="70">
        <f>C25-($C$32+$C$33*C24)</f>
        <v>4.6654352211676631E-5</v>
      </c>
      <c r="D34" s="37">
        <f t="shared" ref="D34:H34" si="31">D25-($C$32+$C$33*D24)</f>
        <v>3.6692988383152034E-4</v>
      </c>
      <c r="E34" s="37">
        <f t="shared" si="31"/>
        <v>-1.0026990704234962E-3</v>
      </c>
      <c r="F34" s="37">
        <f t="shared" si="31"/>
        <v>-7.9170573147344103E-4</v>
      </c>
      <c r="G34" s="37">
        <f t="shared" si="31"/>
        <v>2.7554720177329073E-3</v>
      </c>
      <c r="H34" s="53">
        <f t="shared" si="31"/>
        <v>-1.3746514518791775E-3</v>
      </c>
      <c r="V34" s="11" t="s">
        <v>25</v>
      </c>
      <c r="W34" s="15">
        <f t="shared" ref="W34:AB37" si="32">O10-O$23</f>
        <v>-3.6522884538345441</v>
      </c>
      <c r="X34" s="15">
        <f t="shared" si="32"/>
        <v>-2.5942183937726551</v>
      </c>
      <c r="Y34" s="15">
        <f t="shared" si="32"/>
        <v>-1.9628918854173203</v>
      </c>
      <c r="Z34" s="15">
        <f t="shared" si="32"/>
        <v>-1.4744198495768648</v>
      </c>
      <c r="AA34" s="15">
        <f t="shared" si="32"/>
        <v>-1.0807388602643155</v>
      </c>
      <c r="AB34" s="15">
        <f t="shared" si="32"/>
        <v>-0.92753751179076094</v>
      </c>
      <c r="AF34" s="11" t="s">
        <v>42</v>
      </c>
      <c r="AG34" s="16">
        <v>1</v>
      </c>
      <c r="AH34" s="16">
        <v>2</v>
      </c>
      <c r="AI34" s="16">
        <v>3</v>
      </c>
      <c r="AJ34" s="16">
        <v>4</v>
      </c>
      <c r="AK34" s="16">
        <v>5</v>
      </c>
      <c r="AL34" s="16">
        <v>6</v>
      </c>
    </row>
    <row r="35" spans="2:38" ht="15" thickBot="1" x14ac:dyDescent="0.35">
      <c r="B35" s="33" t="s">
        <v>44</v>
      </c>
      <c r="C35" s="86">
        <f>C34*C34</f>
        <v>2.1766285802911763E-9</v>
      </c>
      <c r="D35" s="86">
        <f t="shared" ref="D35:H35" si="33">D34*D34</f>
        <v>1.34637539648613E-7</v>
      </c>
      <c r="E35" s="85">
        <f t="shared" si="33"/>
        <v>1.0054054258281433E-6</v>
      </c>
      <c r="F35" s="85">
        <f t="shared" si="33"/>
        <v>6.2679796524789627E-7</v>
      </c>
      <c r="G35" s="83">
        <f t="shared" si="33"/>
        <v>7.5926260405090596E-6</v>
      </c>
      <c r="H35" s="84">
        <f t="shared" si="33"/>
        <v>1.8896666141535306E-6</v>
      </c>
      <c r="V35" s="11" t="s">
        <v>26</v>
      </c>
      <c r="W35" s="15">
        <f t="shared" si="32"/>
        <v>-1.347438481651074</v>
      </c>
      <c r="X35" s="15">
        <f t="shared" si="32"/>
        <v>-0.84244160205362428</v>
      </c>
      <c r="Y35" s="15">
        <f t="shared" si="32"/>
        <v>-0.60004979222126931</v>
      </c>
      <c r="Z35" s="15">
        <f t="shared" si="32"/>
        <v>-0.47723736572574049</v>
      </c>
      <c r="AA35" s="15">
        <f t="shared" si="32"/>
        <v>-0.39654625155706436</v>
      </c>
      <c r="AB35" s="15">
        <f t="shared" si="32"/>
        <v>-0.29523440049093819</v>
      </c>
      <c r="AF35" s="11" t="s">
        <v>38</v>
      </c>
      <c r="AG35" s="14">
        <f t="shared" ref="AG35:AL38" si="34">O16-(O$25+O$26*O10)</f>
        <v>-3.8138089347390311E-3</v>
      </c>
      <c r="AH35" s="14">
        <f t="shared" si="34"/>
        <v>-1.1361923940387195E-3</v>
      </c>
      <c r="AI35" s="14">
        <f t="shared" si="34"/>
        <v>-9.2255223449255047E-4</v>
      </c>
      <c r="AJ35" s="14">
        <f t="shared" si="34"/>
        <v>-4.1655580712057771E-4</v>
      </c>
      <c r="AK35" s="14">
        <f t="shared" si="34"/>
        <v>-6.5814421658953737E-4</v>
      </c>
      <c r="AL35" s="14">
        <f t="shared" si="34"/>
        <v>2.9595029937595774E-4</v>
      </c>
    </row>
    <row r="36" spans="2:38" ht="15" thickBot="1" x14ac:dyDescent="0.35">
      <c r="B36" s="71" t="s">
        <v>83</v>
      </c>
      <c r="C36" s="72">
        <f>SUM(C30:H30)</f>
        <v>1.1275942708333334E-3</v>
      </c>
      <c r="D36" s="137"/>
      <c r="E36" s="73" t="s">
        <v>85</v>
      </c>
      <c r="F36" s="72">
        <f>SUM(C35:H35)/4</f>
        <v>2.8128275534918833E-6</v>
      </c>
      <c r="G36" s="137"/>
      <c r="H36" s="138"/>
      <c r="V36" s="11" t="s">
        <v>27</v>
      </c>
      <c r="W36" s="15">
        <f t="shared" si="32"/>
        <v>0.94500064215280499</v>
      </c>
      <c r="X36" s="15">
        <f t="shared" si="32"/>
        <v>0.72795649874988033</v>
      </c>
      <c r="Y36" s="15">
        <f t="shared" si="32"/>
        <v>0.50401760141609309</v>
      </c>
      <c r="Z36" s="15">
        <f t="shared" si="32"/>
        <v>0.44627864356600222</v>
      </c>
      <c r="AA36" s="15">
        <f t="shared" si="32"/>
        <v>0.40986937194740936</v>
      </c>
      <c r="AB36" s="15">
        <f t="shared" si="32"/>
        <v>0.29705315674306609</v>
      </c>
      <c r="AF36" s="11" t="s">
        <v>39</v>
      </c>
      <c r="AG36" s="14">
        <f t="shared" si="34"/>
        <v>1.5886953146104499E-3</v>
      </c>
      <c r="AH36" s="14">
        <f t="shared" si="34"/>
        <v>-7.3141883887320458E-4</v>
      </c>
      <c r="AI36" s="14">
        <f t="shared" si="34"/>
        <v>-2.1176876033903863E-3</v>
      </c>
      <c r="AJ36" s="14">
        <f t="shared" si="34"/>
        <v>-6.9587277333221786E-4</v>
      </c>
      <c r="AK36" s="14">
        <f t="shared" si="34"/>
        <v>2.3577260817776724E-3</v>
      </c>
      <c r="AL36" s="14">
        <f t="shared" si="34"/>
        <v>-9.2444199097538315E-4</v>
      </c>
    </row>
    <row r="37" spans="2:38" x14ac:dyDescent="0.3">
      <c r="V37" s="11" t="s">
        <v>28</v>
      </c>
      <c r="W37" s="15">
        <f t="shared" si="32"/>
        <v>4.0547262933328136</v>
      </c>
      <c r="X37" s="15">
        <f t="shared" si="32"/>
        <v>2.7087034970763986</v>
      </c>
      <c r="Y37" s="15">
        <f t="shared" si="32"/>
        <v>2.0589240762224961</v>
      </c>
      <c r="Z37" s="15">
        <f t="shared" si="32"/>
        <v>1.5053785717366024</v>
      </c>
      <c r="AA37" s="15">
        <f t="shared" si="32"/>
        <v>1.0674157398739696</v>
      </c>
      <c r="AB37" s="15">
        <f t="shared" si="32"/>
        <v>0.92571875553863303</v>
      </c>
      <c r="AF37" s="11" t="s">
        <v>40</v>
      </c>
      <c r="AG37" s="14">
        <f t="shared" si="34"/>
        <v>6.6921298437516152E-3</v>
      </c>
      <c r="AH37" s="14">
        <f t="shared" si="34"/>
        <v>4.3531626961570424E-3</v>
      </c>
      <c r="AI37" s="14">
        <f t="shared" si="34"/>
        <v>6.0075711641974783E-3</v>
      </c>
      <c r="AJ37" s="14">
        <f t="shared" si="34"/>
        <v>2.4746491974827756E-3</v>
      </c>
      <c r="AK37" s="14">
        <f t="shared" si="34"/>
        <v>-3.099136339134112E-3</v>
      </c>
      <c r="AL37" s="14">
        <f t="shared" si="34"/>
        <v>9.2295271193895689E-4</v>
      </c>
    </row>
    <row r="38" spans="2:38" x14ac:dyDescent="0.3">
      <c r="AF38" s="11" t="s">
        <v>41</v>
      </c>
      <c r="AG38" s="14">
        <f t="shared" si="34"/>
        <v>-4.4670162236231103E-3</v>
      </c>
      <c r="AH38" s="14">
        <f t="shared" si="34"/>
        <v>-2.4855514632451114E-3</v>
      </c>
      <c r="AI38" s="14">
        <f t="shared" si="34"/>
        <v>-2.9673313263146039E-3</v>
      </c>
      <c r="AJ38" s="14">
        <f t="shared" si="34"/>
        <v>-1.3622206170299522E-3</v>
      </c>
      <c r="AK38" s="14">
        <f t="shared" si="34"/>
        <v>1.3995544739460464E-3</v>
      </c>
      <c r="AL38" s="14">
        <f t="shared" si="34"/>
        <v>-2.9446102033955923E-4</v>
      </c>
    </row>
    <row r="39" spans="2:38" x14ac:dyDescent="0.3">
      <c r="N39" s="11" t="s">
        <v>44</v>
      </c>
      <c r="O39" s="16">
        <v>1</v>
      </c>
      <c r="P39" s="16">
        <v>2</v>
      </c>
      <c r="Q39" s="16">
        <v>3</v>
      </c>
      <c r="R39" s="16">
        <v>4</v>
      </c>
      <c r="S39" s="16">
        <v>5</v>
      </c>
      <c r="T39" s="16">
        <v>6</v>
      </c>
      <c r="V39" s="11" t="s">
        <v>43</v>
      </c>
      <c r="W39" s="16">
        <v>1</v>
      </c>
      <c r="X39" s="16">
        <v>2</v>
      </c>
      <c r="Y39" s="16">
        <v>3</v>
      </c>
      <c r="Z39" s="16">
        <v>4</v>
      </c>
      <c r="AA39" s="16">
        <v>5</v>
      </c>
      <c r="AB39" s="16">
        <v>6</v>
      </c>
    </row>
    <row r="40" spans="2:38" x14ac:dyDescent="0.3">
      <c r="N40" s="11" t="s">
        <v>45</v>
      </c>
      <c r="O40" s="23">
        <f t="shared" ref="O40:T43" si="35">AG35*AG35</f>
        <v>1.4545138590695263E-5</v>
      </c>
      <c r="P40" s="23">
        <f t="shared" si="35"/>
        <v>1.2909331562714368E-6</v>
      </c>
      <c r="Q40" s="23">
        <f t="shared" si="35"/>
        <v>8.5110262536719787E-7</v>
      </c>
      <c r="R40" s="23">
        <f t="shared" si="35"/>
        <v>1.7351874044587594E-7</v>
      </c>
      <c r="S40" s="22">
        <f t="shared" si="35"/>
        <v>4.3315380983025586E-7</v>
      </c>
      <c r="T40" s="22">
        <f t="shared" si="35"/>
        <v>8.7586579700719014E-8</v>
      </c>
      <c r="V40" s="11" t="s">
        <v>33</v>
      </c>
      <c r="W40" s="15">
        <f>W34*W34</f>
        <v>13.339210950013126</v>
      </c>
      <c r="X40" s="15">
        <f t="shared" ref="X40:AB40" si="36">X34*X34</f>
        <v>6.7299690745883742</v>
      </c>
      <c r="Y40" s="15">
        <f t="shared" si="36"/>
        <v>3.8529445538371623</v>
      </c>
      <c r="Z40" s="15">
        <f t="shared" si="36"/>
        <v>2.1739138928262647</v>
      </c>
      <c r="AA40" s="15">
        <f t="shared" si="36"/>
        <v>1.1679964840854118</v>
      </c>
      <c r="AB40" s="15">
        <f t="shared" si="36"/>
        <v>0.86032583577899602</v>
      </c>
      <c r="AF40" s="11" t="s">
        <v>103</v>
      </c>
      <c r="AG40" s="37">
        <f t="shared" ref="AG40:AL40" si="37">ABS(AG32/O25)</f>
        <v>2.8079108787496136E-2</v>
      </c>
      <c r="AH40" s="37">
        <f t="shared" si="37"/>
        <v>3.4603224330375923E-2</v>
      </c>
      <c r="AI40" s="37">
        <f t="shared" si="37"/>
        <v>3.8031808767708071E-2</v>
      </c>
      <c r="AJ40" s="37">
        <f t="shared" si="37"/>
        <v>3.0197366201762072E-2</v>
      </c>
      <c r="AK40" s="37">
        <f t="shared" si="37"/>
        <v>6.0585032977941815E-3</v>
      </c>
      <c r="AL40" s="37">
        <f t="shared" si="37"/>
        <v>7.4471250516997326E-4</v>
      </c>
    </row>
    <row r="41" spans="2:38" x14ac:dyDescent="0.3">
      <c r="N41" s="11" t="s">
        <v>46</v>
      </c>
      <c r="O41" s="23">
        <f t="shared" si="35"/>
        <v>2.5239528026651961E-6</v>
      </c>
      <c r="P41" s="23">
        <f t="shared" si="35"/>
        <v>5.3497351785862685E-7</v>
      </c>
      <c r="Q41" s="23">
        <f t="shared" si="35"/>
        <v>4.4846007855533183E-6</v>
      </c>
      <c r="R41" s="23">
        <f t="shared" si="35"/>
        <v>4.8423891666507226E-7</v>
      </c>
      <c r="S41" s="22">
        <f t="shared" si="35"/>
        <v>5.5588722766946958E-6</v>
      </c>
      <c r="T41" s="22">
        <f t="shared" si="35"/>
        <v>8.5459299467853039E-7</v>
      </c>
      <c r="V41" s="11" t="s">
        <v>34</v>
      </c>
      <c r="W41" s="15">
        <f t="shared" ref="W41:AB43" si="38">W35*W35</f>
        <v>1.8155904618341518</v>
      </c>
      <c r="X41" s="15">
        <f t="shared" si="38"/>
        <v>0.70970785287067706</v>
      </c>
      <c r="Y41" s="15">
        <f t="shared" si="38"/>
        <v>0.36005975314478844</v>
      </c>
      <c r="Z41" s="15">
        <f t="shared" si="38"/>
        <v>0.2277555032448442</v>
      </c>
      <c r="AA41" s="15">
        <f t="shared" si="38"/>
        <v>0.15724892962395856</v>
      </c>
      <c r="AB41" s="15">
        <f t="shared" si="38"/>
        <v>8.7163351233243688E-2</v>
      </c>
      <c r="AF41" s="11" t="s">
        <v>104</v>
      </c>
      <c r="AG41" s="37">
        <f t="shared" ref="AG41:AL41" si="39">AG31/O26</f>
        <v>1.3426007222769356E-4</v>
      </c>
      <c r="AH41" s="37">
        <f t="shared" si="39"/>
        <v>6.3627956017280889E-5</v>
      </c>
      <c r="AI41" s="37">
        <f t="shared" si="39"/>
        <v>1.5648923253332327E-4</v>
      </c>
      <c r="AJ41" s="37">
        <f t="shared" si="39"/>
        <v>3.5774299359394648E-5</v>
      </c>
      <c r="AK41" s="37">
        <f t="shared" si="39"/>
        <v>9.857998374194441E-5</v>
      </c>
      <c r="AL41" s="37">
        <f t="shared" si="39"/>
        <v>1.2425881184570997E-5</v>
      </c>
    </row>
    <row r="42" spans="2:38" x14ac:dyDescent="0.3">
      <c r="N42" s="11" t="s">
        <v>47</v>
      </c>
      <c r="O42" s="23">
        <f t="shared" si="35"/>
        <v>4.4784601845631021E-5</v>
      </c>
      <c r="P42" s="23">
        <f t="shared" si="35"/>
        <v>1.8950025459213252E-5</v>
      </c>
      <c r="Q42" s="23">
        <f t="shared" si="35"/>
        <v>3.6090911292897041E-5</v>
      </c>
      <c r="R42" s="23">
        <f t="shared" si="35"/>
        <v>6.1238886506021448E-6</v>
      </c>
      <c r="S42" s="22">
        <f t="shared" si="35"/>
        <v>9.6046460485415866E-6</v>
      </c>
      <c r="T42" s="22">
        <f t="shared" si="35"/>
        <v>8.518417084754751E-7</v>
      </c>
      <c r="V42" s="11" t="s">
        <v>35</v>
      </c>
      <c r="W42" s="15">
        <f t="shared" si="38"/>
        <v>0.89302621366921375</v>
      </c>
      <c r="X42" s="15">
        <f t="shared" si="38"/>
        <v>0.52992066407218452</v>
      </c>
      <c r="Y42" s="15">
        <f t="shared" si="38"/>
        <v>0.25403374253723165</v>
      </c>
      <c r="Z42" s="15">
        <f t="shared" si="38"/>
        <v>0.19916462770311086</v>
      </c>
      <c r="AA42" s="15">
        <f t="shared" si="38"/>
        <v>0.1679929020605638</v>
      </c>
      <c r="AB42" s="15">
        <f t="shared" si="38"/>
        <v>8.8240577931020595E-2</v>
      </c>
      <c r="AF42" s="11" t="s">
        <v>101</v>
      </c>
      <c r="AG42" s="8">
        <f t="shared" ref="AG42:AL42" si="40">AG40/O25</f>
        <v>5.7856055823069781</v>
      </c>
      <c r="AH42" s="8">
        <f t="shared" si="40"/>
        <v>25.764341710347189</v>
      </c>
      <c r="AI42" s="8">
        <f t="shared" si="40"/>
        <v>16.936634414412072</v>
      </c>
      <c r="AJ42" s="8">
        <f t="shared" si="40"/>
        <v>-60.30415069356286</v>
      </c>
      <c r="AK42" s="8">
        <f t="shared" si="40"/>
        <v>-1.1251059470353475</v>
      </c>
      <c r="AL42" s="8">
        <f t="shared" si="40"/>
        <v>0.17955833304784274</v>
      </c>
    </row>
    <row r="43" spans="2:38" x14ac:dyDescent="0.3">
      <c r="N43" s="11" t="s">
        <v>48</v>
      </c>
      <c r="O43" s="23">
        <f t="shared" si="35"/>
        <v>1.9954233942112073E-5</v>
      </c>
      <c r="P43" s="23">
        <f t="shared" si="35"/>
        <v>6.1779660764399143E-6</v>
      </c>
      <c r="Q43" s="23">
        <f t="shared" si="35"/>
        <v>8.8050552001279866E-6</v>
      </c>
      <c r="R43" s="23">
        <f t="shared" si="35"/>
        <v>1.8556450094614637E-6</v>
      </c>
      <c r="S43" s="22">
        <f t="shared" si="35"/>
        <v>1.9587527255423947E-6</v>
      </c>
      <c r="T43" s="22">
        <f t="shared" si="35"/>
        <v>8.6707292499414315E-8</v>
      </c>
      <c r="V43" s="11" t="s">
        <v>36</v>
      </c>
      <c r="W43" s="15">
        <f t="shared" si="38"/>
        <v>16.440805313844457</v>
      </c>
      <c r="X43" s="15">
        <f t="shared" si="38"/>
        <v>7.3370746350739111</v>
      </c>
      <c r="Y43" s="15">
        <f t="shared" si="38"/>
        <v>4.2391683516486589</v>
      </c>
      <c r="Z43" s="15">
        <f t="shared" si="38"/>
        <v>2.2661646442437329</v>
      </c>
      <c r="AA43" s="15">
        <f t="shared" si="38"/>
        <v>1.139376361730694</v>
      </c>
      <c r="AB43" s="15">
        <f t="shared" si="38"/>
        <v>0.85695521435599542</v>
      </c>
      <c r="AF43" s="11" t="s">
        <v>102</v>
      </c>
      <c r="AG43" s="75">
        <f t="shared" ref="AG43:AL43" si="41">AG41/AG31</f>
        <v>53.319114116671649</v>
      </c>
      <c r="AH43" s="75">
        <f t="shared" si="41"/>
        <v>36.133262047115224</v>
      </c>
      <c r="AI43" s="75">
        <f t="shared" si="41"/>
        <v>27.122880059546798</v>
      </c>
      <c r="AJ43" s="75">
        <f t="shared" si="41"/>
        <v>20.158341421834258</v>
      </c>
      <c r="AK43" s="75">
        <f t="shared" si="41"/>
        <v>14.783072136814935</v>
      </c>
      <c r="AL43" s="75">
        <f t="shared" si="41"/>
        <v>12.504876557302433</v>
      </c>
    </row>
    <row r="44" spans="2:38" x14ac:dyDescent="0.3">
      <c r="AF44" s="11" t="s">
        <v>83</v>
      </c>
      <c r="AG44" s="19">
        <f t="shared" ref="AG44:AL44" si="42">SUM(W40:W43)</f>
        <v>32.488632939360947</v>
      </c>
      <c r="AH44" s="19">
        <f t="shared" si="42"/>
        <v>15.306672226605148</v>
      </c>
      <c r="AI44" s="19">
        <f t="shared" si="42"/>
        <v>8.7062064011678402</v>
      </c>
      <c r="AJ44" s="19">
        <f t="shared" si="42"/>
        <v>4.8669986680179527</v>
      </c>
      <c r="AK44" s="19">
        <f t="shared" si="42"/>
        <v>2.6326146775006283</v>
      </c>
      <c r="AL44" s="19">
        <f t="shared" si="42"/>
        <v>1.8926849792992559</v>
      </c>
    </row>
    <row r="45" spans="2:38" ht="15" thickBot="1" x14ac:dyDescent="0.35">
      <c r="V45" s="11" t="s">
        <v>37</v>
      </c>
      <c r="W45" s="16">
        <v>1</v>
      </c>
      <c r="X45" s="16">
        <v>2</v>
      </c>
      <c r="Y45" s="16">
        <v>3</v>
      </c>
      <c r="Z45" s="16">
        <v>4</v>
      </c>
      <c r="AA45" s="16">
        <v>5</v>
      </c>
      <c r="AB45" s="16">
        <v>6</v>
      </c>
      <c r="AF45" s="11" t="s">
        <v>105</v>
      </c>
      <c r="AG45" s="135">
        <f t="shared" ref="AG45:AL45" si="43">SUM(O40:O43)</f>
        <v>8.1807927181103552E-5</v>
      </c>
      <c r="AH45" s="135">
        <f t="shared" si="43"/>
        <v>2.6953898209783228E-5</v>
      </c>
      <c r="AI45" s="135">
        <f t="shared" si="43"/>
        <v>5.0231669903945542E-5</v>
      </c>
      <c r="AJ45" s="135">
        <f t="shared" si="43"/>
        <v>8.6372913171745566E-6</v>
      </c>
      <c r="AK45" s="135">
        <f t="shared" si="43"/>
        <v>1.7555424860608934E-5</v>
      </c>
      <c r="AL45" s="135">
        <f t="shared" si="43"/>
        <v>1.8807285753541388E-6</v>
      </c>
    </row>
    <row r="46" spans="2:38" x14ac:dyDescent="0.3">
      <c r="N46" s="142" t="s">
        <v>110</v>
      </c>
      <c r="O46" s="144" t="s">
        <v>5</v>
      </c>
      <c r="P46" s="144"/>
      <c r="Q46" s="144"/>
      <c r="R46" s="144"/>
      <c r="S46" s="144"/>
      <c r="T46" s="145"/>
      <c r="V46" s="11" t="s">
        <v>29</v>
      </c>
      <c r="W46" s="15">
        <f>W28*W34</f>
        <v>0.26410603539303829</v>
      </c>
      <c r="X46" s="15">
        <f t="shared" ref="X46:AB46" si="44">X28*X34</f>
        <v>0.18920165533867422</v>
      </c>
      <c r="Y46" s="15">
        <f t="shared" si="44"/>
        <v>0.14386601139274197</v>
      </c>
      <c r="Z46" s="15">
        <f t="shared" si="44"/>
        <v>0.10845608078198903</v>
      </c>
      <c r="AA46" s="15">
        <f t="shared" si="44"/>
        <v>7.9720331927313454E-2</v>
      </c>
      <c r="AB46" s="15">
        <f t="shared" si="44"/>
        <v>6.8524721588355403E-2</v>
      </c>
    </row>
    <row r="47" spans="2:38" ht="15" thickBot="1" x14ac:dyDescent="0.35">
      <c r="L47" s="141" t="s">
        <v>88</v>
      </c>
      <c r="N47" s="143"/>
      <c r="O47" s="119">
        <v>1</v>
      </c>
      <c r="P47" s="119">
        <v>2</v>
      </c>
      <c r="Q47" s="119">
        <v>3</v>
      </c>
      <c r="R47" s="119">
        <v>4</v>
      </c>
      <c r="S47" s="119">
        <v>5</v>
      </c>
      <c r="T47" s="120">
        <v>6</v>
      </c>
      <c r="V47" s="11" t="s">
        <v>30</v>
      </c>
      <c r="W47" s="15">
        <f t="shared" ref="W47:AB49" si="45">W29*W35</f>
        <v>3.1910730411154366E-2</v>
      </c>
      <c r="X47" s="15">
        <f t="shared" si="45"/>
        <v>2.0257577650047549E-2</v>
      </c>
      <c r="Y47" s="15">
        <f t="shared" si="45"/>
        <v>1.454584779919503E-2</v>
      </c>
      <c r="Z47" s="15">
        <f t="shared" si="45"/>
        <v>1.1630422005140724E-2</v>
      </c>
      <c r="AA47" s="15">
        <f t="shared" si="45"/>
        <v>9.7021466747902515E-3</v>
      </c>
      <c r="AB47" s="15">
        <f t="shared" si="45"/>
        <v>7.2432758712287163E-3</v>
      </c>
    </row>
    <row r="48" spans="2:38" x14ac:dyDescent="0.3">
      <c r="L48" s="141"/>
      <c r="N48" s="39" t="s">
        <v>106</v>
      </c>
      <c r="O48" s="121">
        <f t="shared" ref="O48:T50" si="46">(C4-C$7)*(C4-C$7)</f>
        <v>1.6000000000000029E-3</v>
      </c>
      <c r="P48" s="121">
        <f t="shared" si="46"/>
        <v>4.6944444444444497E-2</v>
      </c>
      <c r="Q48" s="121">
        <f t="shared" si="46"/>
        <v>7.11111111111144E-4</v>
      </c>
      <c r="R48" s="121">
        <f t="shared" si="46"/>
        <v>1.5999999999999318E-3</v>
      </c>
      <c r="S48" s="121">
        <f t="shared" si="46"/>
        <v>5.1377777777777335E-2</v>
      </c>
      <c r="T48" s="122">
        <f t="shared" si="46"/>
        <v>1.0677777777777812E-2</v>
      </c>
      <c r="V48" s="11" t="s">
        <v>31</v>
      </c>
      <c r="W48" s="15">
        <f t="shared" si="45"/>
        <v>2.3072773883987808E-2</v>
      </c>
      <c r="X48" s="15">
        <f t="shared" si="45"/>
        <v>1.783464304350843E-2</v>
      </c>
      <c r="Y48" s="15">
        <f t="shared" si="45"/>
        <v>1.2393952869926863E-2</v>
      </c>
      <c r="Z48" s="15">
        <f t="shared" si="45"/>
        <v>1.0984393725697629E-2</v>
      </c>
      <c r="AA48" s="15">
        <f t="shared" si="45"/>
        <v>1.0093628400513711E-2</v>
      </c>
      <c r="AB48" s="15">
        <f t="shared" si="45"/>
        <v>7.3306593395642021E-3</v>
      </c>
    </row>
    <row r="49" spans="4:28" x14ac:dyDescent="0.3">
      <c r="L49" s="141"/>
      <c r="N49" s="40" t="s">
        <v>107</v>
      </c>
      <c r="O49" s="115">
        <f t="shared" si="46"/>
        <v>4.9000000000000397E-3</v>
      </c>
      <c r="P49" s="115">
        <f t="shared" si="46"/>
        <v>8.7111111111111816E-3</v>
      </c>
      <c r="Q49" s="115">
        <f t="shared" si="46"/>
        <v>5.4444444444440743E-4</v>
      </c>
      <c r="R49" s="115">
        <f t="shared" si="46"/>
        <v>4.0000000000001845E-4</v>
      </c>
      <c r="S49" s="115">
        <f t="shared" si="46"/>
        <v>4.1344444444444364E-2</v>
      </c>
      <c r="T49" s="116">
        <f t="shared" si="46"/>
        <v>1.77777777777786E-4</v>
      </c>
      <c r="V49" s="11" t="s">
        <v>32</v>
      </c>
      <c r="W49" s="15">
        <f t="shared" si="45"/>
        <v>0.29023478007208547</v>
      </c>
      <c r="X49" s="15">
        <f t="shared" si="45"/>
        <v>0.19632334974291091</v>
      </c>
      <c r="Y49" s="15">
        <f t="shared" si="45"/>
        <v>0.15018540944757175</v>
      </c>
      <c r="Z49" s="15">
        <f t="shared" si="45"/>
        <v>0.11036755153063733</v>
      </c>
      <c r="AA49" s="15">
        <f t="shared" si="45"/>
        <v>7.8566949965258176E-2</v>
      </c>
      <c r="AB49" s="15">
        <f t="shared" si="45"/>
        <v>6.8257093945467459E-2</v>
      </c>
    </row>
    <row r="50" spans="4:28" x14ac:dyDescent="0.3">
      <c r="L50" s="141"/>
      <c r="N50" s="40" t="s">
        <v>108</v>
      </c>
      <c r="O50" s="115">
        <f t="shared" si="46"/>
        <v>9.0000000000001494E-4</v>
      </c>
      <c r="P50" s="115">
        <f t="shared" si="46"/>
        <v>1.5211111111111047E-2</v>
      </c>
      <c r="Q50" s="115">
        <f t="shared" si="46"/>
        <v>1.1111111111108664E-5</v>
      </c>
      <c r="R50" s="115">
        <f t="shared" si="46"/>
        <v>4.0000000000001845E-4</v>
      </c>
      <c r="S50" s="115">
        <f t="shared" si="46"/>
        <v>5.4444444444444885E-4</v>
      </c>
      <c r="T50" s="116">
        <f t="shared" si="46"/>
        <v>1.3611111111111221E-2</v>
      </c>
    </row>
    <row r="51" spans="4:28" x14ac:dyDescent="0.3">
      <c r="L51" s="141"/>
      <c r="N51" s="40" t="s">
        <v>109</v>
      </c>
      <c r="O51" s="117">
        <f t="shared" ref="O51:T51" si="47">SQRT(SUM(O48:O50)/6)*2.446/C7</f>
        <v>1.9478616084261449E-2</v>
      </c>
      <c r="P51" s="117">
        <f t="shared" si="47"/>
        <v>5.0030491325420486E-2</v>
      </c>
      <c r="Q51" s="117">
        <f t="shared" si="47"/>
        <v>5.7445403102911958E-3</v>
      </c>
      <c r="R51" s="136">
        <f t="shared" si="47"/>
        <v>6.9488636363635916E-3</v>
      </c>
      <c r="S51" s="117">
        <f t="shared" si="47"/>
        <v>3.8635239776910621E-2</v>
      </c>
      <c r="T51" s="123">
        <f t="shared" si="47"/>
        <v>1.6699436554666467E-2</v>
      </c>
    </row>
    <row r="52" spans="4:28" x14ac:dyDescent="0.3">
      <c r="L52" s="141"/>
      <c r="N52" s="40" t="s">
        <v>97</v>
      </c>
      <c r="O52" s="118">
        <f t="shared" ref="O52:T52" si="48">SQRT(SUM(O48:O50)/6)*2.446</f>
        <v>8.5900696931592996E-2</v>
      </c>
      <c r="P52" s="118">
        <f t="shared" si="48"/>
        <v>0.26582867724240083</v>
      </c>
      <c r="Q52" s="118">
        <f t="shared" si="48"/>
        <v>3.5539556053001534E-2</v>
      </c>
      <c r="R52" s="118">
        <f t="shared" si="48"/>
        <v>4.8919999999999679E-2</v>
      </c>
      <c r="S52" s="118">
        <f t="shared" si="48"/>
        <v>0.30496082597241453</v>
      </c>
      <c r="T52" s="124">
        <f t="shared" si="48"/>
        <v>0.15619539657464704</v>
      </c>
    </row>
    <row r="53" spans="4:28" x14ac:dyDescent="0.3">
      <c r="L53" s="141"/>
      <c r="N53" s="40" t="s">
        <v>96</v>
      </c>
      <c r="O53" s="118">
        <f t="shared" ref="O53:T53" si="49">2*C7*O52</f>
        <v>0.75764414693665028</v>
      </c>
      <c r="P53" s="118">
        <f t="shared" si="49"/>
        <v>2.8248727434959129</v>
      </c>
      <c r="Q53" s="118">
        <f t="shared" si="49"/>
        <v>0.43974277356247238</v>
      </c>
      <c r="R53" s="118">
        <f t="shared" si="49"/>
        <v>0.68879359999999534</v>
      </c>
      <c r="S53" s="118">
        <f t="shared" si="49"/>
        <v>4.8143149060178505</v>
      </c>
      <c r="T53" s="124">
        <f t="shared" si="49"/>
        <v>2.9218952185897304</v>
      </c>
    </row>
    <row r="54" spans="4:28" x14ac:dyDescent="0.3">
      <c r="L54" s="141"/>
      <c r="N54" s="40" t="s">
        <v>98</v>
      </c>
      <c r="O54" s="125">
        <f>SQRT(2)*O51</f>
        <v>2.7546923042621255E-2</v>
      </c>
      <c r="P54" s="125">
        <f t="shared" ref="P54:T54" si="50">SQRT(2)*P51</f>
        <v>7.0753799364599135E-2</v>
      </c>
      <c r="Q54" s="125">
        <f t="shared" si="50"/>
        <v>8.1240068164127582E-3</v>
      </c>
      <c r="R54" s="125">
        <f t="shared" si="50"/>
        <v>9.8271771976266142E-3</v>
      </c>
      <c r="S54" s="125">
        <f t="shared" si="50"/>
        <v>5.4638480078043478E-2</v>
      </c>
      <c r="T54" s="125">
        <f t="shared" si="50"/>
        <v>2.3616569659598352E-2</v>
      </c>
    </row>
    <row r="55" spans="4:28" x14ac:dyDescent="0.3">
      <c r="L55" s="141"/>
      <c r="N55" s="40" t="s">
        <v>92</v>
      </c>
      <c r="O55" s="127">
        <f t="shared" ref="O55:T55" si="51">SQRT(O54*O54+0.0074*0.0074)</f>
        <v>2.8523551130883017E-2</v>
      </c>
      <c r="P55" s="127">
        <f t="shared" si="51"/>
        <v>7.1139722550245782E-2</v>
      </c>
      <c r="Q55" s="127">
        <f t="shared" si="51"/>
        <v>1.0989062141653443E-2</v>
      </c>
      <c r="R55" s="127">
        <f t="shared" si="51"/>
        <v>1.2301764575602659E-2</v>
      </c>
      <c r="S55" s="127">
        <f t="shared" si="51"/>
        <v>5.5137314998454125E-2</v>
      </c>
      <c r="T55" s="128">
        <f t="shared" si="51"/>
        <v>2.4748785070921389E-2</v>
      </c>
    </row>
    <row r="56" spans="4:28" x14ac:dyDescent="0.3">
      <c r="L56" s="141"/>
      <c r="N56" s="40" t="s">
        <v>89</v>
      </c>
      <c r="O56" s="129">
        <f>O55*100</f>
        <v>2.8523551130883016</v>
      </c>
      <c r="P56" s="129">
        <f t="shared" ref="P56:T56" si="52">P55*100</f>
        <v>7.1139722550245779</v>
      </c>
      <c r="Q56" s="129">
        <f t="shared" si="52"/>
        <v>1.0989062141653443</v>
      </c>
      <c r="R56" s="129">
        <f t="shared" si="52"/>
        <v>1.2301764575602658</v>
      </c>
      <c r="S56" s="129">
        <f t="shared" si="52"/>
        <v>5.5137314998454121</v>
      </c>
      <c r="T56" s="130">
        <f t="shared" si="52"/>
        <v>2.4748785070921389</v>
      </c>
    </row>
    <row r="57" spans="4:28" x14ac:dyDescent="0.3">
      <c r="L57" s="141"/>
      <c r="N57" s="40" t="s">
        <v>90</v>
      </c>
      <c r="O57" s="112">
        <f t="shared" ref="O57:T57" si="53">O55*O4</f>
        <v>2.0533096592076461E-3</v>
      </c>
      <c r="P57" s="112">
        <f t="shared" si="53"/>
        <v>3.5278172386297136E-3</v>
      </c>
      <c r="Q57" s="113">
        <f t="shared" si="53"/>
        <v>4.0195295948610674E-4</v>
      </c>
      <c r="R57" s="112">
        <f t="shared" si="53"/>
        <v>3.4749625528319761E-4</v>
      </c>
      <c r="S57" s="112">
        <f t="shared" si="53"/>
        <v>1.238947097598687E-3</v>
      </c>
      <c r="T57" s="114">
        <f t="shared" si="53"/>
        <v>3.9604915936374181E-4</v>
      </c>
    </row>
    <row r="58" spans="4:28" x14ac:dyDescent="0.3">
      <c r="L58" s="141"/>
      <c r="N58" s="40" t="s">
        <v>91</v>
      </c>
      <c r="O58" s="126">
        <f>SQRT(O55*O55+0.0108*0.0108)</f>
        <v>3.0499720803904055E-2</v>
      </c>
      <c r="P58" s="126">
        <f t="shared" ref="P58:T58" si="54">SQRT(P55*P55+0.0108*0.0108)</f>
        <v>7.1954847818100132E-2</v>
      </c>
      <c r="Q58" s="126">
        <f t="shared" si="54"/>
        <v>1.5407773581965727E-2</v>
      </c>
      <c r="R58" s="126">
        <f t="shared" si="54"/>
        <v>1.636989345333538E-2</v>
      </c>
      <c r="S58" s="126">
        <f t="shared" si="54"/>
        <v>5.6185082586383675E-2</v>
      </c>
      <c r="T58" s="126">
        <f t="shared" si="54"/>
        <v>2.7002636213648873E-2</v>
      </c>
    </row>
    <row r="59" spans="4:28" x14ac:dyDescent="0.3">
      <c r="L59" s="141"/>
      <c r="N59" s="40" t="s">
        <v>99</v>
      </c>
      <c r="O59" s="129">
        <f>O58*100</f>
        <v>3.0499720803904053</v>
      </c>
      <c r="P59" s="129">
        <f t="shared" ref="P59:T59" si="55">P58*100</f>
        <v>7.1954847818100127</v>
      </c>
      <c r="Q59" s="129">
        <f t="shared" si="55"/>
        <v>1.5407773581965727</v>
      </c>
      <c r="R59" s="129">
        <f t="shared" si="55"/>
        <v>1.636989345333538</v>
      </c>
      <c r="S59" s="129">
        <f t="shared" si="55"/>
        <v>5.6185082586383679</v>
      </c>
      <c r="T59" s="130">
        <f t="shared" si="55"/>
        <v>2.7002636213648872</v>
      </c>
    </row>
    <row r="60" spans="4:28" x14ac:dyDescent="0.3">
      <c r="L60" s="141"/>
      <c r="N60" s="40" t="s">
        <v>93</v>
      </c>
      <c r="O60" s="133">
        <f t="shared" ref="O60:T60" si="56">O10*O58</f>
        <v>9.5459440489583255E-2</v>
      </c>
      <c r="P60" s="133">
        <f t="shared" si="56"/>
        <v>0.1551408383608458</v>
      </c>
      <c r="Q60" s="133">
        <f t="shared" si="56"/>
        <v>2.4503417127235159E-2</v>
      </c>
      <c r="R60" s="133">
        <f t="shared" si="56"/>
        <v>2.0104845226133643E-2</v>
      </c>
      <c r="S60" s="133">
        <f t="shared" si="56"/>
        <v>5.4890898099782683E-2</v>
      </c>
      <c r="T60" s="134">
        <f t="shared" si="56"/>
        <v>1.8787696731768819E-2</v>
      </c>
    </row>
    <row r="61" spans="4:28" x14ac:dyDescent="0.3">
      <c r="L61" s="141"/>
      <c r="N61" s="40" t="s">
        <v>94</v>
      </c>
      <c r="O61" s="115">
        <f>SQRT(0.0265*0.0265+0.0108*0.0108+0.0003*0.0003)</f>
        <v>2.8617826612096175E-2</v>
      </c>
      <c r="P61" s="115">
        <f t="shared" ref="P61:T61" si="57">SQRT(0.0265*0.0265+0.0108*0.0108+0.0003*0.0003)</f>
        <v>2.8617826612096175E-2</v>
      </c>
      <c r="Q61" s="115">
        <f t="shared" si="57"/>
        <v>2.8617826612096175E-2</v>
      </c>
      <c r="R61" s="115">
        <f t="shared" si="57"/>
        <v>2.8617826612096175E-2</v>
      </c>
      <c r="S61" s="115">
        <f t="shared" si="57"/>
        <v>2.8617826612096175E-2</v>
      </c>
      <c r="T61" s="115">
        <f t="shared" si="57"/>
        <v>2.8617826612096175E-2</v>
      </c>
    </row>
    <row r="62" spans="4:28" x14ac:dyDescent="0.3">
      <c r="L62" s="141"/>
      <c r="N62" s="40" t="s">
        <v>100</v>
      </c>
      <c r="O62" s="129">
        <f>O61*100</f>
        <v>2.8617826612096176</v>
      </c>
      <c r="P62" s="129">
        <f t="shared" ref="P62:T62" si="58">P61*100</f>
        <v>2.8617826612096176</v>
      </c>
      <c r="Q62" s="129">
        <f t="shared" si="58"/>
        <v>2.8617826612096176</v>
      </c>
      <c r="R62" s="129">
        <f t="shared" si="58"/>
        <v>2.8617826612096176</v>
      </c>
      <c r="S62" s="129">
        <f t="shared" si="58"/>
        <v>2.8617826612096176</v>
      </c>
      <c r="T62" s="129">
        <f t="shared" si="58"/>
        <v>2.8617826612096176</v>
      </c>
    </row>
    <row r="63" spans="4:28" ht="15" thickBot="1" x14ac:dyDescent="0.35">
      <c r="L63" s="141"/>
      <c r="N63" s="47" t="s">
        <v>95</v>
      </c>
      <c r="O63" s="131">
        <f t="shared" ref="O63:T63" si="59">O61*O16</f>
        <v>1.7096212667292226E-3</v>
      </c>
      <c r="P63" s="131">
        <f t="shared" si="59"/>
        <v>1.7135572721517487E-3</v>
      </c>
      <c r="Q63" s="131">
        <f t="shared" si="59"/>
        <v>1.7158441033005376E-3</v>
      </c>
      <c r="R63" s="131">
        <f t="shared" si="59"/>
        <v>1.7173080125266363E-3</v>
      </c>
      <c r="S63" s="131">
        <f t="shared" si="59"/>
        <v>1.7183233561509019E-3</v>
      </c>
      <c r="T63" s="132">
        <f t="shared" si="59"/>
        <v>1.7194599573135934E-3</v>
      </c>
    </row>
    <row r="64" spans="4:28" x14ac:dyDescent="0.3">
      <c r="D64" s="24"/>
      <c r="E64" s="25">
        <v>1</v>
      </c>
      <c r="F64" s="25">
        <v>2</v>
      </c>
      <c r="G64" s="25">
        <v>3</v>
      </c>
      <c r="H64" s="25">
        <v>4</v>
      </c>
      <c r="I64" s="25">
        <v>5</v>
      </c>
      <c r="J64" s="26">
        <v>6</v>
      </c>
      <c r="L64" s="141"/>
    </row>
    <row r="65" spans="3:12" x14ac:dyDescent="0.3">
      <c r="C65" s="27" t="s">
        <v>65</v>
      </c>
      <c r="D65" s="14" t="e">
        <f>2*$K$11/#REF!/#REF!</f>
        <v>#REF!</v>
      </c>
      <c r="E65" s="15" t="e">
        <f>2*$K$11/#REF!/#REF!</f>
        <v>#REF!</v>
      </c>
      <c r="F65" s="15" t="e">
        <f>2*$K$11/#REF!/#REF!</f>
        <v>#REF!</v>
      </c>
      <c r="G65" s="15" t="e">
        <f>2*$K$11/#REF!/#REF!</f>
        <v>#REF!</v>
      </c>
      <c r="H65" s="15" t="e">
        <f>2*$K$11/#REF!/#REF!</f>
        <v>#REF!</v>
      </c>
      <c r="I65" s="28" t="e">
        <f>2*$K$11/#REF!/#REF!</f>
        <v>#REF!</v>
      </c>
      <c r="L65" s="141"/>
    </row>
    <row r="66" spans="3:12" x14ac:dyDescent="0.3">
      <c r="C66" s="27" t="s">
        <v>66</v>
      </c>
      <c r="D66" s="14" t="e">
        <f>2*$K$11/#REF!/#REF!</f>
        <v>#REF!</v>
      </c>
      <c r="E66" s="14" t="e">
        <f>2*$K$11/#REF!/#REF!</f>
        <v>#REF!</v>
      </c>
      <c r="F66" s="15" t="e">
        <f>2*$K$11/#REF!/#REF!</f>
        <v>#REF!</v>
      </c>
      <c r="G66" s="15" t="e">
        <f>2*$K$11/#REF!/#REF!</f>
        <v>#REF!</v>
      </c>
      <c r="H66" s="15" t="e">
        <f>2*$K$11/#REF!/#REF!</f>
        <v>#REF!</v>
      </c>
      <c r="I66" s="28" t="e">
        <f>2*$K$11/#REF!/#REF!</f>
        <v>#REF!</v>
      </c>
      <c r="L66" s="141"/>
    </row>
    <row r="67" spans="3:12" x14ac:dyDescent="0.3">
      <c r="C67" s="27" t="s">
        <v>67</v>
      </c>
      <c r="D67" s="14" t="e">
        <f>2*$K$11/C81/C81</f>
        <v>#DIV/0!</v>
      </c>
      <c r="E67" s="14" t="e">
        <f>2*$K$11/D81/D81</f>
        <v>#DIV/0!</v>
      </c>
      <c r="F67" s="14" t="e">
        <f>2*$K$11/E81/E81</f>
        <v>#DIV/0!</v>
      </c>
      <c r="G67" s="15" t="e">
        <f>2*$K$11/F81/F81</f>
        <v>#DIV/0!</v>
      </c>
      <c r="H67" s="15" t="e">
        <f>2*$K$11/G81/G81</f>
        <v>#DIV/0!</v>
      </c>
      <c r="I67" s="28"/>
      <c r="L67" s="141"/>
    </row>
    <row r="68" spans="3:12" x14ac:dyDescent="0.3">
      <c r="C68" s="139" t="s">
        <v>4</v>
      </c>
      <c r="D68" s="106">
        <f t="shared" ref="D68:I70" si="60">(C8-C$11)*(C8-C$11)</f>
        <v>7.1111111111109662E-4</v>
      </c>
      <c r="E68" s="106">
        <f t="shared" si="60"/>
        <v>4.44444444444465E-5</v>
      </c>
      <c r="F68" s="106">
        <f t="shared" si="60"/>
        <v>2.2500000000000107E-2</v>
      </c>
      <c r="G68" s="106">
        <f t="shared" si="60"/>
        <v>3.9999999999998294E-4</v>
      </c>
      <c r="H68" s="106">
        <f t="shared" si="60"/>
        <v>5.8777777777777084E-3</v>
      </c>
      <c r="I68" s="106">
        <f t="shared" si="60"/>
        <v>1.6000000000000029E-3</v>
      </c>
      <c r="L68" s="141"/>
    </row>
    <row r="69" spans="3:12" x14ac:dyDescent="0.3">
      <c r="C69" s="139"/>
      <c r="D69" s="106">
        <f t="shared" si="60"/>
        <v>1.1111111111114584E-5</v>
      </c>
      <c r="E69" s="106">
        <f t="shared" si="60"/>
        <v>1.2844444444444334E-2</v>
      </c>
      <c r="F69" s="106">
        <f t="shared" si="60"/>
        <v>1.9599999999999909E-2</v>
      </c>
      <c r="G69" s="106">
        <f t="shared" si="60"/>
        <v>3.9999999999998294E-4</v>
      </c>
      <c r="H69" s="106">
        <f t="shared" si="60"/>
        <v>6.9444444444445429E-3</v>
      </c>
      <c r="I69" s="106">
        <f t="shared" si="60"/>
        <v>2.4999999999999823E-3</v>
      </c>
      <c r="L69" s="141"/>
    </row>
    <row r="70" spans="3:12" x14ac:dyDescent="0.3">
      <c r="C70" s="139"/>
      <c r="D70" s="106">
        <f t="shared" si="60"/>
        <v>5.4444444444446956E-4</v>
      </c>
      <c r="E70" s="106">
        <f t="shared" si="60"/>
        <v>1.137777777777783E-2</v>
      </c>
      <c r="F70" s="106">
        <f t="shared" si="60"/>
        <v>9.9999999999995736E-5</v>
      </c>
      <c r="G70" s="106">
        <f t="shared" si="60"/>
        <v>1.6000000000000029E-3</v>
      </c>
      <c r="H70" s="106">
        <f t="shared" si="60"/>
        <v>4.4444444444434655E-5</v>
      </c>
      <c r="I70" s="106">
        <f t="shared" si="60"/>
        <v>1.000000000000135E-4</v>
      </c>
    </row>
    <row r="71" spans="3:12" x14ac:dyDescent="0.3">
      <c r="C71" s="139"/>
      <c r="D71" s="107">
        <f>SQRT(SUM(D68:D70)/6)</f>
        <v>1.4529663145135659E-2</v>
      </c>
      <c r="E71" s="107">
        <f t="shared" ref="E71:I71" si="61">SQRT(SUM(E68:E70)/6)</f>
        <v>6.3595946761129632E-2</v>
      </c>
      <c r="F71" s="107">
        <f t="shared" si="61"/>
        <v>8.3864970836060843E-2</v>
      </c>
      <c r="G71" s="107">
        <f t="shared" si="61"/>
        <v>1.9999999999999872E-2</v>
      </c>
      <c r="H71" s="107">
        <f t="shared" si="61"/>
        <v>4.6308146631499389E-2</v>
      </c>
      <c r="I71" s="107">
        <f t="shared" si="61"/>
        <v>2.6457513110645901E-2</v>
      </c>
    </row>
    <row r="72" spans="3:12" x14ac:dyDescent="0.3">
      <c r="C72" s="139" t="s">
        <v>2</v>
      </c>
      <c r="D72" s="108">
        <f t="shared" ref="D72:I74" si="62">(C12-C$15)*(C12-C$15)</f>
        <v>9.3444444444444469E-3</v>
      </c>
      <c r="E72" s="108">
        <f t="shared" si="62"/>
        <v>6.9444444444444692E-3</v>
      </c>
      <c r="F72" s="108">
        <f t="shared" si="62"/>
        <v>7.1111111111109662E-4</v>
      </c>
      <c r="G72" s="108">
        <f t="shared" si="62"/>
        <v>7.5111111111111498E-3</v>
      </c>
      <c r="H72" s="108">
        <f t="shared" si="62"/>
        <v>1.1111111111111625E-3</v>
      </c>
      <c r="I72" s="108">
        <f t="shared" si="62"/>
        <v>9.0000000000001494E-4</v>
      </c>
    </row>
    <row r="73" spans="3:12" x14ac:dyDescent="0.3">
      <c r="C73" s="139"/>
      <c r="D73" s="108">
        <f t="shared" si="62"/>
        <v>1.1111111111111033E-3</v>
      </c>
      <c r="E73" s="108">
        <f t="shared" si="62"/>
        <v>9.3444444444444469E-3</v>
      </c>
      <c r="F73" s="108">
        <f t="shared" si="62"/>
        <v>5.4444444444444885E-4</v>
      </c>
      <c r="G73" s="108">
        <f t="shared" si="62"/>
        <v>1.7777777777777889E-2</v>
      </c>
      <c r="H73" s="108">
        <f t="shared" si="62"/>
        <v>1.3444444444444088E-3</v>
      </c>
      <c r="I73" s="108">
        <f t="shared" si="62"/>
        <v>9.0000000000001494E-4</v>
      </c>
    </row>
    <row r="74" spans="3:12" x14ac:dyDescent="0.3">
      <c r="C74" s="139"/>
      <c r="D74" s="108">
        <f t="shared" si="62"/>
        <v>4.0111111111111276E-3</v>
      </c>
      <c r="E74" s="108">
        <f t="shared" si="62"/>
        <v>1.77777777777786E-4</v>
      </c>
      <c r="F74" s="108">
        <f t="shared" si="62"/>
        <v>1.1111111111111625E-5</v>
      </c>
      <c r="G74" s="108">
        <f t="shared" si="62"/>
        <v>2.1777777777777954E-3</v>
      </c>
      <c r="H74" s="108">
        <f t="shared" si="62"/>
        <v>1.1111111111114584E-5</v>
      </c>
      <c r="I74" s="108">
        <f t="shared" si="62"/>
        <v>0</v>
      </c>
    </row>
    <row r="75" spans="3:12" x14ac:dyDescent="0.3">
      <c r="C75" s="139"/>
      <c r="D75" s="108">
        <f>SQRT(SUM(D72:D74)/6)</f>
        <v>4.9103066208854136E-2</v>
      </c>
      <c r="E75" s="108">
        <f t="shared" ref="E75:I75" si="63">SQRT(SUM(E72:E74)/6)</f>
        <v>5.2387445485005762E-2</v>
      </c>
      <c r="F75" s="108">
        <f t="shared" si="63"/>
        <v>1.4529663145135523E-2</v>
      </c>
      <c r="G75" s="108">
        <f t="shared" si="63"/>
        <v>6.7659277100615006E-2</v>
      </c>
      <c r="H75" s="108">
        <f t="shared" si="63"/>
        <v>2.0275875100994142E-2</v>
      </c>
      <c r="I75" s="108">
        <f t="shared" si="63"/>
        <v>1.7320508075688915E-2</v>
      </c>
    </row>
    <row r="76" spans="3:12" x14ac:dyDescent="0.3">
      <c r="C76" s="139" t="s">
        <v>3</v>
      </c>
      <c r="D76" s="93">
        <f>(C12-C$15)*(C12-C$15)</f>
        <v>9.3444444444444469E-3</v>
      </c>
      <c r="E76" s="93">
        <v>2.81</v>
      </c>
      <c r="F76" s="93">
        <v>3.32</v>
      </c>
      <c r="G76" s="93">
        <v>3.9</v>
      </c>
      <c r="H76" s="93">
        <v>4.4000000000000004</v>
      </c>
      <c r="I76" s="109">
        <v>4.88</v>
      </c>
    </row>
    <row r="77" spans="3:12" x14ac:dyDescent="0.3">
      <c r="C77" s="139"/>
      <c r="D77" s="93">
        <v>2.37</v>
      </c>
      <c r="E77" s="93">
        <v>2.94</v>
      </c>
      <c r="F77" s="93">
        <v>3.28</v>
      </c>
      <c r="G77" s="93">
        <v>3.66</v>
      </c>
      <c r="H77" s="93">
        <v>4.34</v>
      </c>
      <c r="I77" s="109">
        <v>4.84</v>
      </c>
    </row>
    <row r="78" spans="3:12" x14ac:dyDescent="0.3">
      <c r="C78" s="139"/>
      <c r="D78" s="93">
        <v>2.4300000000000002</v>
      </c>
      <c r="E78" s="93">
        <v>2.82</v>
      </c>
      <c r="F78" s="93">
        <v>3.28</v>
      </c>
      <c r="G78" s="93">
        <v>3.85</v>
      </c>
      <c r="H78" s="93">
        <v>4.5</v>
      </c>
      <c r="I78" s="109">
        <v>4.9400000000000004</v>
      </c>
    </row>
    <row r="79" spans="3:12" ht="15" thickBot="1" x14ac:dyDescent="0.35">
      <c r="C79" s="140"/>
      <c r="D79" s="110">
        <f>AVERAGE(D76:D78)</f>
        <v>1.6031148148148151</v>
      </c>
      <c r="E79" s="110">
        <f t="shared" ref="E79:I79" si="64">AVERAGE(E76:E78)</f>
        <v>2.8566666666666669</v>
      </c>
      <c r="F79" s="110">
        <f t="shared" si="64"/>
        <v>3.293333333333333</v>
      </c>
      <c r="G79" s="110">
        <f t="shared" si="64"/>
        <v>3.8033333333333332</v>
      </c>
      <c r="H79" s="110">
        <f t="shared" si="64"/>
        <v>4.4133333333333331</v>
      </c>
      <c r="I79" s="111">
        <f t="shared" si="64"/>
        <v>4.8866666666666667</v>
      </c>
    </row>
  </sheetData>
  <mergeCells count="16">
    <mergeCell ref="C2:H2"/>
    <mergeCell ref="AF7:AH15"/>
    <mergeCell ref="N2:T2"/>
    <mergeCell ref="N21:T21"/>
    <mergeCell ref="B4:B7"/>
    <mergeCell ref="B8:B11"/>
    <mergeCell ref="B12:B15"/>
    <mergeCell ref="B16:B19"/>
    <mergeCell ref="B2:B3"/>
    <mergeCell ref="B21:H21"/>
    <mergeCell ref="C72:C75"/>
    <mergeCell ref="C76:C79"/>
    <mergeCell ref="L47:L69"/>
    <mergeCell ref="N46:N47"/>
    <mergeCell ref="O46:T46"/>
    <mergeCell ref="C68:C71"/>
  </mergeCells>
  <pageMargins left="0.7" right="0.7" top="0.75" bottom="0.75" header="0.3" footer="0.3"/>
  <pageSetup paperSize="9" orientation="portrait" horizontalDpi="4294967293" verticalDpi="0" r:id="rId1"/>
  <ignoredErrors>
    <ignoredError sqref="C7:H7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FE72FA9-6C76-4EBD-9CB3-6AAB092C53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Лист1!O10:O10</xm:f>
              <xm:sqref>O16</xm:sqref>
            </x14:sparkline>
            <x14:sparkline>
              <xm:f>Лист1!O11:O11</xm:f>
              <xm:sqref>O17</xm:sqref>
            </x14:sparkline>
            <x14:sparkline>
              <xm:f>Лист1!O12:O12</xm:f>
              <xm:sqref>O18</xm:sqref>
            </x14:sparkline>
            <x14:sparkline>
              <xm:f>Лист1!O13:O13</xm:f>
              <xm:sqref>O19</xm:sqref>
            </x14:sparkline>
            <x14:sparkline>
              <xm:f>Лист1!O14:O14</xm:f>
              <xm:sqref>O20</xm:sqref>
            </x14:sparkline>
          </x14:sparklines>
        </x14:sparklineGroup>
        <x14:sparklineGroup displayEmptyCellsAs="gap" xr2:uid="{9F62E1F2-8CDE-4220-9CE4-71F39B8892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Лист1!W22:W22</xm:f>
              <xm:sqref>W28</xm:sqref>
            </x14:sparkline>
            <x14:sparkline>
              <xm:f>Лист1!W23:W23</xm:f>
              <xm:sqref>W29</xm:sqref>
            </x14:sparkline>
            <x14:sparkline>
              <xm:f>Лист1!W24:W24</xm:f>
              <xm:sqref>W30</xm:sqref>
            </x14:sparkline>
            <x14:sparkline>
              <xm:f>Лист1!W25:W25</xm:f>
              <xm:sqref>W31</xm:sqref>
            </x14:sparkline>
            <x14:sparkline>
              <xm:f>Лист1!X22:X22</xm:f>
              <xm:sqref>X28</xm:sqref>
            </x14:sparkline>
            <x14:sparkline>
              <xm:f>Лист1!Y22:Y22</xm:f>
              <xm:sqref>Y28</xm:sqref>
            </x14:sparkline>
            <x14:sparkline>
              <xm:f>Лист1!Z22:Z22</xm:f>
              <xm:sqref>Z28</xm:sqref>
            </x14:sparkline>
            <x14:sparkline>
              <xm:f>Лист1!AA22:AA22</xm:f>
              <xm:sqref>AA28</xm:sqref>
            </x14:sparkline>
            <x14:sparkline>
              <xm:f>Лист1!AB22:AB22</xm:f>
              <xm:sqref>AB28</xm:sqref>
            </x14:sparkline>
            <x14:sparkline>
              <xm:f>Лист1!X23:X23</xm:f>
              <xm:sqref>X29</xm:sqref>
            </x14:sparkline>
            <x14:sparkline>
              <xm:f>Лист1!Y23:Y23</xm:f>
              <xm:sqref>Y29</xm:sqref>
            </x14:sparkline>
            <x14:sparkline>
              <xm:f>Лист1!Z23:Z23</xm:f>
              <xm:sqref>Z29</xm:sqref>
            </x14:sparkline>
            <x14:sparkline>
              <xm:f>Лист1!AA23:AA23</xm:f>
              <xm:sqref>AA29</xm:sqref>
            </x14:sparkline>
            <x14:sparkline>
              <xm:f>Лист1!AB23:AB23</xm:f>
              <xm:sqref>AB29</xm:sqref>
            </x14:sparkline>
            <x14:sparkline>
              <xm:f>Лист1!X24:X24</xm:f>
              <xm:sqref>X30</xm:sqref>
            </x14:sparkline>
            <x14:sparkline>
              <xm:f>Лист1!Y24:Y24</xm:f>
              <xm:sqref>Y30</xm:sqref>
            </x14:sparkline>
            <x14:sparkline>
              <xm:f>Лист1!Z24:Z24</xm:f>
              <xm:sqref>Z30</xm:sqref>
            </x14:sparkline>
            <x14:sparkline>
              <xm:f>Лист1!AA24:AA24</xm:f>
              <xm:sqref>AA30</xm:sqref>
            </x14:sparkline>
            <x14:sparkline>
              <xm:f>Лист1!AB24:AB24</xm:f>
              <xm:sqref>AB30</xm:sqref>
            </x14:sparkline>
            <x14:sparkline>
              <xm:f>Лист1!X25:X25</xm:f>
              <xm:sqref>X31</xm:sqref>
            </x14:sparkline>
            <x14:sparkline>
              <xm:f>Лист1!Y25:Y25</xm:f>
              <xm:sqref>Y31</xm:sqref>
            </x14:sparkline>
            <x14:sparkline>
              <xm:f>Лист1!Z25:Z25</xm:f>
              <xm:sqref>Z31</xm:sqref>
            </x14:sparkline>
            <x14:sparkline>
              <xm:f>Лист1!AA25:AA25</xm:f>
              <xm:sqref>AA31</xm:sqref>
            </x14:sparkline>
            <x14:sparkline>
              <xm:f>Лист1!AB25:AB25</xm:f>
              <xm:sqref>AB31</xm:sqref>
            </x14:sparkline>
          </x14:sparklines>
        </x14:sparklineGroup>
        <x14:sparklineGroup displayEmptyCellsAs="gap" xr2:uid="{A034F342-8E2D-4CDF-91DF-497C78F08B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Лист1!W28:W28</xm:f>
              <xm:sqref>W34</xm:sqref>
            </x14:sparkline>
            <x14:sparkline>
              <xm:f>Лист1!W29:W29</xm:f>
              <xm:sqref>W35</xm:sqref>
            </x14:sparkline>
            <x14:sparkline>
              <xm:f>Лист1!W30:W30</xm:f>
              <xm:sqref>W36</xm:sqref>
            </x14:sparkline>
            <x14:sparkline>
              <xm:f>Лист1!W31:W31</xm:f>
              <xm:sqref>W37</xm:sqref>
            </x14:sparkline>
            <x14:sparkline>
              <xm:f>Лист1!X28:X28</xm:f>
              <xm:sqref>X34</xm:sqref>
            </x14:sparkline>
            <x14:sparkline>
              <xm:f>Лист1!Y28:Y28</xm:f>
              <xm:sqref>Y34</xm:sqref>
            </x14:sparkline>
            <x14:sparkline>
              <xm:f>Лист1!Z28:Z28</xm:f>
              <xm:sqref>Z34</xm:sqref>
            </x14:sparkline>
            <x14:sparkline>
              <xm:f>Лист1!AA28:AA28</xm:f>
              <xm:sqref>AA34</xm:sqref>
            </x14:sparkline>
            <x14:sparkline>
              <xm:f>Лист1!AB28:AB28</xm:f>
              <xm:sqref>AB34</xm:sqref>
            </x14:sparkline>
            <x14:sparkline>
              <xm:f>Лист1!X29:X29</xm:f>
              <xm:sqref>X35</xm:sqref>
            </x14:sparkline>
            <x14:sparkline>
              <xm:f>Лист1!Y29:Y29</xm:f>
              <xm:sqref>Y35</xm:sqref>
            </x14:sparkline>
            <x14:sparkline>
              <xm:f>Лист1!Z29:Z29</xm:f>
              <xm:sqref>Z35</xm:sqref>
            </x14:sparkline>
            <x14:sparkline>
              <xm:f>Лист1!AA29:AA29</xm:f>
              <xm:sqref>AA35</xm:sqref>
            </x14:sparkline>
            <x14:sparkline>
              <xm:f>Лист1!AB29:AB29</xm:f>
              <xm:sqref>AB35</xm:sqref>
            </x14:sparkline>
            <x14:sparkline>
              <xm:f>Лист1!X30:X30</xm:f>
              <xm:sqref>X36</xm:sqref>
            </x14:sparkline>
            <x14:sparkline>
              <xm:f>Лист1!Y30:Y30</xm:f>
              <xm:sqref>Y36</xm:sqref>
            </x14:sparkline>
            <x14:sparkline>
              <xm:f>Лист1!Z30:Z30</xm:f>
              <xm:sqref>Z36</xm:sqref>
            </x14:sparkline>
            <x14:sparkline>
              <xm:f>Лист1!AA30:AA30</xm:f>
              <xm:sqref>AA36</xm:sqref>
            </x14:sparkline>
            <x14:sparkline>
              <xm:f>Лист1!AB30:AB30</xm:f>
              <xm:sqref>AB36</xm:sqref>
            </x14:sparkline>
            <x14:sparkline>
              <xm:f>Лист1!X31:X31</xm:f>
              <xm:sqref>X37</xm:sqref>
            </x14:sparkline>
            <x14:sparkline>
              <xm:f>Лист1!Y31:Y31</xm:f>
              <xm:sqref>Y37</xm:sqref>
            </x14:sparkline>
            <x14:sparkline>
              <xm:f>Лист1!Z31:Z31</xm:f>
              <xm:sqref>Z37</xm:sqref>
            </x14:sparkline>
            <x14:sparkline>
              <xm:f>Лист1!AA31:AA31</xm:f>
              <xm:sqref>AA37</xm:sqref>
            </x14:sparkline>
            <x14:sparkline>
              <xm:f>Лист1!AB31:AB31</xm:f>
              <xm:sqref>AB37</xm:sqref>
            </x14:sparkline>
          </x14:sparklines>
        </x14:sparklineGroup>
        <x14:sparklineGroup displayEmptyCellsAs="gap" xr2:uid="{7285FB58-384F-4FEA-BBC2-65250E2B20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Лист1!W34:W34</xm:f>
              <xm:sqref>W40</xm:sqref>
            </x14:sparkline>
            <x14:sparkline>
              <xm:f>Лист1!W35:W35</xm:f>
              <xm:sqref>W41</xm:sqref>
            </x14:sparkline>
            <x14:sparkline>
              <xm:f>Лист1!W36:W36</xm:f>
              <xm:sqref>W42</xm:sqref>
            </x14:sparkline>
            <x14:sparkline>
              <xm:f>Лист1!W37:W37</xm:f>
              <xm:sqref>W43</xm:sqref>
            </x14:sparkline>
            <x14:sparkline>
              <xm:f>Лист1!X34:X34</xm:f>
              <xm:sqref>X40</xm:sqref>
            </x14:sparkline>
            <x14:sparkline>
              <xm:f>Лист1!Y34:Y34</xm:f>
              <xm:sqref>Y40</xm:sqref>
            </x14:sparkline>
            <x14:sparkline>
              <xm:f>Лист1!Z34:Z34</xm:f>
              <xm:sqref>Z40</xm:sqref>
            </x14:sparkline>
            <x14:sparkline>
              <xm:f>Лист1!AA34:AA34</xm:f>
              <xm:sqref>AA40</xm:sqref>
            </x14:sparkline>
            <x14:sparkline>
              <xm:f>Лист1!AB34:AB34</xm:f>
              <xm:sqref>AB40</xm:sqref>
            </x14:sparkline>
            <x14:sparkline>
              <xm:f>Лист1!X35:X35</xm:f>
              <xm:sqref>X41</xm:sqref>
            </x14:sparkline>
            <x14:sparkline>
              <xm:f>Лист1!Y35:Y35</xm:f>
              <xm:sqref>Y41</xm:sqref>
            </x14:sparkline>
            <x14:sparkline>
              <xm:f>Лист1!Z35:Z35</xm:f>
              <xm:sqref>Z41</xm:sqref>
            </x14:sparkline>
            <x14:sparkline>
              <xm:f>Лист1!AA35:AA35</xm:f>
              <xm:sqref>AA41</xm:sqref>
            </x14:sparkline>
            <x14:sparkline>
              <xm:f>Лист1!AB35:AB35</xm:f>
              <xm:sqref>AB41</xm:sqref>
            </x14:sparkline>
            <x14:sparkline>
              <xm:f>Лист1!X36:X36</xm:f>
              <xm:sqref>X42</xm:sqref>
            </x14:sparkline>
            <x14:sparkline>
              <xm:f>Лист1!Y36:Y36</xm:f>
              <xm:sqref>Y42</xm:sqref>
            </x14:sparkline>
            <x14:sparkline>
              <xm:f>Лист1!Z36:Z36</xm:f>
              <xm:sqref>Z42</xm:sqref>
            </x14:sparkline>
            <x14:sparkline>
              <xm:f>Лист1!AA36:AA36</xm:f>
              <xm:sqref>AA42</xm:sqref>
            </x14:sparkline>
            <x14:sparkline>
              <xm:f>Лист1!AB36:AB36</xm:f>
              <xm:sqref>AB42</xm:sqref>
            </x14:sparkline>
            <x14:sparkline>
              <xm:f>Лист1!X37:X37</xm:f>
              <xm:sqref>X43</xm:sqref>
            </x14:sparkline>
            <x14:sparkline>
              <xm:f>Лист1!Y37:Y37</xm:f>
              <xm:sqref>Y43</xm:sqref>
            </x14:sparkline>
            <x14:sparkline>
              <xm:f>Лист1!Z37:Z37</xm:f>
              <xm:sqref>Z43</xm:sqref>
            </x14:sparkline>
            <x14:sparkline>
              <xm:f>Лист1!AA37:AA37</xm:f>
              <xm:sqref>AA43</xm:sqref>
            </x14:sparkline>
            <x14:sparkline>
              <xm:f>Лист1!AB37:AB37</xm:f>
              <xm:sqref>AB43</xm:sqref>
            </x14:sparkline>
          </x14:sparklines>
        </x14:sparklineGroup>
        <x14:sparklineGroup displayEmptyCellsAs="gap" xr2:uid="{53F0D2E6-2BA5-423E-9013-6F116C5748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Лист1!W40:W40</xm:f>
              <xm:sqref>W46</xm:sqref>
            </x14:sparkline>
            <x14:sparkline>
              <xm:f>Лист1!W41:W41</xm:f>
              <xm:sqref>W47</xm:sqref>
            </x14:sparkline>
            <x14:sparkline>
              <xm:f>Лист1!W42:W42</xm:f>
              <xm:sqref>W48</xm:sqref>
            </x14:sparkline>
            <x14:sparkline>
              <xm:f>Лист1!W43:W43</xm:f>
              <xm:sqref>W49</xm:sqref>
            </x14:sparkline>
            <x14:sparkline>
              <xm:f>Лист1!X40:X40</xm:f>
              <xm:sqref>X46</xm:sqref>
            </x14:sparkline>
            <x14:sparkline>
              <xm:f>Лист1!Y40:Y40</xm:f>
              <xm:sqref>Y46</xm:sqref>
            </x14:sparkline>
            <x14:sparkline>
              <xm:f>Лист1!Z40:Z40</xm:f>
              <xm:sqref>Z46</xm:sqref>
            </x14:sparkline>
            <x14:sparkline>
              <xm:f>Лист1!AA40:AA40</xm:f>
              <xm:sqref>AA46</xm:sqref>
            </x14:sparkline>
            <x14:sparkline>
              <xm:f>Лист1!AB40:AB40</xm:f>
              <xm:sqref>AB46</xm:sqref>
            </x14:sparkline>
            <x14:sparkline>
              <xm:f>Лист1!X41:X41</xm:f>
              <xm:sqref>X47</xm:sqref>
            </x14:sparkline>
            <x14:sparkline>
              <xm:f>Лист1!Y41:Y41</xm:f>
              <xm:sqref>Y47</xm:sqref>
            </x14:sparkline>
            <x14:sparkline>
              <xm:f>Лист1!Z41:Z41</xm:f>
              <xm:sqref>Z47</xm:sqref>
            </x14:sparkline>
            <x14:sparkline>
              <xm:f>Лист1!AA41:AA41</xm:f>
              <xm:sqref>AA47</xm:sqref>
            </x14:sparkline>
            <x14:sparkline>
              <xm:f>Лист1!AB41:AB41</xm:f>
              <xm:sqref>AB47</xm:sqref>
            </x14:sparkline>
            <x14:sparkline>
              <xm:f>Лист1!X42:X42</xm:f>
              <xm:sqref>X48</xm:sqref>
            </x14:sparkline>
            <x14:sparkline>
              <xm:f>Лист1!Y42:Y42</xm:f>
              <xm:sqref>Y48</xm:sqref>
            </x14:sparkline>
            <x14:sparkline>
              <xm:f>Лист1!Z42:Z42</xm:f>
              <xm:sqref>Z48</xm:sqref>
            </x14:sparkline>
            <x14:sparkline>
              <xm:f>Лист1!AA42:AA42</xm:f>
              <xm:sqref>AA48</xm:sqref>
            </x14:sparkline>
            <x14:sparkline>
              <xm:f>Лист1!AB42:AB42</xm:f>
              <xm:sqref>AB48</xm:sqref>
            </x14:sparkline>
            <x14:sparkline>
              <xm:f>Лист1!X43:X43</xm:f>
              <xm:sqref>X49</xm:sqref>
            </x14:sparkline>
            <x14:sparkline>
              <xm:f>Лист1!Y43:Y43</xm:f>
              <xm:sqref>Y49</xm:sqref>
            </x14:sparkline>
            <x14:sparkline>
              <xm:f>Лист1!Z43:Z43</xm:f>
              <xm:sqref>Z49</xm:sqref>
            </x14:sparkline>
            <x14:sparkline>
              <xm:f>Лист1!AA43:AA43</xm:f>
              <xm:sqref>AA49</xm:sqref>
            </x14:sparkline>
            <x14:sparkline>
              <xm:f>Лист1!AB43:AB43</xm:f>
              <xm:sqref>AB49</xm:sqref>
            </x14:sparkline>
          </x14:sparklines>
        </x14:sparklineGroup>
        <x14:sparklineGroup displayEmptyCellsAs="gap" xr2:uid="{CAC775A6-A20D-47F6-BDB5-F64ED36AAF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Лист1!AG35:AG35</xm:f>
              <xm:sqref>O40</xm:sqref>
            </x14:sparkline>
            <x14:sparkline>
              <xm:f>Лист1!AH35:AH35</xm:f>
              <xm:sqref>P40</xm:sqref>
            </x14:sparkline>
            <x14:sparkline>
              <xm:f>Лист1!AI35:AI35</xm:f>
              <xm:sqref>Q40</xm:sqref>
            </x14:sparkline>
            <x14:sparkline>
              <xm:f>Лист1!AJ35:AJ35</xm:f>
              <xm:sqref>R40</xm:sqref>
            </x14:sparkline>
            <x14:sparkline>
              <xm:f>Лист1!AK35:AK35</xm:f>
              <xm:sqref>S40</xm:sqref>
            </x14:sparkline>
            <x14:sparkline>
              <xm:f>Лист1!AL35:AL35</xm:f>
              <xm:sqref>T40</xm:sqref>
            </x14:sparkline>
            <x14:sparkline>
              <xm:f>Лист1!AG36:AG36</xm:f>
              <xm:sqref>O41</xm:sqref>
            </x14:sparkline>
            <x14:sparkline>
              <xm:f>Лист1!AG37:AG37</xm:f>
              <xm:sqref>O42</xm:sqref>
            </x14:sparkline>
            <x14:sparkline>
              <xm:f>Лист1!AG38:AG38</xm:f>
              <xm:sqref>O43</xm:sqref>
            </x14:sparkline>
            <x14:sparkline>
              <xm:f>Лист1!AH36:AH36</xm:f>
              <xm:sqref>P41</xm:sqref>
            </x14:sparkline>
            <x14:sparkline>
              <xm:f>Лист1!AI36:AI36</xm:f>
              <xm:sqref>Q41</xm:sqref>
            </x14:sparkline>
            <x14:sparkline>
              <xm:f>Лист1!AJ36:AJ36</xm:f>
              <xm:sqref>R41</xm:sqref>
            </x14:sparkline>
            <x14:sparkline>
              <xm:f>Лист1!AK36:AK36</xm:f>
              <xm:sqref>S41</xm:sqref>
            </x14:sparkline>
            <x14:sparkline>
              <xm:f>Лист1!AL36:AL36</xm:f>
              <xm:sqref>T41</xm:sqref>
            </x14:sparkline>
            <x14:sparkline>
              <xm:f>Лист1!AH37:AH37</xm:f>
              <xm:sqref>P42</xm:sqref>
            </x14:sparkline>
            <x14:sparkline>
              <xm:f>Лист1!AI37:AI37</xm:f>
              <xm:sqref>Q42</xm:sqref>
            </x14:sparkline>
            <x14:sparkline>
              <xm:f>Лист1!AJ37:AJ37</xm:f>
              <xm:sqref>R42</xm:sqref>
            </x14:sparkline>
            <x14:sparkline>
              <xm:f>Лист1!AK37:AK37</xm:f>
              <xm:sqref>S42</xm:sqref>
            </x14:sparkline>
            <x14:sparkline>
              <xm:f>Лист1!AL37:AL37</xm:f>
              <xm:sqref>T42</xm:sqref>
            </x14:sparkline>
            <x14:sparkline>
              <xm:f>Лист1!AH38:AH38</xm:f>
              <xm:sqref>P43</xm:sqref>
            </x14:sparkline>
            <x14:sparkline>
              <xm:f>Лист1!AI38:AI38</xm:f>
              <xm:sqref>Q43</xm:sqref>
            </x14:sparkline>
            <x14:sparkline>
              <xm:f>Лист1!AJ38:AJ38</xm:f>
              <xm:sqref>R43</xm:sqref>
            </x14:sparkline>
            <x14:sparkline>
              <xm:f>Лист1!AK38:AK38</xm:f>
              <xm:sqref>S43</xm:sqref>
            </x14:sparkline>
            <x14:sparkline>
              <xm:f>Лист1!AL38:AL38</xm:f>
              <xm:sqref>T43</xm:sqref>
            </x14:sparkline>
          </x14:sparklines>
        </x14:sparklineGroup>
        <x14:sparklineGroup displayEmptyCellsAs="gap" xr2:uid="{7B559EEA-086A-4D13-B97D-FCC53B2EB1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Лист1!AG32:AG32</xm:f>
              <xm:sqref>AG35</xm:sqref>
            </x14:sparkline>
            <x14:sparkline>
              <xm:f>Лист1!AH32:AH32</xm:f>
              <xm:sqref>AH35</xm:sqref>
            </x14:sparkline>
            <x14:sparkline>
              <xm:f>Лист1!AI32:AI32</xm:f>
              <xm:sqref>AI35</xm:sqref>
            </x14:sparkline>
            <x14:sparkline>
              <xm:f>Лист1!AJ32:AJ32</xm:f>
              <xm:sqref>AJ35</xm:sqref>
            </x14:sparkline>
            <x14:sparkline>
              <xm:f>Лист1!AK32:AK32</xm:f>
              <xm:sqref>AK35</xm:sqref>
            </x14:sparkline>
            <x14:sparkline>
              <xm:f>Лист1!AL32:AL32</xm:f>
              <xm:sqref>AL35</xm:sqref>
            </x14:sparkline>
            <x14:sparkline>
              <xm:f>Лист1!O27:O27</xm:f>
              <xm:sqref>AG36</xm:sqref>
            </x14:sparkline>
            <x14:sparkline>
              <xm:f>Лист1!O28:O28</xm:f>
              <xm:sqref>AG37</xm:sqref>
            </x14:sparkline>
            <x14:sparkline>
              <xm:f>Лист1!AG40:AG40</xm:f>
              <xm:sqref>AG38</xm:sqref>
            </x14:sparkline>
            <x14:sparkline>
              <xm:f>Лист1!P27:P27</xm:f>
              <xm:sqref>AH36</xm:sqref>
            </x14:sparkline>
            <x14:sparkline>
              <xm:f>Лист1!Q27:Q27</xm:f>
              <xm:sqref>AI36</xm:sqref>
            </x14:sparkline>
            <x14:sparkline>
              <xm:f>Лист1!R27:R27</xm:f>
              <xm:sqref>AJ36</xm:sqref>
            </x14:sparkline>
            <x14:sparkline>
              <xm:f>Лист1!S27:S27</xm:f>
              <xm:sqref>AK36</xm:sqref>
            </x14:sparkline>
            <x14:sparkline>
              <xm:f>Лист1!T27:T27</xm:f>
              <xm:sqref>AL36</xm:sqref>
            </x14:sparkline>
            <x14:sparkline>
              <xm:f>Лист1!P28:P28</xm:f>
              <xm:sqref>AH37</xm:sqref>
            </x14:sparkline>
            <x14:sparkline>
              <xm:f>Лист1!Q28:Q28</xm:f>
              <xm:sqref>AI37</xm:sqref>
            </x14:sparkline>
            <x14:sparkline>
              <xm:f>Лист1!R28:R28</xm:f>
              <xm:sqref>AJ37</xm:sqref>
            </x14:sparkline>
            <x14:sparkline>
              <xm:f>Лист1!S28:S28</xm:f>
              <xm:sqref>AK37</xm:sqref>
            </x14:sparkline>
            <x14:sparkline>
              <xm:f>Лист1!T28:T28</xm:f>
              <xm:sqref>AL37</xm:sqref>
            </x14:sparkline>
            <x14:sparkline>
              <xm:f>Лист1!AH40:AH40</xm:f>
              <xm:sqref>AH38</xm:sqref>
            </x14:sparkline>
            <x14:sparkline>
              <xm:f>Лист1!AI40:AI40</xm:f>
              <xm:sqref>AI38</xm:sqref>
            </x14:sparkline>
            <x14:sparkline>
              <xm:f>Лист1!AJ40:AJ40</xm:f>
              <xm:sqref>AJ38</xm:sqref>
            </x14:sparkline>
            <x14:sparkline>
              <xm:f>Лист1!AK40:AK40</xm:f>
              <xm:sqref>AK38</xm:sqref>
            </x14:sparkline>
            <x14:sparkline>
              <xm:f>Лист1!AL40:AL40</xm:f>
              <xm:sqref>AL38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2020-11-23T09:39:46Z</dcterms:created>
  <dcterms:modified xsi:type="dcterms:W3CDTF">2020-12-03T20:59:56Z</dcterms:modified>
</cp:coreProperties>
</file>