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Calibration" sheetId="1" state="visible" r:id="rId2"/>
    <sheet name="Verification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<sst xmlns="http://schemas.openxmlformats.org/spreadsheetml/2006/main" count="66" uniqueCount="38">
  <si>
    <t xml:space="preserve">FRC 4917 Vision Camera Calibration</t>
  </si>
  <si>
    <t xml:space="preserve">Calibration Data</t>
  </si>
  <si>
    <t xml:space="preserve">(Collect values for at least 3 distances)</t>
  </si>
  <si>
    <t xml:space="preserve">Trial A</t>
  </si>
  <si>
    <t xml:space="preserve">Trial B</t>
  </si>
  <si>
    <t xml:space="preserve">Waterloo trial</t>
  </si>
  <si>
    <t xml:space="preserve">ID</t>
  </si>
  <si>
    <t xml:space="preserve">Distance</t>
  </si>
  <si>
    <t xml:space="preserve">Centre X</t>
  </si>
  <si>
    <t xml:space="preserve">Centre Y</t>
  </si>
  <si>
    <t xml:space="preserve">Tilt</t>
  </si>
  <si>
    <t xml:space="preserve">(meters)</t>
  </si>
  <si>
    <t xml:space="preserve">(pixels)</t>
  </si>
  <si>
    <t xml:space="preserve">(enc ticks)</t>
  </si>
  <si>
    <t xml:space="preserve">Left Side</t>
  </si>
  <si>
    <t xml:space="preserve">Rotate</t>
  </si>
  <si>
    <t xml:space="preserve">Right Side</t>
  </si>
  <si>
    <t xml:space="preserve">Valid Points</t>
  </si>
  <si>
    <t xml:space="preserve">Valid Points:</t>
  </si>
  <si>
    <t xml:space="preserve">Trial A Equation (y = C2*x*x + C1*x + B)</t>
  </si>
  <si>
    <t xml:space="preserve">Trial B Equation (y = C2*x*x + C1*x + B)</t>
  </si>
  <si>
    <t xml:space="preserve">Notes:</t>
  </si>
  <si>
    <t xml:space="preserve">Coef</t>
  </si>
  <si>
    <t xml:space="preserve">- Coefficient Formulas:  http://www.exceltoolset.com/getting-coefficients-of-chart-trendline/</t>
  </si>
  <si>
    <t xml:space="preserve">C2</t>
  </si>
  <si>
    <t xml:space="preserve">- OFFSET used to determine the last valid data row</t>
  </si>
  <si>
    <t xml:space="preserve">C1</t>
  </si>
  <si>
    <t xml:space="preserve">B</t>
  </si>
  <si>
    <t xml:space="preserve">Estimated Values Based on Distance</t>
  </si>
  <si>
    <t xml:space="preserve">Y's forumula use Center Y as the input term so invert to get distance as the input</t>
  </si>
  <si>
    <t xml:space="preserve">Inverted Y</t>
  </si>
  <si>
    <t xml:space="preserve">Dist</t>
  </si>
  <si>
    <t xml:space="preserve">Tilt Original</t>
  </si>
  <si>
    <t xml:space="preserve">Tilt New</t>
  </si>
  <si>
    <t xml:space="preserve">Y</t>
  </si>
  <si>
    <t xml:space="preserve">Dist now</t>
  </si>
  <si>
    <t xml:space="preserve">Dist old</t>
  </si>
  <si>
    <t xml:space="preserve">Dist older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</si>
</sst>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"/>
    <numFmt numFmtId="166" formatCode="0.000000000000"/>
    <numFmt numFmtId="167" formatCode="0.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Centre X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99</c:v>
                </c:pt>
                <c:pt idx="1">
                  <c:v>109</c:v>
                </c:pt>
                <c:pt idx="2">
                  <c:v>115</c:v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61342624"/>
        <c:axId val="21060198"/>
      </c:scatterChart>
      <c:valAx>
        <c:axId val="61342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060198"/>
        <c:crosses val="autoZero"/>
        <c:crossBetween val="midCat"/>
      </c:valAx>
      <c:valAx>
        <c:axId val="210601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X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3426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Distance vs Centre Y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23</c:v>
                </c:pt>
                <c:pt idx="1">
                  <c:v>91</c:v>
                </c:pt>
                <c:pt idx="2">
                  <c:v>140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33.5</c:v>
                </c:pt>
                <c:pt idx="1">
                  <c:v>92</c:v>
                </c:pt>
                <c:pt idx="2">
                  <c:v>144</c:v>
                </c:pt>
                <c:pt idx="3">
                  <c:v>12</c:v>
                </c:pt>
                <c:pt idx="4">
                  <c:v>29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yVal>
          <c:smooth val="0"/>
        </c:ser>
        <c:axId val="30585313"/>
        <c:axId val="18709813"/>
      </c:scatterChart>
      <c:valAx>
        <c:axId val="305853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Centre Y (pixels)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709813"/>
        <c:crosses val="autoZero"/>
        <c:crossBetween val="midCat"/>
      </c:valAx>
      <c:valAx>
        <c:axId val="187098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5853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Tilt vs Distance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diamond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1.6</c:v>
                </c:pt>
                <c:pt idx="1">
                  <c:v>2.54</c:v>
                </c:pt>
                <c:pt idx="2">
                  <c:v>3.68</c:v>
                </c:pt>
                <c:pt idx="3">
                  <c:v>3.48</c:v>
                </c:pt>
                <c:pt idx="4">
                  <c:v>1.35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>1110</c:v>
                </c:pt>
                <c:pt idx="1">
                  <c:v>1340</c:v>
                </c:pt>
                <c:pt idx="2">
                  <c:v/>
                </c:pt>
                <c:pt idx="3">
                  <c:v/>
                </c:pt>
                <c:pt idx="4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3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1.64</c:v>
                </c:pt>
                <c:pt idx="1">
                  <c:v>2.53</c:v>
                </c:pt>
                <c:pt idx="2">
                  <c:v>3.8</c:v>
                </c:pt>
                <c:pt idx="3">
                  <c:v>1.43</c:v>
                </c:pt>
                <c:pt idx="4">
                  <c:v>1.45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yVal>
          <c:smooth val="0"/>
        </c:ser>
        <c:axId val="21970813"/>
        <c:axId val="66701378"/>
      </c:scatterChart>
      <c:valAx>
        <c:axId val="21970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701378"/>
        <c:crosses val="autoZero"/>
        <c:crossBetween val="midCat"/>
      </c:valAx>
      <c:valAx>
        <c:axId val="667013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Tilt Encoder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9708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41360017497813"/>
          <c:y val="0.19130395158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Tilt Original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Sheet3!$B$2:$B$4</c:f>
              <c:numCache>
                <c:formatCode>General</c:formatCode>
                <c:ptCount val="3"/>
                <c:pt idx="0">
                  <c:v>1234.9999995925</c:v>
                </c:pt>
                <c:pt idx="1">
                  <c:v>1667.2793263213</c:v>
                </c:pt>
                <c:pt idx="2">
                  <c:v>1694.94767308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Tilt New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Sheet3!$A$2:$A$4</c:f>
              <c:numCache>
                <c:formatCode>General</c:formatCode>
                <c:ptCount val="3"/>
                <c:pt idx="0">
                  <c:v>1.45</c:v>
                </c:pt>
                <c:pt idx="1">
                  <c:v>2.53</c:v>
                </c:pt>
                <c:pt idx="2">
                  <c:v>3.8</c:v>
                </c:pt>
              </c:numCache>
            </c:numRef>
          </c:xVal>
          <c:yVal>
            <c:numRef>
              <c:f>Sheet3!$C$2:$C$4</c:f>
              <c:numCache>
                <c:formatCode>General</c:formatCode>
                <c:ptCount val="3"/>
                <c:pt idx="0">
                  <c:v>1404.00579</c:v>
                </c:pt>
                <c:pt idx="1">
                  <c:v>2171.7437484</c:v>
                </c:pt>
                <c:pt idx="2">
                  <c:v>2436.68744</c:v>
                </c:pt>
              </c:numCache>
            </c:numRef>
          </c:yVal>
          <c:smooth val="0"/>
        </c:ser>
        <c:axId val="28880984"/>
        <c:axId val="61716606"/>
      </c:scatterChart>
      <c:valAx>
        <c:axId val="2888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716606"/>
        <c:crosses val="autoZero"/>
        <c:crossBetween val="midCat"/>
      </c:valAx>
      <c:valAx>
        <c:axId val="617166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809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14400</xdr:colOff>
      <xdr:row>20</xdr:row>
      <xdr:rowOff>186480</xdr:rowOff>
    </xdr:from>
    <xdr:to>
      <xdr:col>7</xdr:col>
      <xdr:colOff>532440</xdr:colOff>
      <xdr:row>35</xdr:row>
      <xdr:rowOff>131760</xdr:rowOff>
    </xdr:to>
    <xdr:graphicFrame>
      <xdr:nvGraphicFramePr>
        <xdr:cNvPr id="0" name="Chart 1"/>
        <xdr:cNvGraphicFramePr/>
      </xdr:nvGraphicFramePr>
      <xdr:xfrm>
        <a:off x="14400" y="3943080"/>
        <a:ext cx="52650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3600</xdr:colOff>
      <xdr:row>20</xdr:row>
      <xdr:rowOff>44280</xdr:rowOff>
    </xdr:from>
    <xdr:to>
      <xdr:col>14</xdr:col>
      <xdr:colOff>487440</xdr:colOff>
      <xdr:row>34</xdr:row>
      <xdr:rowOff>180000</xdr:rowOff>
    </xdr:to>
    <xdr:graphicFrame>
      <xdr:nvGraphicFramePr>
        <xdr:cNvPr id="1" name="Chart 2"/>
        <xdr:cNvGraphicFramePr/>
      </xdr:nvGraphicFramePr>
      <xdr:xfrm>
        <a:off x="5383080" y="3800880"/>
        <a:ext cx="494928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16200</xdr:rowOff>
    </xdr:from>
    <xdr:to>
      <xdr:col>9</xdr:col>
      <xdr:colOff>536760</xdr:colOff>
      <xdr:row>50</xdr:row>
      <xdr:rowOff>91440</xdr:rowOff>
    </xdr:to>
    <xdr:graphicFrame>
      <xdr:nvGraphicFramePr>
        <xdr:cNvPr id="2" name="Chart 3"/>
        <xdr:cNvGraphicFramePr/>
      </xdr:nvGraphicFramePr>
      <xdr:xfrm>
        <a:off x="0" y="6759720"/>
        <a:ext cx="67010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12</xdr:col>
      <xdr:colOff>240120</xdr:colOff>
      <xdr:row>17</xdr:row>
      <xdr:rowOff>97560</xdr:rowOff>
    </xdr:to>
    <xdr:graphicFrame>
      <xdr:nvGraphicFramePr>
        <xdr:cNvPr id="3" name=""/>
        <xdr:cNvGraphicFramePr/>
      </xdr:nvGraphicFramePr>
      <xdr:xfrm>
        <a:off x="1933560" y="36000"/>
        <a:ext cx="58960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/>
  <cols>
    <col collapsed="false" hidden="false" max="1" min="1" style="0" width="4.10204081632653"/>
    <col collapsed="false" hidden="false" max="3" min="3" style="0" width="11.1224489795918"/>
    <col collapsed="false" hidden="false" max="4" min="4" style="0" width="16.4132653061224"/>
    <col collapsed="false" hidden="false" max="5" min="5" style="0" width="13.6071428571429"/>
    <col collapsed="false" hidden="false" max="7" min="7" style="0" width="4.10204081632653"/>
    <col collapsed="false" hidden="false" max="10" min="9" style="0" width="11.1224489795918"/>
    <col collapsed="false" hidden="false" max="11" min="11" style="0" width="13.6071428571429"/>
    <col collapsed="false" hidden="false" max="13" min="13" style="0" width="9.50510204081633"/>
  </cols>
  <sheetData>
    <row r="1" customFormat="false" ht="18.75" hidden="false" customHeight="false" outlineLevel="0" collapsed="false">
      <c r="A1" s="1" t="s">
        <v>0</v>
      </c>
    </row>
    <row r="3" customFormat="false" ht="18.75" hidden="false" customHeight="false" outlineLevel="0" collapsed="false">
      <c r="A3" s="1" t="s">
        <v>1</v>
      </c>
      <c r="G3" s="2"/>
    </row>
    <row r="4" customFormat="false" ht="15" hidden="false" customHeight="false" outlineLevel="0" collapsed="false">
      <c r="A4" s="0" t="s">
        <v>2</v>
      </c>
    </row>
    <row r="5" customFormat="false" ht="15" hidden="false" customHeight="false" outlineLevel="0" collapsed="false">
      <c r="A5" s="2" t="s">
        <v>3</v>
      </c>
      <c r="G5" s="2" t="s">
        <v>4</v>
      </c>
      <c r="M5" s="2"/>
      <c r="O5" s="0" t="s">
        <v>5</v>
      </c>
    </row>
    <row r="6" customFormat="false" ht="13.8" hidden="false" customHeight="false" outlineLevel="0" collapsed="false">
      <c r="A6" s="3" t="s">
        <v>6</v>
      </c>
      <c r="B6" s="3" t="s">
        <v>7</v>
      </c>
      <c r="C6" s="3" t="s">
        <v>8</v>
      </c>
      <c r="D6" s="3" t="s">
        <v>9</v>
      </c>
      <c r="E6" s="3" t="s">
        <v>10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M6" s="3"/>
      <c r="N6" s="3"/>
      <c r="O6" s="3"/>
      <c r="P6" s="3"/>
      <c r="Q6" s="3"/>
    </row>
    <row r="7" customFormat="false" ht="13.8" hidden="false" customHeight="false" outlineLevel="0" collapsed="false">
      <c r="A7" s="3"/>
      <c r="B7" s="4" t="s">
        <v>11</v>
      </c>
      <c r="C7" s="4" t="s">
        <v>12</v>
      </c>
      <c r="D7" s="4" t="s">
        <v>12</v>
      </c>
      <c r="E7" s="4" t="s">
        <v>13</v>
      </c>
      <c r="G7" s="3"/>
      <c r="H7" s="4" t="s">
        <v>11</v>
      </c>
      <c r="I7" s="4" t="s">
        <v>12</v>
      </c>
      <c r="J7" s="4" t="s">
        <v>12</v>
      </c>
      <c r="K7" s="4" t="s">
        <v>13</v>
      </c>
      <c r="M7" s="3"/>
      <c r="N7" s="4"/>
      <c r="O7" s="4"/>
      <c r="P7" s="4"/>
      <c r="Q7" s="4"/>
      <c r="R7" s="0" t="s">
        <v>14</v>
      </c>
      <c r="S7" s="0" t="s">
        <v>15</v>
      </c>
    </row>
    <row r="8" customFormat="false" ht="13.8" hidden="false" customHeight="false" outlineLevel="0" collapsed="false">
      <c r="A8" s="5" t="n">
        <v>1</v>
      </c>
      <c r="B8" s="6" t="n">
        <v>1.6</v>
      </c>
      <c r="C8" s="6" t="n">
        <v>99</v>
      </c>
      <c r="D8" s="6" t="n">
        <v>23</v>
      </c>
      <c r="E8" s="6" t="n">
        <v>1110</v>
      </c>
      <c r="G8" s="5" t="n">
        <v>1</v>
      </c>
      <c r="H8" s="6" t="n">
        <v>1.64</v>
      </c>
      <c r="I8" s="6" t="n">
        <v>97</v>
      </c>
      <c r="J8" s="6" t="n">
        <v>33.5</v>
      </c>
      <c r="K8" s="6"/>
      <c r="M8" s="5"/>
      <c r="N8" s="6" t="n">
        <v>1.7</v>
      </c>
      <c r="O8" s="6" t="n">
        <v>103.5</v>
      </c>
      <c r="P8" s="6" t="n">
        <v>35</v>
      </c>
      <c r="Q8" s="6"/>
      <c r="R8" s="0" t="n">
        <v>5365</v>
      </c>
    </row>
    <row r="9" customFormat="false" ht="13.8" hidden="false" customHeight="false" outlineLevel="0" collapsed="false">
      <c r="A9" s="5" t="n">
        <v>2</v>
      </c>
      <c r="B9" s="6" t="n">
        <v>2.54</v>
      </c>
      <c r="C9" s="6" t="n">
        <v>109</v>
      </c>
      <c r="D9" s="6" t="n">
        <v>91</v>
      </c>
      <c r="E9" s="6" t="n">
        <v>1340</v>
      </c>
      <c r="G9" s="5" t="n">
        <v>2</v>
      </c>
      <c r="H9" s="6" t="n">
        <v>2.53</v>
      </c>
      <c r="I9" s="6" t="n">
        <v>99.5</v>
      </c>
      <c r="J9" s="6" t="n">
        <v>92</v>
      </c>
      <c r="K9" s="6"/>
      <c r="M9" s="5"/>
      <c r="N9" s="6" t="n">
        <v>2.53</v>
      </c>
      <c r="O9" s="6" t="n">
        <v>112.5</v>
      </c>
      <c r="P9" s="6" t="n">
        <v>94.5</v>
      </c>
      <c r="Q9" s="6"/>
      <c r="R9" s="0" t="s">
        <v>16</v>
      </c>
      <c r="S9" s="0" t="s">
        <v>15</v>
      </c>
    </row>
    <row r="10" customFormat="false" ht="13.8" hidden="false" customHeight="false" outlineLevel="0" collapsed="false">
      <c r="A10" s="5" t="n">
        <v>3</v>
      </c>
      <c r="B10" s="6" t="n">
        <v>3.68</v>
      </c>
      <c r="C10" s="6" t="n">
        <v>115</v>
      </c>
      <c r="D10" s="6" t="n">
        <v>140</v>
      </c>
      <c r="E10" s="6"/>
      <c r="G10" s="5" t="n">
        <v>3</v>
      </c>
      <c r="H10" s="6" t="n">
        <v>3.8</v>
      </c>
      <c r="I10" s="6" t="n">
        <v>106</v>
      </c>
      <c r="J10" s="6" t="n">
        <v>144</v>
      </c>
      <c r="K10" s="6"/>
      <c r="M10" s="5"/>
      <c r="N10" s="6" t="n">
        <v>3.51</v>
      </c>
      <c r="O10" s="6" t="n">
        <v>107.5</v>
      </c>
      <c r="P10" s="6" t="n">
        <v>136.5</v>
      </c>
      <c r="Q10" s="6"/>
      <c r="R10" s="0" t="n">
        <v>-5429</v>
      </c>
    </row>
    <row r="11" customFormat="false" ht="13.8" hidden="false" customHeight="false" outlineLevel="0" collapsed="false">
      <c r="A11" s="5" t="n">
        <v>4</v>
      </c>
      <c r="B11" s="6" t="n">
        <v>3.48</v>
      </c>
      <c r="C11" s="6"/>
      <c r="D11" s="6"/>
      <c r="E11" s="6"/>
      <c r="G11" s="5" t="n">
        <v>4</v>
      </c>
      <c r="H11" s="6" t="n">
        <v>1.43</v>
      </c>
      <c r="I11" s="6" t="n">
        <v>85</v>
      </c>
      <c r="J11" s="6" t="n">
        <v>12</v>
      </c>
      <c r="K11" s="6"/>
      <c r="M11" s="5"/>
      <c r="N11" s="6"/>
      <c r="O11" s="6"/>
      <c r="P11" s="6"/>
      <c r="Q11" s="6"/>
    </row>
    <row r="12" customFormat="false" ht="13.8" hidden="false" customHeight="false" outlineLevel="0" collapsed="false">
      <c r="A12" s="5" t="n">
        <v>5</v>
      </c>
      <c r="B12" s="6" t="n">
        <v>1.35</v>
      </c>
      <c r="C12" s="6"/>
      <c r="D12" s="6"/>
      <c r="E12" s="6" t="n">
        <v>1000</v>
      </c>
      <c r="G12" s="5" t="n">
        <v>5</v>
      </c>
      <c r="H12" s="6" t="n">
        <v>1.45</v>
      </c>
      <c r="I12" s="6" t="n">
        <v>79.5</v>
      </c>
      <c r="J12" s="6" t="n">
        <v>29</v>
      </c>
      <c r="K12" s="6"/>
      <c r="M12" s="5"/>
      <c r="N12" s="6"/>
      <c r="O12" s="6"/>
      <c r="P12" s="6"/>
      <c r="Q12" s="6"/>
    </row>
    <row r="13" customFormat="false" ht="13.8" hidden="false" customHeight="false" outlineLevel="0" collapsed="false">
      <c r="A13" s="7" t="s">
        <v>17</v>
      </c>
      <c r="B13" s="8"/>
      <c r="C13" s="9" t="n">
        <f aca="false">COUNT(C8:C12)</f>
        <v>3</v>
      </c>
      <c r="D13" s="9" t="n">
        <f aca="false">COUNT(D8:D12)</f>
        <v>3</v>
      </c>
      <c r="E13" s="9" t="n">
        <f aca="false">COUNT(E8:E12)</f>
        <v>3</v>
      </c>
      <c r="G13" s="7" t="s">
        <v>18</v>
      </c>
      <c r="H13" s="8"/>
      <c r="I13" s="9" t="n">
        <f aca="false">COUNT(I8:I12)</f>
        <v>5</v>
      </c>
      <c r="J13" s="9" t="n">
        <f aca="false">COUNT(J8:J12)</f>
        <v>5</v>
      </c>
      <c r="K13" s="9" t="n">
        <f aca="false">COUNT(K8:K12)</f>
        <v>0</v>
      </c>
    </row>
    <row r="14" customFormat="false" ht="15" hidden="false" customHeight="false" outlineLevel="0" collapsed="false">
      <c r="A14" s="10"/>
      <c r="B14" s="11"/>
      <c r="C14" s="11"/>
      <c r="D14" s="11"/>
      <c r="E14" s="11"/>
      <c r="G14" s="10"/>
      <c r="H14" s="11"/>
      <c r="I14" s="11"/>
      <c r="J14" s="11"/>
      <c r="K14" s="11"/>
    </row>
    <row r="15" customFormat="false" ht="15.75" hidden="false" customHeight="false" outlineLevel="0" collapsed="false">
      <c r="A15" s="12" t="s">
        <v>19</v>
      </c>
      <c r="B15" s="11"/>
      <c r="C15" s="11"/>
      <c r="D15" s="11"/>
      <c r="E15" s="11"/>
      <c r="G15" s="12" t="s">
        <v>20</v>
      </c>
      <c r="H15" s="11"/>
      <c r="I15" s="11"/>
      <c r="J15" s="11"/>
      <c r="K15" s="11"/>
      <c r="M15" s="13" t="s">
        <v>21</v>
      </c>
    </row>
    <row r="16" customFormat="false" ht="15.75" hidden="false" customHeight="false" outlineLevel="0" collapsed="false">
      <c r="A16" s="12" t="s">
        <v>22</v>
      </c>
      <c r="B16" s="14"/>
      <c r="C16" s="14" t="s">
        <v>15</v>
      </c>
      <c r="D16" s="14" t="s">
        <v>7</v>
      </c>
      <c r="E16" s="14" t="s">
        <v>10</v>
      </c>
      <c r="F16" s="15"/>
      <c r="G16" s="12" t="s">
        <v>22</v>
      </c>
      <c r="H16" s="14"/>
      <c r="I16" s="14" t="s">
        <v>15</v>
      </c>
      <c r="J16" s="14" t="s">
        <v>7</v>
      </c>
      <c r="K16" s="14" t="s">
        <v>10</v>
      </c>
      <c r="N16" s="16" t="s">
        <v>23</v>
      </c>
    </row>
    <row r="17" customFormat="false" ht="13.8" hidden="false" customHeight="false" outlineLevel="0" collapsed="false">
      <c r="A17" s="14" t="s">
        <v>24</v>
      </c>
      <c r="B17" s="11"/>
      <c r="C17" s="17" t="n">
        <v>0</v>
      </c>
      <c r="D17" s="18" t="n">
        <f aca="true">INDEX(LINEST(OFFSET(B8,0,0,D13),OFFSET(D8,0,0,D13)^{1,2}),1)</f>
        <v>8.06989462451648E-005</v>
      </c>
      <c r="E17" s="17" t="e">
        <f aca="true">INDEX(LINEST(OFFSET(E8,0,0,E13),OFFSET(B8,0,0,E13)^{1,2}),1)</f>
        <v>#VALUE!</v>
      </c>
      <c r="F17" s="17"/>
      <c r="G17" s="14" t="s">
        <v>24</v>
      </c>
      <c r="H17" s="11"/>
      <c r="I17" s="17" t="n">
        <v>0</v>
      </c>
      <c r="J17" s="17" t="n">
        <f aca="true">INDEX(LINEST(OFFSET(H8,0,0,J13),OFFSET(J8,0,0,J13)^{1,2}),1)</f>
        <v>8.24107322300553E-005</v>
      </c>
      <c r="K17" s="17" t="e">
        <f aca="true">INDEX(LINEST(OFFSET(K8,0,0,K13),OFFSET(H8,0,0,K13)^{1,2}),1)</f>
        <v>#VALUE!</v>
      </c>
      <c r="N17" s="16" t="s">
        <v>25</v>
      </c>
    </row>
    <row r="18" customFormat="false" ht="13.8" hidden="false" customHeight="false" outlineLevel="0" collapsed="false">
      <c r="A18" s="14" t="s">
        <v>26</v>
      </c>
      <c r="B18" s="11"/>
      <c r="C18" s="17" t="n">
        <f aca="true">SLOPE(OFFSET(C8,0,0,C13),OFFSET(B8,0,0,C13))</f>
        <v>7.60722625046086</v>
      </c>
      <c r="D18" s="19" t="n">
        <f aca="true">INDEX(LINEST(OFFSET(B8,0,0,D13),OFFSET(D8,0,0,D13)^{1,2}),1,2)</f>
        <v>0.00462384953981592</v>
      </c>
      <c r="E18" s="17" t="e">
        <f aca="true">INDEX(LINEST(OFFSET(E8,0,0,E13),OFFSET(B8,0,0,E13)^{1,2}),1,2)</f>
        <v>#VALUE!</v>
      </c>
      <c r="G18" s="14" t="s">
        <v>26</v>
      </c>
      <c r="H18" s="11"/>
      <c r="I18" s="17" t="n">
        <f aca="true">SLOPE(OFFSET(I8,0,0,I13),OFFSET(H8,0,0,I13))</f>
        <v>8.96356510378865</v>
      </c>
      <c r="J18" s="17" t="n">
        <f aca="true">INDEX(LINEST(OFFSET(H8,0,0,J13),OFFSET(J8,0,0,J13)^{1,2}),1,2)</f>
        <v>0.00540917043605021</v>
      </c>
      <c r="K18" s="17" t="e">
        <f aca="true">INDEX(LINEST(OFFSET(K8,0,0,K13),OFFSET(H8,0,0,K13)^{1,2}),1,2)</f>
        <v>#VALUE!</v>
      </c>
    </row>
    <row r="19" customFormat="false" ht="13.8" hidden="false" customHeight="false" outlineLevel="0" collapsed="false">
      <c r="A19" s="14" t="s">
        <v>27</v>
      </c>
      <c r="B19" s="11"/>
      <c r="C19" s="17" t="n">
        <f aca="true">INTERCEPT(OFFSET(C8,0,0,C13),OFFSET(B8,0,0,C13))</f>
        <v>87.8371635737987</v>
      </c>
      <c r="D19" s="19" t="n">
        <f aca="true">INDEX(LINEST(OFFSET(B8,0,0,D13),OFFSET(D8,0,0,D13)^{1,2}),1,3)</f>
        <v>1.45096171802054</v>
      </c>
      <c r="E19" s="17" t="e">
        <f aca="true">INDEX(LINEST(OFFSET(E8,0,0,E13),OFFSET(B8,0,0,E13)^{1,2}),1,3)</f>
        <v>#VALUE!</v>
      </c>
      <c r="G19" s="14" t="s">
        <v>27</v>
      </c>
      <c r="H19" s="11"/>
      <c r="I19" s="17" t="n">
        <f aca="true">INTERCEPT(OFFSET(I8,0,0,I13),OFFSET(H8,0,0,I13))</f>
        <v>73.9490637247786</v>
      </c>
      <c r="J19" s="17" t="n">
        <f aca="true">INDEX(LINEST(OFFSET(H8,0,0,J13),OFFSET(J8,0,0,J13)^{1,2}),1,3)</f>
        <v>1.3180798365994</v>
      </c>
      <c r="K19" s="17" t="e">
        <f aca="true">INDEX(LINEST(OFFSET(K8,0,0,K13),OFFSET(H8,0,0,K13)^{1,2}),1,3)</f>
        <v>#VALUE!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5"/>
  <cols>
    <col collapsed="false" hidden="false" max="8" min="8" style="0" width="13.5"/>
  </cols>
  <sheetData>
    <row r="1" customFormat="false" ht="15.75" hidden="false" customHeight="false" outlineLevel="0" collapsed="false">
      <c r="A1" s="2" t="s">
        <v>28</v>
      </c>
    </row>
    <row r="3" customFormat="false" ht="15" hidden="false" customHeight="false" outlineLevel="0" collapsed="false">
      <c r="G3" s="0" t="s">
        <v>29</v>
      </c>
    </row>
    <row r="4" customFormat="false" ht="15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G4" s="3"/>
      <c r="H4" s="20" t="s">
        <v>30</v>
      </c>
    </row>
    <row r="5" customFormat="false" ht="15" hidden="false" customHeight="false" outlineLevel="0" collapsed="false">
      <c r="A5" s="6" t="n">
        <v>1.5</v>
      </c>
      <c r="B5" s="21" t="n">
        <f aca="false">IF($A5&lt;&gt;"",($A5*$A5*Calibration!C$17)+($A5*Calibration!C$18)+Calibration!C$19,"")</f>
        <v>99.24800294949</v>
      </c>
      <c r="C5" s="21" t="n">
        <f aca="false">IF($A5&lt;&gt;"",($A5*$A5*$H$5)+($A5*$H$6)+$H$7,"")</f>
        <v>14.2980589772303</v>
      </c>
      <c r="D5" s="21" t="e">
        <f aca="false">IF($A5&lt;&gt;"",($A5*$A5*Calibration!E$17)+($A5*Calibration!E$18)+Calibration!E$19,"")</f>
        <v>#VALUE!</v>
      </c>
      <c r="G5" s="20" t="s">
        <v>24</v>
      </c>
      <c r="H5" s="21" t="n">
        <f aca="true">INDEX(LINEST(OFFSET(Calibration!D8,0,0,Calibration!D13),OFFSET(Calibration!B8,0,0,Calibration!D13)^{1,2}),1)</f>
        <v>-14.1144083613289</v>
      </c>
    </row>
    <row r="6" customFormat="false" ht="15" hidden="false" customHeight="false" outlineLevel="0" collapsed="false">
      <c r="A6" s="6" t="n">
        <v>2.5</v>
      </c>
      <c r="B6" s="21" t="n">
        <f aca="false">IF($A6&lt;&gt;"",($A6*$A6*Calibration!C$17)+($A6*Calibration!C$18)+Calibration!C$19,"")</f>
        <v>106.855229199951</v>
      </c>
      <c r="C6" s="21" t="n">
        <f aca="false">IF($A6&lt;&gt;"",($A6*$A6*$H$5)+($A6*$H$6)+$H$7,"")</f>
        <v>88.6145016797313</v>
      </c>
      <c r="D6" s="21" t="e">
        <f aca="false">IF($A6&lt;&gt;"",($A6*$A6*Calibration!E$17)+($A6*Calibration!E$18)+Calibration!E$19,"")</f>
        <v>#VALUE!</v>
      </c>
      <c r="G6" s="20" t="s">
        <v>26</v>
      </c>
      <c r="H6" s="21" t="n">
        <f aca="true">INDEX(LINEST(OFFSET(Calibration!D8,0,0,Calibration!D13),OFFSET(Calibration!B8,0,0,Calibration!D13)^{1,2}),1,2)</f>
        <v>130.774076147816</v>
      </c>
    </row>
    <row r="7" customFormat="false" ht="15" hidden="false" customHeight="false" outlineLevel="0" collapsed="false">
      <c r="A7" s="6" t="n">
        <v>3.5</v>
      </c>
      <c r="B7" s="21" t="n">
        <f aca="false">IF($A7&lt;&gt;"",($A7*$A7*Calibration!C$17)+($A7*Calibration!C$18)+Calibration!C$19,"")</f>
        <v>114.462455450412</v>
      </c>
      <c r="C7" s="21" t="n">
        <f aca="false">IF($A7&lt;&gt;"",($A7*$A7*$H$5)+($A7*$H$6)+$H$7,"")</f>
        <v>134.702127659575</v>
      </c>
      <c r="D7" s="21" t="e">
        <f aca="false">IF($A7&lt;&gt;"",($A7*$A7*Calibration!E$17)+($A7*Calibration!E$18)+Calibration!E$19,"")</f>
        <v>#VALUE!</v>
      </c>
      <c r="G7" s="20" t="s">
        <v>27</v>
      </c>
      <c r="H7" s="21" t="n">
        <f aca="true">INDEX(LINEST(OFFSET(Calibration!D8,0,0,Calibration!D13),OFFSET(Calibration!B8,0,0,Calibration!D13)^{1,2}),1,3)</f>
        <v>-150.105636431504</v>
      </c>
    </row>
    <row r="8" customFormat="false" ht="15" hidden="false" customHeight="false" outlineLevel="0" collapsed="false">
      <c r="A8" s="6"/>
      <c r="B8" s="21" t="str">
        <f aca="false">IF($A8&lt;&gt;"",($A8*$A8*Calibration!C$17)+($A8*Calibration!C$18)+Calibration!C$19,"")</f>
        <v/>
      </c>
      <c r="C8" s="21" t="str">
        <f aca="false">IF($A8&lt;&gt;"",($A8*$A8*$H$5)+($A8*$H$6)+$H$7,"")</f>
        <v/>
      </c>
      <c r="D8" s="21" t="str">
        <f aca="false">IF($A8&lt;&gt;"",($A8*$A8*Calibration!E$17)+($A8*Calibration!E$18)+Calibration!E$19,"")</f>
        <v/>
      </c>
    </row>
    <row r="9" customFormat="false" ht="15" hidden="false" customHeight="false" outlineLevel="0" collapsed="false">
      <c r="A9" s="6"/>
      <c r="B9" s="21" t="str">
        <f aca="false">IF($A9&lt;&gt;"",($A9*$A9*Calibration!C$17)+($A9*Calibration!C$18)+Calibration!C$19,"")</f>
        <v/>
      </c>
      <c r="C9" s="21" t="str">
        <f aca="false">IF($A9&lt;&gt;"",($A9*$A9*$H$5)+($A9*$H$6)+$H$7,"")</f>
        <v/>
      </c>
      <c r="D9" s="21" t="str">
        <f aca="false">IF($A9&lt;&gt;"",($A9*$A9*Calibration!E$17)+($A9*Calibration!E$18)+Calibration!E$19,"")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/>
  <sheetData>
    <row r="1" customFormat="false" ht="13.8" hidden="false" customHeight="false" outlineLevel="0" collapsed="false">
      <c r="A1" s="0" t="s">
        <v>31</v>
      </c>
      <c r="B1" s="0" t="s">
        <v>32</v>
      </c>
      <c r="C1" s="0" t="s">
        <v>33</v>
      </c>
    </row>
    <row r="2" customFormat="false" ht="13.8" hidden="false" customHeight="false" outlineLevel="0" collapsed="false">
      <c r="A2" s="0" t="n">
        <v>1.45</v>
      </c>
      <c r="B2" s="0" t="n">
        <f aca="false">-161.052143*A2*A2+1041.246165*A2+63.805191</f>
        <v>1234.9999995925</v>
      </c>
      <c r="C2" s="0" t="n">
        <f aca="false">-213.724*A2*A2+1561.49*A2-410.8</f>
        <v>1404.00579</v>
      </c>
    </row>
    <row r="3" customFormat="false" ht="13.8" hidden="false" customHeight="false" outlineLevel="0" collapsed="false">
      <c r="A3" s="0" t="n">
        <v>2.53</v>
      </c>
      <c r="B3" s="0" t="n">
        <f aca="false">-161.052143*A3*A3+1041.246165*A3+63.805191</f>
        <v>1667.2793263213</v>
      </c>
      <c r="C3" s="0" t="n">
        <f aca="false">-213.724*A3*A3+1561.49*A3-410.8</f>
        <v>2171.7437484</v>
      </c>
    </row>
    <row r="4" customFormat="false" ht="13.8" hidden="false" customHeight="false" outlineLevel="0" collapsed="false">
      <c r="A4" s="0" t="n">
        <v>3.8</v>
      </c>
      <c r="B4" s="0" t="n">
        <f aca="false">-161.052143*A4*A4+1041.246165*A4+63.805191</f>
        <v>1694.94767308</v>
      </c>
      <c r="C4" s="0" t="n">
        <f aca="false">-213.724*A4*A4+1561.49*A4-410.8</f>
        <v>2436.68744</v>
      </c>
    </row>
    <row r="24" customFormat="false" ht="15" hidden="false" customHeight="false" outlineLevel="0" collapsed="false">
      <c r="A24" s="0" t="s">
        <v>34</v>
      </c>
      <c r="B24" s="0" t="s">
        <v>35</v>
      </c>
      <c r="C24" s="0" t="s">
        <v>36</v>
      </c>
      <c r="D24" s="0" t="s">
        <v>37</v>
      </c>
    </row>
    <row r="25" customFormat="false" ht="15" hidden="false" customHeight="false" outlineLevel="0" collapsed="false">
      <c r="A25" s="0" t="n">
        <v>32</v>
      </c>
      <c r="B25" s="0" t="n">
        <f aca="false">0.00008241*A25*A25+0.005409*A25+1.31808</f>
        <v>1.57555584</v>
      </c>
    </row>
    <row r="26" customFormat="false" ht="13.8" hidden="false" customHeight="false" outlineLevel="0" collapsed="false">
      <c r="A26" s="0" t="n">
        <v>92</v>
      </c>
      <c r="B26" s="0" t="n">
        <f aca="false">0.00008241*A26*A26+0.005409*A26+1.31808</f>
        <v>2.51322624</v>
      </c>
    </row>
    <row r="27" customFormat="false" ht="13.8" hidden="false" customHeight="false" outlineLevel="0" collapsed="false">
      <c r="A27" s="0" t="n">
        <v>144</v>
      </c>
      <c r="B27" s="0" t="n">
        <f aca="false">0.00008241*A27*A27+0.005409*A27+1.31808</f>
        <v>3.80582976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</TotalTime>
  <Application>LibreOffice/5.1.0.3$Windows_x86 LibreOffice_project/5e3e00a007d9b3b6efb6797a8b8e57b51ab1f737</Application>
  <Company>NDI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2016-03-29T14:09:12Z</dcterms:created>
  <dc:creator>Eric Gaudet</dc:creator>
  <dc:description/>
  <dc:language>en-US</dc:language>
  <cp:lastModifiedBy/>
  <dcterms:modified xsi:type="dcterms:W3CDTF">2016-04-07T17:26:22Z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NDI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