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 filterPrivacy="1"/>
  <bookViews>
    <workbookView xWindow="0" yWindow="0" windowWidth="22260" windowHeight="12648" activeTab="3"/>
  </bookViews>
  <sheets>
    <sheet name="Dimentions of Field" sheetId="1" r:id="rId1"/>
    <sheet name="Robot Dimesions" sheetId="4" r:id="rId2"/>
    <sheet name="Assumptions" sheetId="3" r:id="rId3"/>
    <sheet name="Gear Delivery Schedule" sheetId="2" r:id="rId4"/>
    <sheet name="Sheet1" sheetId="5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30" i="5" l="1"/>
  <c r="Q30" i="5"/>
  <c r="L30" i="5"/>
  <c r="B31" i="5"/>
  <c r="D32" i="5" s="1"/>
  <c r="D34" i="5" s="1"/>
  <c r="E27" i="5"/>
  <c r="D26" i="5"/>
  <c r="D25" i="5"/>
  <c r="B21" i="5" l="1"/>
  <c r="A15" i="5"/>
  <c r="A13" i="5"/>
  <c r="A11" i="5"/>
  <c r="A7" i="5"/>
  <c r="A5" i="5"/>
  <c r="A1" i="5"/>
  <c r="J8" i="1" l="1"/>
  <c r="I8" i="1"/>
  <c r="H8" i="1"/>
  <c r="J6" i="1"/>
  <c r="I6" i="1"/>
  <c r="H6" i="1"/>
  <c r="D11" i="1"/>
  <c r="A21" i="4"/>
  <c r="C11" i="1" l="1"/>
  <c r="M15" i="4"/>
  <c r="B15" i="4"/>
  <c r="M16" i="4"/>
  <c r="L15" i="4"/>
  <c r="L14" i="4"/>
  <c r="L3" i="4"/>
  <c r="A15" i="4"/>
  <c r="A14" i="4"/>
  <c r="B8" i="4"/>
  <c r="D4" i="4"/>
  <c r="D3" i="4"/>
  <c r="P6" i="2"/>
  <c r="P7" i="2"/>
  <c r="P8" i="2" s="1"/>
  <c r="P9" i="2" s="1"/>
  <c r="P10" i="2" s="1"/>
  <c r="P11" i="2" s="1"/>
  <c r="P12" i="2" s="1"/>
  <c r="P13" i="2" s="1"/>
  <c r="P14" i="2" s="1"/>
  <c r="P15" i="2" s="1"/>
  <c r="P16" i="2" s="1"/>
  <c r="P17" i="2" s="1"/>
  <c r="P18" i="2" s="1"/>
  <c r="P19" i="2" s="1"/>
  <c r="P20" i="2" s="1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M6" i="2"/>
  <c r="N6" i="2" s="1"/>
  <c r="B6" i="2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D2" i="1"/>
  <c r="D3" i="1"/>
  <c r="D4" i="1"/>
  <c r="D5" i="1"/>
  <c r="D6" i="1"/>
  <c r="D7" i="1"/>
  <c r="D8" i="1"/>
  <c r="D9" i="1"/>
  <c r="D10" i="1"/>
  <c r="C2" i="1"/>
  <c r="C3" i="1"/>
  <c r="C4" i="1"/>
  <c r="C5" i="1"/>
  <c r="C6" i="1"/>
  <c r="C7" i="1"/>
  <c r="C8" i="1"/>
  <c r="C9" i="1"/>
  <c r="C10" i="1"/>
  <c r="B9" i="1"/>
  <c r="B4" i="3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H6" i="2"/>
  <c r="H7" i="2" s="1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G6" i="2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I6" i="2"/>
  <c r="F6" i="2"/>
  <c r="F7" i="2" s="1"/>
  <c r="F8" i="2" s="1"/>
  <c r="F9" i="2" s="1"/>
  <c r="F10" i="2" s="1"/>
  <c r="F11" i="2" s="1"/>
  <c r="M7" i="2" l="1"/>
  <c r="C7" i="2"/>
  <c r="C6" i="2"/>
  <c r="K6" i="2"/>
  <c r="K7" i="2"/>
  <c r="L7" i="2" s="1"/>
  <c r="K8" i="2"/>
  <c r="L8" i="2" s="1"/>
  <c r="K9" i="2"/>
  <c r="L9" i="2" s="1"/>
  <c r="K10" i="2"/>
  <c r="L10" i="2" s="1"/>
  <c r="K11" i="2"/>
  <c r="L11" i="2" s="1"/>
  <c r="F12" i="2"/>
  <c r="C9" i="2"/>
  <c r="F1" i="1"/>
  <c r="B4" i="1"/>
  <c r="B3" i="1"/>
  <c r="N7" i="2" l="1"/>
  <c r="M8" i="2"/>
  <c r="B8" i="1"/>
  <c r="B7" i="1"/>
  <c r="B6" i="1"/>
  <c r="B5" i="1"/>
  <c r="F13" i="2"/>
  <c r="K12" i="2"/>
  <c r="L12" i="2" s="1"/>
  <c r="C8" i="2"/>
  <c r="D8" i="2" s="1"/>
  <c r="E8" i="2" s="1"/>
  <c r="D9" i="2"/>
  <c r="E9" i="2" s="1"/>
  <c r="D6" i="2"/>
  <c r="E6" i="2" s="1"/>
  <c r="D7" i="2"/>
  <c r="E7" i="2" s="1"/>
  <c r="C10" i="2"/>
  <c r="D10" i="2" s="1"/>
  <c r="M9" i="2" l="1"/>
  <c r="N8" i="2"/>
  <c r="F14" i="2"/>
  <c r="K13" i="2"/>
  <c r="L13" i="2" s="1"/>
  <c r="E10" i="2"/>
  <c r="C11" i="2"/>
  <c r="D11" i="2" s="1"/>
  <c r="M10" i="2" l="1"/>
  <c r="N9" i="2"/>
  <c r="F15" i="2"/>
  <c r="K14" i="2"/>
  <c r="L14" i="2" s="1"/>
  <c r="C12" i="2"/>
  <c r="E11" i="2"/>
  <c r="M11" i="2" l="1"/>
  <c r="N10" i="2"/>
  <c r="F16" i="2"/>
  <c r="K15" i="2"/>
  <c r="L15" i="2" s="1"/>
  <c r="D12" i="2"/>
  <c r="E12" i="2" s="1"/>
  <c r="C13" i="2"/>
  <c r="M12" i="2" l="1"/>
  <c r="N11" i="2"/>
  <c r="F17" i="2"/>
  <c r="K16" i="2"/>
  <c r="L16" i="2" s="1"/>
  <c r="D13" i="2"/>
  <c r="E13" i="2" s="1"/>
  <c r="C14" i="2"/>
  <c r="M13" i="2" l="1"/>
  <c r="N12" i="2"/>
  <c r="D16" i="2"/>
  <c r="F18" i="2"/>
  <c r="K17" i="2"/>
  <c r="L17" i="2" s="1"/>
  <c r="D14" i="2"/>
  <c r="E14" i="2" s="1"/>
  <c r="C15" i="2"/>
  <c r="M14" i="2" l="1"/>
  <c r="N13" i="2"/>
  <c r="D17" i="2"/>
  <c r="F19" i="2"/>
  <c r="K18" i="2"/>
  <c r="L18" i="2" s="1"/>
  <c r="D15" i="2"/>
  <c r="E15" i="2" s="1"/>
  <c r="C16" i="2"/>
  <c r="E16" i="2" s="1"/>
  <c r="M15" i="2" l="1"/>
  <c r="N14" i="2"/>
  <c r="F20" i="2"/>
  <c r="K20" i="2" s="1"/>
  <c r="L20" i="2" s="1"/>
  <c r="K19" i="2"/>
  <c r="L19" i="2" s="1"/>
  <c r="D18" i="2"/>
  <c r="C17" i="2"/>
  <c r="E17" i="2" s="1"/>
  <c r="M16" i="2" l="1"/>
  <c r="N15" i="2"/>
  <c r="D19" i="2"/>
  <c r="D20" i="2"/>
  <c r="C18" i="2"/>
  <c r="E18" i="2" s="1"/>
  <c r="M17" i="2" l="1"/>
  <c r="N16" i="2"/>
  <c r="C19" i="2"/>
  <c r="E19" i="2" s="1"/>
  <c r="C20" i="2"/>
  <c r="E20" i="2" s="1"/>
  <c r="M18" i="2" l="1"/>
  <c r="N17" i="2"/>
  <c r="M19" i="2" l="1"/>
  <c r="N18" i="2"/>
  <c r="M20" i="2" l="1"/>
  <c r="N20" i="2" s="1"/>
  <c r="N19" i="2"/>
</calcChain>
</file>

<file path=xl/sharedStrings.xml><?xml version="1.0" encoding="utf-8"?>
<sst xmlns="http://schemas.openxmlformats.org/spreadsheetml/2006/main" count="114" uniqueCount="99">
  <si>
    <t>inches</t>
  </si>
  <si>
    <t>Field Length</t>
  </si>
  <si>
    <t>Field Width</t>
  </si>
  <si>
    <t>Base Line</t>
  </si>
  <si>
    <t>Retrieve to Airship Drop A</t>
  </si>
  <si>
    <t>Scale inches per mm</t>
  </si>
  <si>
    <t>Retrieve to Airship Drop B</t>
  </si>
  <si>
    <t>Retrieve to Airship Drop C</t>
  </si>
  <si>
    <t>Therefore estimated travel distance one way is 600 inches</t>
  </si>
  <si>
    <t>feet</t>
  </si>
  <si>
    <t>m</t>
  </si>
  <si>
    <t>Description</t>
  </si>
  <si>
    <t>Shooting Distance from Drop C</t>
  </si>
  <si>
    <t># of gears</t>
  </si>
  <si>
    <t>Gear Delivery Schedule for one robot</t>
  </si>
  <si>
    <t>Total Match Time</t>
  </si>
  <si>
    <t>seconds</t>
  </si>
  <si>
    <t>Distance Overhead</t>
  </si>
  <si>
    <t>Time to Drop Gear</t>
  </si>
  <si>
    <t>percent</t>
  </si>
  <si>
    <t>Assume deliver a gear during auton mode</t>
  </si>
  <si>
    <t>Time to Load Gear and balls</t>
  </si>
  <si>
    <t>Operator Time to Install Gear</t>
  </si>
  <si>
    <t>Time to Climb</t>
  </si>
  <si>
    <t>Travel Distance - Incl. overhead (m)</t>
  </si>
  <si>
    <t>Travel Distance (m)</t>
  </si>
  <si>
    <t>To compensate for moving around obstacles</t>
  </si>
  <si>
    <t>Constant Name</t>
  </si>
  <si>
    <t>Value</t>
  </si>
  <si>
    <t>Comments</t>
  </si>
  <si>
    <t>Unit</t>
  </si>
  <si>
    <t>Minimum speed required (m/s)</t>
  </si>
  <si>
    <t>Minimum Speed (km/hr)</t>
  </si>
  <si>
    <t>Time Dropping Gears (s)</t>
  </si>
  <si>
    <t>Time loading Gears &amp; Balls (s)</t>
  </si>
  <si>
    <t>Time spent Unloading the balls (s)</t>
  </si>
  <si>
    <t>Time required for Operator to Install Gear (s)</t>
  </si>
  <si>
    <t>Climbing Time (s)</t>
  </si>
  <si>
    <t>Travel Time (s)</t>
  </si>
  <si>
    <t>Seconds per Gears (s)</t>
  </si>
  <si>
    <t>Shooting Distance from Drop B</t>
  </si>
  <si>
    <t>Shooting Distance from Drop A</t>
  </si>
  <si>
    <t>Gear travel distance</t>
  </si>
  <si>
    <t>one-way travel</t>
  </si>
  <si>
    <t>Autonomous Travel Distance</t>
  </si>
  <si>
    <t>Balls per load</t>
  </si>
  <si>
    <t>balls</t>
  </si>
  <si>
    <t>Starting Ball Count</t>
  </si>
  <si>
    <t>Ball Success Rate</t>
  </si>
  <si>
    <t>Balls in top goal per balls shot</t>
  </si>
  <si>
    <t>Balls  Shot</t>
  </si>
  <si>
    <t>Balls Successful</t>
  </si>
  <si>
    <t>Points Per Ball</t>
  </si>
  <si>
    <t>Volume</t>
  </si>
  <si>
    <t>Ball Volume</t>
  </si>
  <si>
    <t>Diameter</t>
  </si>
  <si>
    <t>L1 (inches)</t>
  </si>
  <si>
    <t>L2 (inches)</t>
  </si>
  <si>
    <t>H (inches)</t>
  </si>
  <si>
    <t>inches^3</t>
  </si>
  <si>
    <t>Volume (inches ^3)</t>
  </si>
  <si>
    <t>sphere packing density for random distribution in euclidean volume</t>
  </si>
  <si>
    <t>Therefore if full volume allocated to balls, maximum balls inside volume would be</t>
  </si>
  <si>
    <t>Return Bins</t>
  </si>
  <si>
    <t>nominal</t>
  </si>
  <si>
    <t>Estimated Robot Speed</t>
  </si>
  <si>
    <t>ft/s</t>
  </si>
  <si>
    <t>m/s</t>
  </si>
  <si>
    <t>Preasure Points Accumulated</t>
  </si>
  <si>
    <t>Time to unload the balls</t>
  </si>
  <si>
    <t>Total Area of field</t>
  </si>
  <si>
    <t>inches ^ 2</t>
  </si>
  <si>
    <t>ft ^ 2</t>
  </si>
  <si>
    <t>m^2</t>
  </si>
  <si>
    <t>Area of the Airships</t>
  </si>
  <si>
    <t>Area of balls on field</t>
  </si>
  <si>
    <t>(600*5x5)^2</t>
  </si>
  <si>
    <t>Rounds/sec</t>
  </si>
  <si>
    <t xml:space="preserve">Therefore ball is in contact with the shooter wheel for </t>
  </si>
  <si>
    <t>ms</t>
  </si>
  <si>
    <t>rotor pts</t>
  </si>
  <si>
    <t>auto</t>
  </si>
  <si>
    <t>match</t>
  </si>
  <si>
    <t>shooter is in contact for 1.125 rotations of the ball.</t>
  </si>
  <si>
    <t>all four bonus</t>
  </si>
  <si>
    <t>playoffs</t>
  </si>
  <si>
    <t>qualls</t>
  </si>
  <si>
    <t>rotors</t>
  </si>
  <si>
    <t>pressure points</t>
  </si>
  <si>
    <t>mobility</t>
  </si>
  <si>
    <t>preloaded</t>
  </si>
  <si>
    <t>additional pressure scored in auto average.</t>
  </si>
  <si>
    <t>auto points</t>
  </si>
  <si>
    <t>matches</t>
  </si>
  <si>
    <t>avg auto pts</t>
  </si>
  <si>
    <t>avg rotor</t>
  </si>
  <si>
    <t>lift pts</t>
  </si>
  <si>
    <t>successes</t>
  </si>
  <si>
    <t>#/match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</si>
</sst>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9" fontId="0" fillId="0" borderId="0" xfId="0" applyNumberFormat="1"/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0" fontId="1" fillId="0" borderId="0" xfId="0" applyFont="1"/>
    <xf numFmtId="0" fontId="0" fillId="0" borderId="0" xfId="0" applyAlignment="1">
      <alignment horizontal="center" vertical="top" wrapText="1"/>
    </xf>
  </cellXfs>
  <cellStyles count="1">
    <cellStyle name="Normal" xfId="0" builtinId="0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2" formatCode="0.00"/>
    </dxf>
    <dxf>
      <numFmt numFmtId="2" formatCode="0.00"/>
    </dxf>
    <dxf>
      <numFmt numFmtId="164" formatCode="0.0"/>
    </dxf>
    <dxf>
      <numFmt numFmtId="0" formatCode="General"/>
    </dxf>
    <dxf>
      <alignment horizontal="center" vertical="top" textRotation="0" wrapText="1" indent="0" justifyLastLine="0" shrinkToFit="0" readingOrder="0"/>
    </dxf>
    <dxf>
      <numFmt numFmtId="164" formatCode="0.0"/>
    </dxf>
    <dxf>
      <numFmt numFmtId="164" formatCode="0.0"/>
    </dxf>
    <dxf>
      <numFmt numFmtId="1" formatCode="0"/>
    </dxf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" displayName="Table1" ref="A1:D11" totalsRowShown="0">
  <autoFilter ref="A1:D11"/>
  <tableColumns count="4">
    <tableColumn id="1" name="Description"/>
    <tableColumn id="2" name="inches" dataDxfId="16"/>
    <tableColumn id="3" name="feet" dataDxfId="15" totalsRowDxfId="14">
      <calculatedColumnFormula>IF(B2&gt;=0,B2/12,"n/a")</calculatedColumnFormula>
    </tableColumn>
    <tableColumn id="4" name="m" dataDxfId="13" totalsRowDxfId="12">
      <calculatedColumnFormula>IF(B2&gt;=0,B2*2.54/100,"n/a")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3:D15" totalsRowShown="0">
  <autoFilter ref="A3:D15"/>
  <tableColumns count="4">
    <tableColumn id="1" name="Constant Name"/>
    <tableColumn id="3" name="Value"/>
    <tableColumn id="4" name="Unit"/>
    <tableColumn id="5" name="Comment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5:Q20" totalsRowShown="0" headerRowDxfId="11">
  <autoFilter ref="A5:Q20"/>
  <tableColumns count="17">
    <tableColumn id="1" name="# of gears"/>
    <tableColumn id="2" name="Travel Distance (m)" dataDxfId="10">
      <calculatedColumnFormula>B5+15.5*2</calculatedColumnFormula>
    </tableColumn>
    <tableColumn id="3" name="Travel Distance - Incl. overhead (m)" dataDxfId="9">
      <calculatedColumnFormula>B6*(1+Assumptions!$B$5)</calculatedColumnFormula>
    </tableColumn>
    <tableColumn id="4" name="Minimum speed required (m/s)" dataDxfId="8">
      <calculatedColumnFormula>IF(K6&gt;0,C6/K6,"n/a")</calculatedColumnFormula>
    </tableColumn>
    <tableColumn id="5" name="Minimum Speed (km/hr)" dataDxfId="7">
      <calculatedColumnFormula>D6*60*60/1000</calculatedColumnFormula>
    </tableColumn>
    <tableColumn id="6" name="Time spent Unloading the balls (s)">
      <calculatedColumnFormula>F5+Assumptions!$B$8</calculatedColumnFormula>
    </tableColumn>
    <tableColumn id="7" name="Time loading Gears &amp; Balls (s)">
      <calculatedColumnFormula>G5+Assumptions!$B$7</calculatedColumnFormula>
    </tableColumn>
    <tableColumn id="8" name="Time Dropping Gears (s)">
      <calculatedColumnFormula>H5+Assumptions!$B$6</calculatedColumnFormula>
    </tableColumn>
    <tableColumn id="9" name="Time required for Operator to Install Gear (s)"/>
    <tableColumn id="10" name="Climbing Time (s)">
      <calculatedColumnFormula>Assumptions!$B$10</calculatedColumnFormula>
    </tableColumn>
    <tableColumn id="11" name="Travel Time (s)">
      <calculatedColumnFormula>Assumptions!$B$4-SUM(F6:J6)</calculatedColumnFormula>
    </tableColumn>
    <tableColumn id="12" name="Seconds per Gears (s)" dataDxfId="6">
      <calculatedColumnFormula>IF(K6&gt;0,Assumptions!$B$4/A6,"n/a")</calculatedColumnFormula>
    </tableColumn>
    <tableColumn id="14" name="Balls  Shot" dataDxfId="5">
      <calculatedColumnFormula>Assumptions!$B$13</calculatedColumnFormula>
    </tableColumn>
    <tableColumn id="15" name="Balls Successful" dataDxfId="4">
      <calculatedColumnFormula>M6*Assumptions!$B$15</calculatedColumnFormula>
    </tableColumn>
    <tableColumn id="16" name="Points Per Ball" dataDxfId="3">
      <calculatedColumnFormula>1/3</calculatedColumnFormula>
    </tableColumn>
    <tableColumn id="17" name="Preasure Points Accumulated" dataDxfId="2">
      <calculatedColumnFormula>N6*O6</calculatedColumnFormula>
    </tableColumn>
    <tableColumn id="13" name="Comment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1"/>
  <sheetViews>
    <sheetView topLeftCell="A2" workbookViewId="0">
      <selection activeCell="H11" sqref="H11"/>
    </sheetView>
  </sheetViews>
  <sheetFormatPr defaultRowHeight="14.4" x14ac:dyDescent="0.3"/>
  <cols>
    <col min="1" max="1" width="23.5546875" customWidth="1"/>
  </cols>
  <sheetData>
    <row r="1" spans="1:10" x14ac:dyDescent="0.3">
      <c r="A1" t="s">
        <v>11</v>
      </c>
      <c r="B1" t="s">
        <v>0</v>
      </c>
      <c r="C1" t="s">
        <v>9</v>
      </c>
      <c r="D1" t="s">
        <v>10</v>
      </c>
      <c r="F1">
        <f>652/124</f>
        <v>5.258064516129032</v>
      </c>
      <c r="G1" t="s">
        <v>5</v>
      </c>
    </row>
    <row r="2" spans="1:10" x14ac:dyDescent="0.3">
      <c r="A2" t="s">
        <v>1</v>
      </c>
      <c r="B2" s="4">
        <v>652</v>
      </c>
      <c r="C2" s="4">
        <f t="shared" ref="C2:C10" si="0">IF(B2&gt;=0,B2/12,"n/a")</f>
        <v>54.333333333333336</v>
      </c>
      <c r="D2" s="3">
        <f t="shared" ref="D2:D10" si="1">IF(B2&gt;=0,B2*2.54/100,"n/a")</f>
        <v>16.5608</v>
      </c>
    </row>
    <row r="3" spans="1:10" x14ac:dyDescent="0.3">
      <c r="A3" t="s">
        <v>2</v>
      </c>
      <c r="B3" s="4">
        <f>27*12</f>
        <v>324</v>
      </c>
      <c r="C3" s="4">
        <f t="shared" si="0"/>
        <v>27</v>
      </c>
      <c r="D3" s="3">
        <f t="shared" si="1"/>
        <v>8.2295999999999996</v>
      </c>
    </row>
    <row r="4" spans="1:10" x14ac:dyDescent="0.3">
      <c r="A4" t="s">
        <v>3</v>
      </c>
      <c r="B4" s="4">
        <f>7*12+9.25</f>
        <v>93.25</v>
      </c>
      <c r="C4" s="4">
        <f t="shared" si="0"/>
        <v>7.770833333333333</v>
      </c>
      <c r="D4" s="3">
        <f t="shared" si="1"/>
        <v>2.3685499999999999</v>
      </c>
      <c r="F4" t="s">
        <v>8</v>
      </c>
    </row>
    <row r="5" spans="1:10" x14ac:dyDescent="0.3">
      <c r="A5" t="s">
        <v>4</v>
      </c>
      <c r="B5" s="4">
        <f>95*$F$1</f>
        <v>499.51612903225805</v>
      </c>
      <c r="C5" s="4">
        <f t="shared" si="0"/>
        <v>41.626344086021504</v>
      </c>
      <c r="D5" s="3">
        <f t="shared" si="1"/>
        <v>12.687709677419354</v>
      </c>
      <c r="H5" t="s">
        <v>71</v>
      </c>
      <c r="I5" t="s">
        <v>72</v>
      </c>
      <c r="J5" t="s">
        <v>73</v>
      </c>
    </row>
    <row r="6" spans="1:10" x14ac:dyDescent="0.3">
      <c r="A6" t="s">
        <v>6</v>
      </c>
      <c r="B6" s="4">
        <f>(104+10)*$F$1</f>
        <v>599.41935483870964</v>
      </c>
      <c r="C6" s="4">
        <f t="shared" si="0"/>
        <v>49.951612903225801</v>
      </c>
      <c r="D6" s="3">
        <f t="shared" si="1"/>
        <v>15.225251612903225</v>
      </c>
      <c r="F6" t="s">
        <v>70</v>
      </c>
      <c r="H6">
        <f>B2*B3</f>
        <v>211248</v>
      </c>
      <c r="I6">
        <f>C2*C3</f>
        <v>1467</v>
      </c>
      <c r="J6">
        <f>D2*D3</f>
        <v>136.28875968</v>
      </c>
    </row>
    <row r="7" spans="1:10" x14ac:dyDescent="0.3">
      <c r="A7" t="s">
        <v>7</v>
      </c>
      <c r="B7" s="4">
        <f>(103+8)*$F$1</f>
        <v>583.64516129032256</v>
      </c>
      <c r="C7" s="4">
        <f t="shared" si="0"/>
        <v>48.637096774193544</v>
      </c>
      <c r="D7" s="3">
        <f t="shared" si="1"/>
        <v>14.824587096774193</v>
      </c>
    </row>
    <row r="8" spans="1:10" x14ac:dyDescent="0.3">
      <c r="A8" t="s">
        <v>12</v>
      </c>
      <c r="B8" s="4">
        <f>30*F1</f>
        <v>157.74193548387098</v>
      </c>
      <c r="C8" s="4">
        <f t="shared" si="0"/>
        <v>13.145161290322582</v>
      </c>
      <c r="D8" s="3">
        <f t="shared" si="1"/>
        <v>4.0066451612903231</v>
      </c>
      <c r="F8" t="s">
        <v>74</v>
      </c>
      <c r="H8">
        <f>8*8*12*12</f>
        <v>9216</v>
      </c>
      <c r="I8">
        <f>8*8</f>
        <v>64</v>
      </c>
      <c r="J8">
        <f>(8*12*2.54/100)^2</f>
        <v>5.9457945600000004</v>
      </c>
    </row>
    <row r="9" spans="1:10" x14ac:dyDescent="0.3">
      <c r="A9" t="s">
        <v>40</v>
      </c>
      <c r="B9" s="4">
        <f>35*$F$1</f>
        <v>184.03225806451613</v>
      </c>
      <c r="C9" s="4">
        <f t="shared" si="0"/>
        <v>15.336021505376344</v>
      </c>
      <c r="D9" s="3">
        <f t="shared" si="1"/>
        <v>4.6744193548387099</v>
      </c>
    </row>
    <row r="10" spans="1:10" x14ac:dyDescent="0.3">
      <c r="A10" t="s">
        <v>41</v>
      </c>
      <c r="B10" s="4">
        <v>-1</v>
      </c>
      <c r="C10" s="4" t="str">
        <f t="shared" si="0"/>
        <v>n/a</v>
      </c>
      <c r="D10" s="3" t="str">
        <f t="shared" si="1"/>
        <v>n/a</v>
      </c>
      <c r="F10" t="s">
        <v>75</v>
      </c>
      <c r="H10" t="s">
        <v>76</v>
      </c>
    </row>
    <row r="11" spans="1:10" x14ac:dyDescent="0.3">
      <c r="B11" s="4"/>
      <c r="C11" s="4">
        <f>IF(B11&gt;=0,B11/12,"n/a")</f>
        <v>0</v>
      </c>
      <c r="D11" s="3">
        <f>IF(B11&gt;=0,B11*2.54/100,"n/a")</f>
        <v>0</v>
      </c>
    </row>
  </sheetData>
  <pageMargins left="0.7" right="0.7" top="0.75" bottom="0.75" header="0.3" footer="0.3"/>
  <pageSetup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1"/>
  <sheetViews>
    <sheetView workbookViewId="0">
      <selection activeCell="A9" sqref="A9"/>
    </sheetView>
  </sheetViews>
  <sheetFormatPr defaultRowHeight="14.4" x14ac:dyDescent="0.3"/>
  <sheetData>
    <row r="2" spans="1:13" x14ac:dyDescent="0.3">
      <c r="A2" t="s">
        <v>56</v>
      </c>
      <c r="B2" t="s">
        <v>57</v>
      </c>
      <c r="C2" t="s">
        <v>58</v>
      </c>
      <c r="D2" t="s">
        <v>60</v>
      </c>
      <c r="I2" t="s">
        <v>63</v>
      </c>
    </row>
    <row r="3" spans="1:13" x14ac:dyDescent="0.3">
      <c r="A3">
        <v>36</v>
      </c>
      <c r="B3">
        <v>40</v>
      </c>
      <c r="C3">
        <v>24</v>
      </c>
      <c r="D3">
        <f>A3*B3*C3</f>
        <v>34560</v>
      </c>
      <c r="I3">
        <v>33.5</v>
      </c>
      <c r="J3">
        <v>18</v>
      </c>
      <c r="K3">
        <v>13</v>
      </c>
      <c r="L3">
        <f>I3*J3*K3</f>
        <v>7839</v>
      </c>
    </row>
    <row r="4" spans="1:13" x14ac:dyDescent="0.3">
      <c r="A4">
        <v>30</v>
      </c>
      <c r="B4">
        <v>32</v>
      </c>
      <c r="C4">
        <v>36</v>
      </c>
      <c r="D4">
        <f>A4*B4*C4</f>
        <v>34560</v>
      </c>
    </row>
    <row r="6" spans="1:13" x14ac:dyDescent="0.3">
      <c r="A6" t="s">
        <v>54</v>
      </c>
    </row>
    <row r="7" spans="1:13" x14ac:dyDescent="0.3">
      <c r="A7" t="s">
        <v>55</v>
      </c>
      <c r="B7">
        <v>5</v>
      </c>
      <c r="C7" t="s">
        <v>0</v>
      </c>
    </row>
    <row r="8" spans="1:13" x14ac:dyDescent="0.3">
      <c r="A8" t="s">
        <v>53</v>
      </c>
      <c r="B8">
        <f>4/3*PI()*($B$7/2)^3</f>
        <v>65.449846949787357</v>
      </c>
      <c r="C8" t="s">
        <v>59</v>
      </c>
    </row>
    <row r="10" spans="1:13" x14ac:dyDescent="0.3">
      <c r="A10" t="s">
        <v>61</v>
      </c>
    </row>
    <row r="11" spans="1:13" x14ac:dyDescent="0.3">
      <c r="A11" s="1">
        <v>0.46</v>
      </c>
    </row>
    <row r="13" spans="1:13" x14ac:dyDescent="0.3">
      <c r="A13" t="s">
        <v>62</v>
      </c>
    </row>
    <row r="14" spans="1:13" x14ac:dyDescent="0.3">
      <c r="A14">
        <f>D3/B8</f>
        <v>528.03790399256673</v>
      </c>
      <c r="B14" s="1">
        <v>1</v>
      </c>
      <c r="L14">
        <f>L3/B8</f>
        <v>119.77109749414728</v>
      </c>
      <c r="M14" s="1">
        <v>1</v>
      </c>
    </row>
    <row r="15" spans="1:13" x14ac:dyDescent="0.3">
      <c r="A15">
        <f>A14*A11</f>
        <v>242.89743583658071</v>
      </c>
      <c r="B15" s="1">
        <f>A11</f>
        <v>0.46</v>
      </c>
      <c r="L15">
        <f>L14*A11</f>
        <v>55.094704847307753</v>
      </c>
      <c r="M15" s="1">
        <f>A11</f>
        <v>0.46</v>
      </c>
    </row>
    <row r="16" spans="1:13" x14ac:dyDescent="0.3">
      <c r="K16" t="s">
        <v>64</v>
      </c>
      <c r="L16">
        <v>55</v>
      </c>
      <c r="M16">
        <f>L16/L14</f>
        <v>0.45920928463302779</v>
      </c>
    </row>
    <row r="19" spans="1:2" x14ac:dyDescent="0.3">
      <c r="A19" t="s">
        <v>65</v>
      </c>
    </row>
    <row r="20" spans="1:2" x14ac:dyDescent="0.3">
      <c r="A20">
        <v>35</v>
      </c>
      <c r="B20" t="s">
        <v>66</v>
      </c>
    </row>
    <row r="21" spans="1:2" x14ac:dyDescent="0.3">
      <c r="A21">
        <f>A20*12*2.54/100</f>
        <v>10.667999999999999</v>
      </c>
      <c r="B21" t="s">
        <v>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D15"/>
  <sheetViews>
    <sheetView topLeftCell="A3" workbookViewId="0">
      <selection activeCell="B8" sqref="B8"/>
    </sheetView>
  </sheetViews>
  <sheetFormatPr defaultRowHeight="14.4" x14ac:dyDescent="0.3"/>
  <cols>
    <col min="1" max="1" width="25.44140625" bestFit="1" customWidth="1"/>
    <col min="4" max="4" width="37.88671875" bestFit="1" customWidth="1"/>
  </cols>
  <sheetData>
    <row r="3" spans="1:4" x14ac:dyDescent="0.3">
      <c r="A3" t="s">
        <v>27</v>
      </c>
      <c r="B3" t="s">
        <v>28</v>
      </c>
      <c r="C3" t="s">
        <v>30</v>
      </c>
      <c r="D3" t="s">
        <v>29</v>
      </c>
    </row>
    <row r="4" spans="1:4" x14ac:dyDescent="0.3">
      <c r="A4" t="s">
        <v>15</v>
      </c>
      <c r="B4">
        <f>2.5*60</f>
        <v>150</v>
      </c>
      <c r="C4" t="s">
        <v>16</v>
      </c>
    </row>
    <row r="5" spans="1:4" x14ac:dyDescent="0.3">
      <c r="A5" t="s">
        <v>17</v>
      </c>
      <c r="B5" s="1">
        <v>0.25</v>
      </c>
      <c r="C5" t="s">
        <v>19</v>
      </c>
      <c r="D5" t="s">
        <v>26</v>
      </c>
    </row>
    <row r="6" spans="1:4" x14ac:dyDescent="0.3">
      <c r="A6" t="s">
        <v>18</v>
      </c>
      <c r="B6">
        <v>5</v>
      </c>
      <c r="C6" t="s">
        <v>16</v>
      </c>
    </row>
    <row r="7" spans="1:4" x14ac:dyDescent="0.3">
      <c r="A7" t="s">
        <v>21</v>
      </c>
      <c r="B7">
        <v>5</v>
      </c>
      <c r="C7" t="s">
        <v>16</v>
      </c>
    </row>
    <row r="8" spans="1:4" x14ac:dyDescent="0.3">
      <c r="A8" t="s">
        <v>69</v>
      </c>
      <c r="B8">
        <v>5</v>
      </c>
      <c r="C8" t="s">
        <v>16</v>
      </c>
    </row>
    <row r="9" spans="1:4" x14ac:dyDescent="0.3">
      <c r="A9" t="s">
        <v>22</v>
      </c>
      <c r="B9">
        <v>5</v>
      </c>
      <c r="C9" t="s">
        <v>16</v>
      </c>
    </row>
    <row r="10" spans="1:4" x14ac:dyDescent="0.3">
      <c r="A10" t="s">
        <v>23</v>
      </c>
      <c r="B10">
        <v>15</v>
      </c>
      <c r="C10" t="s">
        <v>16</v>
      </c>
    </row>
    <row r="11" spans="1:4" x14ac:dyDescent="0.3">
      <c r="A11" t="s">
        <v>42</v>
      </c>
      <c r="B11">
        <v>15.5</v>
      </c>
      <c r="C11" t="s">
        <v>10</v>
      </c>
      <c r="D11" t="s">
        <v>43</v>
      </c>
    </row>
    <row r="12" spans="1:4" x14ac:dyDescent="0.3">
      <c r="A12" t="s">
        <v>44</v>
      </c>
      <c r="B12">
        <v>2.5</v>
      </c>
      <c r="C12" t="s">
        <v>10</v>
      </c>
    </row>
    <row r="13" spans="1:4" x14ac:dyDescent="0.3">
      <c r="A13" t="s">
        <v>45</v>
      </c>
      <c r="B13">
        <v>40</v>
      </c>
      <c r="C13" t="s">
        <v>46</v>
      </c>
    </row>
    <row r="14" spans="1:4" x14ac:dyDescent="0.3">
      <c r="A14" t="s">
        <v>47</v>
      </c>
      <c r="B14">
        <v>10</v>
      </c>
      <c r="C14" t="s">
        <v>46</v>
      </c>
    </row>
    <row r="15" spans="1:4" x14ac:dyDescent="0.3">
      <c r="A15" t="s">
        <v>48</v>
      </c>
      <c r="B15" s="1">
        <v>0.4</v>
      </c>
      <c r="C15" t="s">
        <v>19</v>
      </c>
      <c r="D15" t="s">
        <v>49</v>
      </c>
    </row>
  </sheetData>
  <pageMargins left="0.7" right="0.7" top="0.75" bottom="0.75" header="0.3" footer="0.3"/>
  <pageSetup orientation="landscape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0"/>
  <sheetViews>
    <sheetView tabSelected="1" topLeftCell="A5" workbookViewId="0">
      <selection activeCell="F6" sqref="F6"/>
    </sheetView>
  </sheetViews>
  <sheetFormatPr defaultRowHeight="14.4" x14ac:dyDescent="0.3"/>
  <cols>
    <col min="1" max="1" width="10.33203125" customWidth="1"/>
    <col min="2" max="2" width="11.6640625" customWidth="1"/>
    <col min="3" max="3" width="14.33203125" customWidth="1"/>
    <col min="4" max="4" width="15.33203125" customWidth="1"/>
    <col min="5" max="5" width="12" customWidth="1"/>
    <col min="6" max="6" width="12.6640625" customWidth="1"/>
    <col min="7" max="7" width="11.6640625" customWidth="1"/>
    <col min="8" max="8" width="9.5546875" customWidth="1"/>
    <col min="9" max="9" width="12.5546875" customWidth="1"/>
    <col min="10" max="10" width="9" customWidth="1"/>
    <col min="11" max="11" width="11" customWidth="1"/>
    <col min="12" max="15" width="9.5546875" customWidth="1"/>
    <col min="16" max="16" width="12.77734375" customWidth="1"/>
    <col min="17" max="17" width="35" bestFit="1" customWidth="1"/>
  </cols>
  <sheetData>
    <row r="1" spans="1:17" x14ac:dyDescent="0.3">
      <c r="A1" s="5" t="s">
        <v>14</v>
      </c>
    </row>
    <row r="5" spans="1:17" s="6" customFormat="1" ht="72.599999999999994" customHeight="1" x14ac:dyDescent="0.3">
      <c r="A5" s="6" t="s">
        <v>13</v>
      </c>
      <c r="B5" s="6" t="s">
        <v>25</v>
      </c>
      <c r="C5" s="6" t="s">
        <v>24</v>
      </c>
      <c r="D5" s="6" t="s">
        <v>31</v>
      </c>
      <c r="E5" s="6" t="s">
        <v>32</v>
      </c>
      <c r="F5" s="6" t="s">
        <v>35</v>
      </c>
      <c r="G5" s="6" t="s">
        <v>34</v>
      </c>
      <c r="H5" s="6" t="s">
        <v>33</v>
      </c>
      <c r="I5" s="6" t="s">
        <v>36</v>
      </c>
      <c r="J5" s="6" t="s">
        <v>37</v>
      </c>
      <c r="K5" s="6" t="s">
        <v>38</v>
      </c>
      <c r="L5" s="6" t="s">
        <v>39</v>
      </c>
      <c r="M5" s="6" t="s">
        <v>50</v>
      </c>
      <c r="N5" s="6" t="s">
        <v>51</v>
      </c>
      <c r="O5" s="6" t="s">
        <v>52</v>
      </c>
      <c r="P5" s="6" t="s">
        <v>68</v>
      </c>
      <c r="Q5" s="6" t="s">
        <v>29</v>
      </c>
    </row>
    <row r="6" spans="1:17" x14ac:dyDescent="0.3">
      <c r="A6">
        <v>1</v>
      </c>
      <c r="B6">
        <f>Assumptions!$B$12</f>
        <v>2.5</v>
      </c>
      <c r="C6" s="3">
        <f>B6*(1+Assumptions!$B$5)</f>
        <v>3.125</v>
      </c>
      <c r="D6" s="2">
        <f t="shared" ref="D6:D20" si="0">IF(K6&gt;0,C6/K6,"n/a")</f>
        <v>0.78125</v>
      </c>
      <c r="E6" s="2">
        <f>D6*60*60/1000</f>
        <v>2.8125</v>
      </c>
      <c r="F6">
        <f>Assumptions!$B$8/5</f>
        <v>1</v>
      </c>
      <c r="G6">
        <f>0</f>
        <v>0</v>
      </c>
      <c r="H6">
        <f>Assumptions!$B$6</f>
        <v>5</v>
      </c>
      <c r="I6">
        <f>Assumptions!$B$9</f>
        <v>5</v>
      </c>
      <c r="J6">
        <v>0</v>
      </c>
      <c r="K6">
        <f>15-SUM(F6:J6)</f>
        <v>4</v>
      </c>
      <c r="L6" s="3">
        <v>15</v>
      </c>
      <c r="M6" s="3">
        <f>Assumptions!$B$14</f>
        <v>10</v>
      </c>
      <c r="N6" s="3">
        <f>M6*Assumptions!$B$15</f>
        <v>4</v>
      </c>
      <c r="O6" s="3">
        <f>1</f>
        <v>1</v>
      </c>
      <c r="P6" s="3">
        <f t="shared" ref="P6" si="1">N6*O6</f>
        <v>4</v>
      </c>
      <c r="Q6" t="s">
        <v>20</v>
      </c>
    </row>
    <row r="7" spans="1:17" x14ac:dyDescent="0.3">
      <c r="A7">
        <v>2</v>
      </c>
      <c r="B7">
        <f>B6+Assumptions!$B$11*2</f>
        <v>33.5</v>
      </c>
      <c r="C7" s="3">
        <f>B7*(1+Assumptions!$B$5)</f>
        <v>41.875</v>
      </c>
      <c r="D7" s="2">
        <f t="shared" si="0"/>
        <v>0.36732456140350878</v>
      </c>
      <c r="E7" s="2">
        <f t="shared" ref="E7:E20" si="2">D7*60*60/1000</f>
        <v>1.3223684210526316</v>
      </c>
      <c r="F7">
        <f>F6+Assumptions!$B$8</f>
        <v>6</v>
      </c>
      <c r="G7">
        <f>G6+Assumptions!$B$7</f>
        <v>5</v>
      </c>
      <c r="H7">
        <f>H6+Assumptions!$B$6</f>
        <v>10</v>
      </c>
      <c r="I7">
        <v>0</v>
      </c>
      <c r="J7">
        <f>Assumptions!$B$10</f>
        <v>15</v>
      </c>
      <c r="K7">
        <f>Assumptions!$B$4-SUM(F7:J7)</f>
        <v>114</v>
      </c>
      <c r="L7" s="3">
        <f>IF(K7&gt;0,(Assumptions!$B$4-J7)/A7,"n/a")</f>
        <v>67.5</v>
      </c>
      <c r="M7" s="3">
        <f>M6+Assumptions!$B$13</f>
        <v>50</v>
      </c>
      <c r="N7" s="3">
        <f>M7*Assumptions!$B$15</f>
        <v>20</v>
      </c>
      <c r="O7" s="3">
        <f t="shared" ref="O7:O20" si="3">1/3</f>
        <v>0.33333333333333331</v>
      </c>
      <c r="P7" s="3">
        <f>P6+(N7-N6)*O7</f>
        <v>9.3333333333333321</v>
      </c>
    </row>
    <row r="8" spans="1:17" x14ac:dyDescent="0.3">
      <c r="A8">
        <v>3</v>
      </c>
      <c r="B8">
        <f>B7+Assumptions!$B$11*2</f>
        <v>64.5</v>
      </c>
      <c r="C8" s="3">
        <f>B8*(1+Assumptions!$B$5)</f>
        <v>80.625</v>
      </c>
      <c r="D8" s="2">
        <f t="shared" si="0"/>
        <v>0.81439393939393945</v>
      </c>
      <c r="E8" s="2">
        <f t="shared" si="2"/>
        <v>2.9318181818181821</v>
      </c>
      <c r="F8">
        <f>F7+Assumptions!$B$8</f>
        <v>11</v>
      </c>
      <c r="G8">
        <f>G7+Assumptions!$B$7</f>
        <v>10</v>
      </c>
      <c r="H8">
        <f>H7+Assumptions!$B$6</f>
        <v>15</v>
      </c>
      <c r="I8">
        <v>0</v>
      </c>
      <c r="J8">
        <f>Assumptions!$B$10</f>
        <v>15</v>
      </c>
      <c r="K8">
        <f>Assumptions!$B$4-SUM(F8:J8)</f>
        <v>99</v>
      </c>
      <c r="L8" s="3">
        <f>IF(K8&gt;0,(Assumptions!$B$4-J8)/A8,"n/a")</f>
        <v>45</v>
      </c>
      <c r="M8" s="3">
        <f>M7+Assumptions!$B$13</f>
        <v>90</v>
      </c>
      <c r="N8" s="3">
        <f>M8*Assumptions!$B$15</f>
        <v>36</v>
      </c>
      <c r="O8" s="3">
        <f t="shared" si="3"/>
        <v>0.33333333333333331</v>
      </c>
      <c r="P8" s="3">
        <f t="shared" ref="P8:P20" si="4">P7+(N8-N7)*O8</f>
        <v>14.666666666666664</v>
      </c>
    </row>
    <row r="9" spans="1:17" x14ac:dyDescent="0.3">
      <c r="A9">
        <v>4</v>
      </c>
      <c r="B9">
        <f>B8+Assumptions!$B$11*2</f>
        <v>95.5</v>
      </c>
      <c r="C9" s="3">
        <f>B9*(1+Assumptions!$B$5)</f>
        <v>119.375</v>
      </c>
      <c r="D9" s="2">
        <f t="shared" si="0"/>
        <v>1.4211309523809523</v>
      </c>
      <c r="E9" s="2">
        <f t="shared" si="2"/>
        <v>5.1160714285714288</v>
      </c>
      <c r="F9">
        <f>F8+Assumptions!$B$8</f>
        <v>16</v>
      </c>
      <c r="G9">
        <f>G8+Assumptions!$B$7</f>
        <v>15</v>
      </c>
      <c r="H9">
        <f>H8+Assumptions!$B$6</f>
        <v>20</v>
      </c>
      <c r="I9">
        <v>0</v>
      </c>
      <c r="J9">
        <f>Assumptions!$B$10</f>
        <v>15</v>
      </c>
      <c r="K9">
        <f>Assumptions!$B$4-SUM(F9:J9)</f>
        <v>84</v>
      </c>
      <c r="L9" s="3">
        <f>IF(K9&gt;0,(Assumptions!$B$4-J9)/A9,"n/a")</f>
        <v>33.75</v>
      </c>
      <c r="M9" s="3">
        <f>M8+Assumptions!$B$13</f>
        <v>130</v>
      </c>
      <c r="N9" s="3">
        <f>M9*Assumptions!$B$15</f>
        <v>52</v>
      </c>
      <c r="O9" s="3">
        <f t="shared" si="3"/>
        <v>0.33333333333333331</v>
      </c>
      <c r="P9" s="3">
        <f t="shared" si="4"/>
        <v>19.999999999999996</v>
      </c>
    </row>
    <row r="10" spans="1:17" x14ac:dyDescent="0.3">
      <c r="A10">
        <v>5</v>
      </c>
      <c r="B10">
        <f>B9+Assumptions!$B$11*2</f>
        <v>126.5</v>
      </c>
      <c r="C10" s="3">
        <f>B10*(1+Assumptions!$B$5)</f>
        <v>158.125</v>
      </c>
      <c r="D10" s="2">
        <f t="shared" si="0"/>
        <v>2.2916666666666665</v>
      </c>
      <c r="E10" s="2">
        <f t="shared" si="2"/>
        <v>8.25</v>
      </c>
      <c r="F10">
        <f>F9+Assumptions!$B$8</f>
        <v>21</v>
      </c>
      <c r="G10">
        <f>G9+Assumptions!$B$7</f>
        <v>20</v>
      </c>
      <c r="H10">
        <f>H9+Assumptions!$B$6</f>
        <v>25</v>
      </c>
      <c r="I10">
        <v>0</v>
      </c>
      <c r="J10">
        <f>Assumptions!$B$10</f>
        <v>15</v>
      </c>
      <c r="K10">
        <f>Assumptions!$B$4-SUM(F10:J10)</f>
        <v>69</v>
      </c>
      <c r="L10" s="3">
        <f>IF(K10&gt;0,(Assumptions!$B$4-J10)/A10,"n/a")</f>
        <v>27</v>
      </c>
      <c r="M10" s="3">
        <f>M9+Assumptions!$B$13</f>
        <v>170</v>
      </c>
      <c r="N10" s="3">
        <f>M10*Assumptions!$B$15</f>
        <v>68</v>
      </c>
      <c r="O10" s="3">
        <f t="shared" si="3"/>
        <v>0.33333333333333331</v>
      </c>
      <c r="P10" s="3">
        <f t="shared" si="4"/>
        <v>25.333333333333329</v>
      </c>
    </row>
    <row r="11" spans="1:17" x14ac:dyDescent="0.3">
      <c r="A11">
        <v>6</v>
      </c>
      <c r="B11">
        <f>B10+Assumptions!$B$11*2</f>
        <v>157.5</v>
      </c>
      <c r="C11" s="3">
        <f>B11*(1+Assumptions!$B$5)</f>
        <v>196.875</v>
      </c>
      <c r="D11" s="2">
        <f t="shared" si="0"/>
        <v>3.6458333333333335</v>
      </c>
      <c r="E11" s="2">
        <f t="shared" si="2"/>
        <v>13.125</v>
      </c>
      <c r="F11">
        <f>F10+Assumptions!$B$8</f>
        <v>26</v>
      </c>
      <c r="G11">
        <f>G10+Assumptions!$B$7</f>
        <v>25</v>
      </c>
      <c r="H11">
        <f>H10+Assumptions!$B$6</f>
        <v>30</v>
      </c>
      <c r="I11">
        <v>0</v>
      </c>
      <c r="J11">
        <f>Assumptions!$B$10</f>
        <v>15</v>
      </c>
      <c r="K11">
        <f>Assumptions!$B$4-SUM(F11:J11)</f>
        <v>54</v>
      </c>
      <c r="L11" s="3">
        <f>IF(K11&gt;0,(Assumptions!$B$4-J11)/A11,"n/a")</f>
        <v>22.5</v>
      </c>
      <c r="M11" s="3">
        <f>M10+Assumptions!$B$13</f>
        <v>210</v>
      </c>
      <c r="N11" s="3">
        <f>M11*Assumptions!$B$15</f>
        <v>84</v>
      </c>
      <c r="O11" s="3">
        <f t="shared" si="3"/>
        <v>0.33333333333333331</v>
      </c>
      <c r="P11" s="3">
        <f t="shared" si="4"/>
        <v>30.666666666666661</v>
      </c>
    </row>
    <row r="12" spans="1:17" x14ac:dyDescent="0.3">
      <c r="A12">
        <v>7</v>
      </c>
      <c r="B12">
        <f>B11+Assumptions!$B$11*2</f>
        <v>188.5</v>
      </c>
      <c r="C12" s="3">
        <f>B12*(1+Assumptions!$B$5)</f>
        <v>235.625</v>
      </c>
      <c r="D12" s="2">
        <f t="shared" si="0"/>
        <v>6.041666666666667</v>
      </c>
      <c r="E12" s="2">
        <f t="shared" si="2"/>
        <v>21.75</v>
      </c>
      <c r="F12">
        <f>F11+Assumptions!$B$8</f>
        <v>31</v>
      </c>
      <c r="G12">
        <f>G11+Assumptions!$B$7</f>
        <v>30</v>
      </c>
      <c r="H12">
        <f>H11+Assumptions!$B$6</f>
        <v>35</v>
      </c>
      <c r="I12">
        <v>0</v>
      </c>
      <c r="J12">
        <f>Assumptions!$B$10</f>
        <v>15</v>
      </c>
      <c r="K12">
        <f>Assumptions!$B$4-SUM(F12:J12)</f>
        <v>39</v>
      </c>
      <c r="L12" s="3">
        <f>IF(K12&gt;0,(Assumptions!$B$4-J12)/A12,"n/a")</f>
        <v>19.285714285714285</v>
      </c>
      <c r="M12" s="3">
        <f>M11+Assumptions!$B$13</f>
        <v>250</v>
      </c>
      <c r="N12" s="3">
        <f>M12*Assumptions!$B$15</f>
        <v>100</v>
      </c>
      <c r="O12" s="3">
        <f t="shared" si="3"/>
        <v>0.33333333333333331</v>
      </c>
      <c r="P12" s="3">
        <f t="shared" si="4"/>
        <v>35.999999999999993</v>
      </c>
    </row>
    <row r="13" spans="1:17" x14ac:dyDescent="0.3">
      <c r="A13">
        <v>8</v>
      </c>
      <c r="B13">
        <f>B12+Assumptions!$B$11*2</f>
        <v>219.5</v>
      </c>
      <c r="C13" s="3">
        <f>B13*(1+Assumptions!$B$5)</f>
        <v>274.375</v>
      </c>
      <c r="D13" s="2">
        <f t="shared" si="0"/>
        <v>11.432291666666666</v>
      </c>
      <c r="E13" s="2">
        <f t="shared" si="2"/>
        <v>41.15625</v>
      </c>
      <c r="F13">
        <f>F12+Assumptions!$B$8</f>
        <v>36</v>
      </c>
      <c r="G13">
        <f>G12+Assumptions!$B$7</f>
        <v>35</v>
      </c>
      <c r="H13">
        <f>H12+Assumptions!$B$6</f>
        <v>40</v>
      </c>
      <c r="I13">
        <v>0</v>
      </c>
      <c r="J13">
        <f>Assumptions!$B$10</f>
        <v>15</v>
      </c>
      <c r="K13">
        <f>Assumptions!$B$4-SUM(F13:J13)</f>
        <v>24</v>
      </c>
      <c r="L13" s="3">
        <f>IF(K13&gt;0,(Assumptions!$B$4-J13)/A13,"n/a")</f>
        <v>16.875</v>
      </c>
      <c r="M13" s="3">
        <f>M12+Assumptions!$B$13</f>
        <v>290</v>
      </c>
      <c r="N13" s="3">
        <f>M13*Assumptions!$B$15</f>
        <v>116</v>
      </c>
      <c r="O13" s="3">
        <f t="shared" si="3"/>
        <v>0.33333333333333331</v>
      </c>
      <c r="P13" s="3">
        <f t="shared" si="4"/>
        <v>41.333333333333329</v>
      </c>
    </row>
    <row r="14" spans="1:17" x14ac:dyDescent="0.3">
      <c r="A14">
        <v>9</v>
      </c>
      <c r="B14">
        <f>B13+Assumptions!$B$11*2</f>
        <v>250.5</v>
      </c>
      <c r="C14" s="3">
        <f>B14*(1+Assumptions!$B$5)</f>
        <v>313.125</v>
      </c>
      <c r="D14" s="2">
        <f t="shared" si="0"/>
        <v>34.791666666666664</v>
      </c>
      <c r="E14" s="2">
        <f t="shared" si="2"/>
        <v>125.25</v>
      </c>
      <c r="F14">
        <f>F13+Assumptions!$B$8</f>
        <v>41</v>
      </c>
      <c r="G14">
        <f>G13+Assumptions!$B$7</f>
        <v>40</v>
      </c>
      <c r="H14">
        <f>H13+Assumptions!$B$6</f>
        <v>45</v>
      </c>
      <c r="I14">
        <v>0</v>
      </c>
      <c r="J14">
        <f>Assumptions!$B$10</f>
        <v>15</v>
      </c>
      <c r="K14">
        <f>Assumptions!$B$4-SUM(F14:J14)</f>
        <v>9</v>
      </c>
      <c r="L14" s="3">
        <f>IF(K14&gt;0,(Assumptions!$B$4-J14)/A14,"n/a")</f>
        <v>15</v>
      </c>
      <c r="M14" s="3">
        <f>M13+Assumptions!$B$13</f>
        <v>330</v>
      </c>
      <c r="N14" s="3">
        <f>M14*Assumptions!$B$15</f>
        <v>132</v>
      </c>
      <c r="O14" s="3">
        <f t="shared" si="3"/>
        <v>0.33333333333333331</v>
      </c>
      <c r="P14" s="3">
        <f t="shared" si="4"/>
        <v>46.666666666666664</v>
      </c>
    </row>
    <row r="15" spans="1:17" x14ac:dyDescent="0.3">
      <c r="A15">
        <v>10</v>
      </c>
      <c r="B15">
        <f>B14+Assumptions!$B$11*2</f>
        <v>281.5</v>
      </c>
      <c r="C15" s="3">
        <f>B15*(1+Assumptions!$B$5)</f>
        <v>351.875</v>
      </c>
      <c r="D15" s="2" t="str">
        <f t="shared" si="0"/>
        <v>n/a</v>
      </c>
      <c r="E15" s="2" t="e">
        <f t="shared" si="2"/>
        <v>#VALUE!</v>
      </c>
      <c r="F15">
        <f>F14+Assumptions!$B$8</f>
        <v>46</v>
      </c>
      <c r="G15">
        <f>G14+Assumptions!$B$7</f>
        <v>45</v>
      </c>
      <c r="H15">
        <f>H14+Assumptions!$B$6</f>
        <v>50</v>
      </c>
      <c r="I15">
        <v>0</v>
      </c>
      <c r="J15">
        <f>Assumptions!$B$10</f>
        <v>15</v>
      </c>
      <c r="K15">
        <f>Assumptions!$B$4-SUM(F15:J15)</f>
        <v>-6</v>
      </c>
      <c r="L15" s="3" t="str">
        <f>IF(K15&gt;0,(Assumptions!$B$4-J15)/A15,"n/a")</f>
        <v>n/a</v>
      </c>
      <c r="M15" s="3">
        <f>M14+Assumptions!$B$13</f>
        <v>370</v>
      </c>
      <c r="N15" s="3">
        <f>M15*Assumptions!$B$15</f>
        <v>148</v>
      </c>
      <c r="O15" s="3">
        <f t="shared" si="3"/>
        <v>0.33333333333333331</v>
      </c>
      <c r="P15" s="3">
        <f t="shared" si="4"/>
        <v>52</v>
      </c>
    </row>
    <row r="16" spans="1:17" x14ac:dyDescent="0.3">
      <c r="A16">
        <v>11</v>
      </c>
      <c r="B16">
        <f>B15+Assumptions!$B$11*2</f>
        <v>312.5</v>
      </c>
      <c r="C16" s="3">
        <f>B16*(1+Assumptions!$B$5)</f>
        <v>390.625</v>
      </c>
      <c r="D16" s="2" t="str">
        <f t="shared" si="0"/>
        <v>n/a</v>
      </c>
      <c r="E16" s="2" t="e">
        <f t="shared" si="2"/>
        <v>#VALUE!</v>
      </c>
      <c r="F16">
        <f>F15+Assumptions!$B$8</f>
        <v>51</v>
      </c>
      <c r="G16">
        <f>G15+Assumptions!$B$7</f>
        <v>50</v>
      </c>
      <c r="H16">
        <f>H15+Assumptions!$B$6</f>
        <v>55</v>
      </c>
      <c r="I16">
        <v>0</v>
      </c>
      <c r="J16">
        <f>Assumptions!$B$10</f>
        <v>15</v>
      </c>
      <c r="K16">
        <f>Assumptions!$B$4-SUM(F16:J16)</f>
        <v>-21</v>
      </c>
      <c r="L16" s="3" t="str">
        <f>IF(K16&gt;0,(Assumptions!$B$4-J16)/A16,"n/a")</f>
        <v>n/a</v>
      </c>
      <c r="M16" s="3">
        <f>M15+Assumptions!$B$13</f>
        <v>410</v>
      </c>
      <c r="N16" s="3">
        <f>M16*Assumptions!$B$15</f>
        <v>164</v>
      </c>
      <c r="O16" s="3">
        <f t="shared" si="3"/>
        <v>0.33333333333333331</v>
      </c>
      <c r="P16" s="3">
        <f t="shared" si="4"/>
        <v>57.333333333333336</v>
      </c>
    </row>
    <row r="17" spans="1:16" x14ac:dyDescent="0.3">
      <c r="A17">
        <v>12</v>
      </c>
      <c r="B17">
        <f>B16+Assumptions!$B$11*2</f>
        <v>343.5</v>
      </c>
      <c r="C17" s="3">
        <f>B17*(1+Assumptions!$B$5)</f>
        <v>429.375</v>
      </c>
      <c r="D17" s="2" t="str">
        <f t="shared" si="0"/>
        <v>n/a</v>
      </c>
      <c r="E17" s="2" t="e">
        <f t="shared" si="2"/>
        <v>#VALUE!</v>
      </c>
      <c r="F17">
        <f>F16+Assumptions!$B$8</f>
        <v>56</v>
      </c>
      <c r="G17">
        <f>G16+Assumptions!$B$7</f>
        <v>55</v>
      </c>
      <c r="H17">
        <f>H16+Assumptions!$B$6</f>
        <v>60</v>
      </c>
      <c r="I17">
        <v>0</v>
      </c>
      <c r="J17">
        <f>Assumptions!$B$10</f>
        <v>15</v>
      </c>
      <c r="K17">
        <f>Assumptions!$B$4-SUM(F17:J17)</f>
        <v>-36</v>
      </c>
      <c r="L17" s="3" t="str">
        <f>IF(K17&gt;0,(Assumptions!$B$4-J17)/A17,"n/a")</f>
        <v>n/a</v>
      </c>
      <c r="M17" s="3">
        <f>M16+Assumptions!$B$13</f>
        <v>450</v>
      </c>
      <c r="N17" s="3">
        <f>M17*Assumptions!$B$15</f>
        <v>180</v>
      </c>
      <c r="O17" s="3">
        <f t="shared" si="3"/>
        <v>0.33333333333333331</v>
      </c>
      <c r="P17" s="3">
        <f t="shared" si="4"/>
        <v>62.666666666666671</v>
      </c>
    </row>
    <row r="18" spans="1:16" x14ac:dyDescent="0.3">
      <c r="A18">
        <v>13</v>
      </c>
      <c r="B18">
        <f>B17+Assumptions!$B$11*2</f>
        <v>374.5</v>
      </c>
      <c r="C18" s="3">
        <f>B18*(1+Assumptions!$B$5)</f>
        <v>468.125</v>
      </c>
      <c r="D18" s="2" t="str">
        <f t="shared" si="0"/>
        <v>n/a</v>
      </c>
      <c r="E18" s="2" t="e">
        <f t="shared" si="2"/>
        <v>#VALUE!</v>
      </c>
      <c r="F18">
        <f>F17+Assumptions!$B$8</f>
        <v>61</v>
      </c>
      <c r="G18">
        <f>G17+Assumptions!$B$7</f>
        <v>60</v>
      </c>
      <c r="H18">
        <f>H17+Assumptions!$B$6</f>
        <v>65</v>
      </c>
      <c r="I18">
        <v>0</v>
      </c>
      <c r="J18">
        <f>Assumptions!$B$10</f>
        <v>15</v>
      </c>
      <c r="K18">
        <f>Assumptions!$B$4-SUM(F18:J18)</f>
        <v>-51</v>
      </c>
      <c r="L18" s="3" t="str">
        <f>IF(K18&gt;0,(Assumptions!$B$4-J18)/A18,"n/a")</f>
        <v>n/a</v>
      </c>
      <c r="M18" s="3">
        <f>M17+Assumptions!$B$13</f>
        <v>490</v>
      </c>
      <c r="N18" s="3">
        <f>M18*Assumptions!$B$15</f>
        <v>196</v>
      </c>
      <c r="O18" s="3">
        <f t="shared" si="3"/>
        <v>0.33333333333333331</v>
      </c>
      <c r="P18" s="3">
        <f t="shared" si="4"/>
        <v>68</v>
      </c>
    </row>
    <row r="19" spans="1:16" x14ac:dyDescent="0.3">
      <c r="A19">
        <v>14</v>
      </c>
      <c r="B19">
        <f>B18+Assumptions!$B$11*2</f>
        <v>405.5</v>
      </c>
      <c r="C19" s="3">
        <f>B19*(1+Assumptions!$B$5)</f>
        <v>506.875</v>
      </c>
      <c r="D19" s="2" t="str">
        <f t="shared" si="0"/>
        <v>n/a</v>
      </c>
      <c r="E19" s="2" t="e">
        <f t="shared" si="2"/>
        <v>#VALUE!</v>
      </c>
      <c r="F19">
        <f>F18+Assumptions!$B$8</f>
        <v>66</v>
      </c>
      <c r="G19">
        <f>G18+Assumptions!$B$7</f>
        <v>65</v>
      </c>
      <c r="H19">
        <f>H18+Assumptions!$B$6</f>
        <v>70</v>
      </c>
      <c r="I19">
        <v>0</v>
      </c>
      <c r="J19">
        <f>Assumptions!$B$10</f>
        <v>15</v>
      </c>
      <c r="K19">
        <f>Assumptions!$B$4-SUM(F19:J19)</f>
        <v>-66</v>
      </c>
      <c r="L19" s="3" t="str">
        <f>IF(K19&gt;0,(Assumptions!$B$4-J19)/A19,"n/a")</f>
        <v>n/a</v>
      </c>
      <c r="M19" s="3">
        <f>M18+Assumptions!$B$13</f>
        <v>530</v>
      </c>
      <c r="N19" s="3">
        <f>M19*Assumptions!$B$15</f>
        <v>212</v>
      </c>
      <c r="O19" s="3">
        <f t="shared" si="3"/>
        <v>0.33333333333333331</v>
      </c>
      <c r="P19" s="3">
        <f t="shared" si="4"/>
        <v>73.333333333333329</v>
      </c>
    </row>
    <row r="20" spans="1:16" x14ac:dyDescent="0.3">
      <c r="A20">
        <v>15</v>
      </c>
      <c r="B20">
        <f>B19+Assumptions!$B$11*2</f>
        <v>436.5</v>
      </c>
      <c r="C20" s="3">
        <f>B20*(1+Assumptions!$B$5)</f>
        <v>545.625</v>
      </c>
      <c r="D20" s="2" t="str">
        <f t="shared" si="0"/>
        <v>n/a</v>
      </c>
      <c r="E20" s="2" t="e">
        <f t="shared" si="2"/>
        <v>#VALUE!</v>
      </c>
      <c r="F20">
        <f>F19+Assumptions!$B$8</f>
        <v>71</v>
      </c>
      <c r="G20">
        <f>G19+Assumptions!$B$7</f>
        <v>70</v>
      </c>
      <c r="H20">
        <f>H19+Assumptions!$B$6</f>
        <v>75</v>
      </c>
      <c r="I20">
        <v>0</v>
      </c>
      <c r="J20">
        <f>Assumptions!$B$10</f>
        <v>15</v>
      </c>
      <c r="K20">
        <f>Assumptions!$B$4-SUM(F20:J20)</f>
        <v>-81</v>
      </c>
      <c r="L20" s="3" t="str">
        <f>IF(K20&gt;0,(Assumptions!$B$4-J20)/A20,"n/a")</f>
        <v>n/a</v>
      </c>
      <c r="M20" s="3">
        <f>M19+Assumptions!$B$13</f>
        <v>570</v>
      </c>
      <c r="N20" s="3">
        <f>M20*Assumptions!$B$15</f>
        <v>228</v>
      </c>
      <c r="O20" s="3">
        <f t="shared" si="3"/>
        <v>0.33333333333333331</v>
      </c>
      <c r="P20" s="3">
        <f t="shared" si="4"/>
        <v>78.666666666666657</v>
      </c>
    </row>
  </sheetData>
  <pageMargins left="0.7" right="0.7" top="0.75" bottom="0.75" header="0.3" footer="0.3"/>
  <pageSetup scale="57" orientation="landscape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" operator="greaterThan" id="{ECCCD3D5-795E-4EDA-B2AD-8C07BF71B7B0}">
            <xm:f>'Robot Dimesions'!$A$21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D13:D20</xm:sqref>
        </x14:conditionalFormatting>
        <x14:conditionalFormatting xmlns:xm="http://schemas.microsoft.com/office/excel/2006/main">
          <x14:cfRule type="cellIs" priority="1" operator="greaterThan" id="{1D32B6D6-2C05-4CBA-B079-3BCD8FDF99AA}">
            <xm:f>'Robot Dimesions'!$A$21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D6:D12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4"/>
  <sheetViews>
    <sheetView topLeftCell="A15" workbookViewId="0">
      <selection activeCell="R31" sqref="R31"/>
    </sheetView>
  </sheetViews>
  <sheetFormatPr defaultRowHeight="14.4" x14ac:dyDescent="0.3"/>
  <sheetData>
    <row r="1" spans="1:2" x14ac:dyDescent="0.3">
      <c r="A1">
        <f>6*3.14/4/2200*60</f>
        <v>0.12845454545454546</v>
      </c>
    </row>
    <row r="5" spans="1:2" x14ac:dyDescent="0.3">
      <c r="A5">
        <f>0.1*64</f>
        <v>6.4</v>
      </c>
    </row>
    <row r="7" spans="1:2" x14ac:dyDescent="0.3">
      <c r="A7">
        <f>0.001*5</f>
        <v>5.0000000000000001E-3</v>
      </c>
    </row>
    <row r="11" spans="1:2" x14ac:dyDescent="0.3">
      <c r="A11">
        <f>2200/60</f>
        <v>36.666666666666664</v>
      </c>
      <c r="B11" t="s">
        <v>77</v>
      </c>
    </row>
    <row r="13" spans="1:2" x14ac:dyDescent="0.3">
      <c r="A13">
        <f>1/A11</f>
        <v>2.7272727272727275E-2</v>
      </c>
      <c r="B13" t="s">
        <v>79</v>
      </c>
    </row>
    <row r="15" spans="1:2" x14ac:dyDescent="0.3">
      <c r="A15">
        <f>A13/4</f>
        <v>6.8181818181818187E-3</v>
      </c>
    </row>
    <row r="17" spans="1:18" x14ac:dyDescent="0.3">
      <c r="C17" t="s">
        <v>83</v>
      </c>
    </row>
    <row r="20" spans="1:18" x14ac:dyDescent="0.3">
      <c r="B20" t="s">
        <v>78</v>
      </c>
    </row>
    <row r="21" spans="1:18" x14ac:dyDescent="0.3">
      <c r="B21">
        <f>1.125*A13</f>
        <v>3.0681818181818185E-2</v>
      </c>
      <c r="C21" t="s">
        <v>79</v>
      </c>
    </row>
    <row r="24" spans="1:18" x14ac:dyDescent="0.3">
      <c r="B24" t="s">
        <v>80</v>
      </c>
      <c r="E24" t="s">
        <v>85</v>
      </c>
      <c r="F24" t="s">
        <v>86</v>
      </c>
    </row>
    <row r="25" spans="1:18" x14ac:dyDescent="0.3">
      <c r="A25" t="s">
        <v>81</v>
      </c>
      <c r="B25">
        <v>2</v>
      </c>
      <c r="C25">
        <v>60</v>
      </c>
      <c r="D25">
        <f>B25*C25</f>
        <v>120</v>
      </c>
    </row>
    <row r="26" spans="1:18" x14ac:dyDescent="0.3">
      <c r="A26" t="s">
        <v>82</v>
      </c>
      <c r="B26">
        <v>2</v>
      </c>
      <c r="C26">
        <v>40</v>
      </c>
      <c r="D26">
        <f>B26*C26</f>
        <v>80</v>
      </c>
    </row>
    <row r="27" spans="1:18" x14ac:dyDescent="0.3">
      <c r="A27" t="s">
        <v>84</v>
      </c>
      <c r="B27">
        <v>1</v>
      </c>
      <c r="C27">
        <v>100</v>
      </c>
      <c r="E27">
        <f>B27*C27</f>
        <v>100</v>
      </c>
      <c r="F27">
        <v>1</v>
      </c>
    </row>
    <row r="29" spans="1:18" x14ac:dyDescent="0.3">
      <c r="B29" t="s">
        <v>92</v>
      </c>
      <c r="C29" t="s">
        <v>93</v>
      </c>
      <c r="J29" t="s">
        <v>80</v>
      </c>
      <c r="K29" t="s">
        <v>93</v>
      </c>
      <c r="L29" t="s">
        <v>95</v>
      </c>
      <c r="O29" t="s">
        <v>96</v>
      </c>
      <c r="P29" t="s">
        <v>93</v>
      </c>
      <c r="Q29" t="s">
        <v>97</v>
      </c>
      <c r="R29" t="s">
        <v>98</v>
      </c>
    </row>
    <row r="30" spans="1:18" x14ac:dyDescent="0.3">
      <c r="B30">
        <v>497</v>
      </c>
      <c r="C30">
        <v>3</v>
      </c>
      <c r="D30">
        <v>15</v>
      </c>
      <c r="E30" t="s">
        <v>89</v>
      </c>
      <c r="J30">
        <v>260</v>
      </c>
      <c r="K30">
        <v>3</v>
      </c>
      <c r="L30">
        <f>J30/K30</f>
        <v>86.666666666666671</v>
      </c>
      <c r="O30">
        <v>250</v>
      </c>
      <c r="P30">
        <v>3</v>
      </c>
      <c r="Q30">
        <f>O30/50</f>
        <v>5</v>
      </c>
      <c r="R30">
        <f>Q30/P30</f>
        <v>1.6666666666666667</v>
      </c>
    </row>
    <row r="31" spans="1:18" x14ac:dyDescent="0.3">
      <c r="A31" t="s">
        <v>94</v>
      </c>
      <c r="B31">
        <f>B30/C30</f>
        <v>165.66666666666666</v>
      </c>
      <c r="D31">
        <v>120</v>
      </c>
      <c r="E31" t="s">
        <v>87</v>
      </c>
    </row>
    <row r="32" spans="1:18" x14ac:dyDescent="0.3">
      <c r="D32">
        <f>B31-SUM(D31,D30)</f>
        <v>30.666666666666657</v>
      </c>
      <c r="E32" t="s">
        <v>88</v>
      </c>
    </row>
    <row r="33" spans="4:5" x14ac:dyDescent="0.3">
      <c r="D33">
        <v>30</v>
      </c>
      <c r="E33" t="s">
        <v>90</v>
      </c>
    </row>
    <row r="34" spans="4:5" x14ac:dyDescent="0.3">
      <c r="D34">
        <f>D32-D33</f>
        <v>0.66666666666665719</v>
      </c>
      <c r="E34" t="s">
        <v>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Dimentions of Field</vt:lpstr>
      <vt:lpstr>Robot Dimesions</vt:lpstr>
      <vt:lpstr>Assumptions</vt:lpstr>
      <vt:lpstr>Gear Delivery Schedule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2017-03-04T14:37:00Z</dcterms:modified>
</cp:coreProperties>
</file>