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K4" i="1" l="1"/>
  <c r="AK5" i="1"/>
  <c r="AK6" i="1"/>
  <c r="AK7" i="1"/>
  <c r="AK3" i="1"/>
  <c r="AE29" i="1"/>
  <c r="AF29" i="1"/>
  <c r="AG29" i="1"/>
  <c r="AH29" i="1"/>
  <c r="AI29" i="1"/>
  <c r="AJ29" i="1"/>
  <c r="AK29" i="1"/>
  <c r="AD29" i="1"/>
  <c r="AE26" i="1"/>
  <c r="AF26" i="1"/>
  <c r="AG26" i="1"/>
  <c r="AH26" i="1"/>
  <c r="AI26" i="1"/>
  <c r="AJ26" i="1"/>
  <c r="AK26" i="1"/>
  <c r="AL26" i="1"/>
  <c r="AD26" i="1"/>
  <c r="AE22" i="1"/>
  <c r="AF22" i="1"/>
  <c r="AG22" i="1"/>
  <c r="AH22" i="1"/>
  <c r="AI22" i="1"/>
  <c r="AJ22" i="1"/>
  <c r="AK22" i="1"/>
  <c r="AD22" i="1"/>
  <c r="AE19" i="1"/>
  <c r="AF19" i="1"/>
  <c r="AG19" i="1"/>
  <c r="AH19" i="1"/>
  <c r="AI19" i="1"/>
  <c r="AJ19" i="1"/>
  <c r="AK19" i="1"/>
  <c r="AL19" i="1"/>
  <c r="AD19" i="1"/>
  <c r="AK30" i="1"/>
  <c r="AJ30" i="1"/>
  <c r="AI30" i="1"/>
  <c r="AH30" i="1"/>
  <c r="AG30" i="1"/>
  <c r="AF30" i="1"/>
  <c r="AE30" i="1"/>
  <c r="AD30" i="1"/>
  <c r="AL27" i="1"/>
  <c r="AK27" i="1"/>
  <c r="AJ27" i="1"/>
  <c r="AI27" i="1"/>
  <c r="AH27" i="1"/>
  <c r="AG27" i="1"/>
  <c r="AF27" i="1"/>
  <c r="AE27" i="1"/>
  <c r="AD27" i="1"/>
  <c r="AK23" i="1"/>
  <c r="AJ23" i="1"/>
  <c r="AI23" i="1"/>
  <c r="AH23" i="1"/>
  <c r="AG23" i="1"/>
  <c r="AF23" i="1"/>
  <c r="AE23" i="1"/>
  <c r="AD23" i="1"/>
  <c r="AL20" i="1"/>
  <c r="AK20" i="1"/>
  <c r="AJ20" i="1"/>
  <c r="AI20" i="1"/>
  <c r="AH20" i="1"/>
  <c r="AG20" i="1"/>
  <c r="AF20" i="1"/>
  <c r="AE20" i="1"/>
  <c r="AD20" i="1"/>
  <c r="G65" i="1"/>
  <c r="H65" i="1"/>
  <c r="I65" i="1"/>
  <c r="J65" i="1"/>
  <c r="K65" i="1"/>
  <c r="L65" i="1"/>
  <c r="M65" i="1"/>
  <c r="F65" i="1"/>
  <c r="G62" i="1"/>
  <c r="H62" i="1"/>
  <c r="I62" i="1"/>
  <c r="J62" i="1"/>
  <c r="K62" i="1"/>
  <c r="L62" i="1"/>
  <c r="M62" i="1"/>
  <c r="N62" i="1"/>
  <c r="F62" i="1"/>
  <c r="G64" i="1"/>
  <c r="H64" i="1"/>
  <c r="I64" i="1"/>
  <c r="J64" i="1"/>
  <c r="K64" i="1"/>
  <c r="L64" i="1"/>
  <c r="M64" i="1"/>
  <c r="F64" i="1"/>
  <c r="G61" i="1"/>
  <c r="H61" i="1"/>
  <c r="I61" i="1"/>
  <c r="J61" i="1"/>
  <c r="K61" i="1"/>
  <c r="L61" i="1"/>
  <c r="M61" i="1"/>
  <c r="N61" i="1"/>
  <c r="F61" i="1"/>
  <c r="G58" i="1"/>
  <c r="H58" i="1"/>
  <c r="I58" i="1"/>
  <c r="J58" i="1"/>
  <c r="K58" i="1"/>
  <c r="L58" i="1"/>
  <c r="M58" i="1"/>
  <c r="F58" i="1"/>
  <c r="G55" i="1"/>
  <c r="H55" i="1"/>
  <c r="I55" i="1"/>
  <c r="J55" i="1"/>
  <c r="K55" i="1"/>
  <c r="L55" i="1"/>
  <c r="M55" i="1"/>
  <c r="N55" i="1"/>
  <c r="F55" i="1"/>
  <c r="G57" i="1"/>
  <c r="H57" i="1"/>
  <c r="I57" i="1"/>
  <c r="J57" i="1"/>
  <c r="K57" i="1"/>
  <c r="L57" i="1"/>
  <c r="M57" i="1"/>
  <c r="F57" i="1"/>
  <c r="F54" i="1"/>
  <c r="G54" i="1"/>
  <c r="H54" i="1"/>
  <c r="I54" i="1"/>
  <c r="J54" i="1"/>
  <c r="K54" i="1"/>
  <c r="L54" i="1"/>
  <c r="M54" i="1"/>
  <c r="N54" i="1"/>
  <c r="L26" i="1"/>
  <c r="L25" i="1"/>
  <c r="L21" i="1"/>
  <c r="L22" i="1"/>
  <c r="L23" i="1"/>
  <c r="L24" i="1"/>
  <c r="L20" i="1"/>
  <c r="K21" i="1"/>
  <c r="K22" i="1"/>
  <c r="K23" i="1"/>
  <c r="K24" i="1"/>
  <c r="K20" i="1"/>
  <c r="G26" i="1"/>
  <c r="G25" i="1"/>
  <c r="M21" i="1"/>
  <c r="M22" i="1"/>
  <c r="M23" i="1"/>
  <c r="M24" i="1"/>
  <c r="M20" i="1"/>
  <c r="I21" i="1"/>
  <c r="I22" i="1"/>
  <c r="I23" i="1"/>
  <c r="I24" i="1"/>
  <c r="I20" i="1"/>
  <c r="J21" i="1"/>
  <c r="J22" i="1"/>
  <c r="J23" i="1"/>
  <c r="J24" i="1"/>
  <c r="J20" i="1"/>
  <c r="H21" i="1"/>
  <c r="H22" i="1"/>
  <c r="H23" i="1"/>
  <c r="H24" i="1"/>
  <c r="H20" i="1"/>
  <c r="G21" i="1"/>
  <c r="G22" i="1"/>
  <c r="G23" i="1"/>
  <c r="G24" i="1"/>
  <c r="G20" i="1"/>
  <c r="AG14" i="1" l="1"/>
  <c r="AF14" i="1"/>
  <c r="AE14" i="1"/>
  <c r="AD14" i="1"/>
  <c r="AC14" i="1"/>
  <c r="AB14" i="1"/>
  <c r="AA14" i="1"/>
  <c r="Z14" i="1"/>
  <c r="Z11" i="1"/>
  <c r="AA11" i="1"/>
  <c r="AB11" i="1"/>
  <c r="AC11" i="1"/>
  <c r="AD11" i="1"/>
  <c r="AE11" i="1"/>
  <c r="AF11" i="1"/>
  <c r="AG11" i="1"/>
  <c r="AH11" i="1"/>
  <c r="AG7" i="1"/>
  <c r="AF7" i="1"/>
  <c r="AE7" i="1"/>
  <c r="AD7" i="1"/>
  <c r="AC7" i="1"/>
  <c r="AB7" i="1"/>
  <c r="AA7" i="1"/>
  <c r="Z7" i="1"/>
  <c r="AE4" i="1"/>
  <c r="AA4" i="1"/>
  <c r="Z4" i="1"/>
  <c r="AB4" i="1"/>
  <c r="AC4" i="1"/>
  <c r="AD4" i="1"/>
  <c r="AF4" i="1"/>
  <c r="AG4" i="1"/>
  <c r="AH4" i="1"/>
</calcChain>
</file>

<file path=xl/sharedStrings.xml><?xml version="1.0" encoding="utf-8"?>
<sst xmlns="http://schemas.openxmlformats.org/spreadsheetml/2006/main" count="51" uniqueCount="24">
  <si>
    <t>C3, нФ</t>
  </si>
  <si>
    <t>f_0, Гц</t>
  </si>
  <si>
    <t>f, Гц</t>
  </si>
  <si>
    <t>U_c, В</t>
  </si>
  <si>
    <t>f_0</t>
  </si>
  <si>
    <t>C5, нФ</t>
  </si>
  <si>
    <t>100 mV</t>
  </si>
  <si>
    <t>d(ph)/Pi</t>
  </si>
  <si>
    <t>C_n, нФ</t>
  </si>
  <si>
    <t>E, В</t>
  </si>
  <si>
    <t>n</t>
  </si>
  <si>
    <t>L, мкГн</t>
  </si>
  <si>
    <t>Q</t>
  </si>
  <si>
    <t>rho, Ом</t>
  </si>
  <si>
    <t>R_sum, Ом</t>
  </si>
  <si>
    <t>R_S_max, Ом</t>
  </si>
  <si>
    <t>R_L, Ом</t>
  </si>
  <si>
    <t>I, мА</t>
  </si>
  <si>
    <t>Среднее значение</t>
  </si>
  <si>
    <t>Случ. Погрешность</t>
  </si>
  <si>
    <t>-</t>
  </si>
  <si>
    <t>f/f_0, Гц</t>
  </si>
  <si>
    <t>f/f_0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</si>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</sst>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2" fontId="0" fillId="0" borderId="1" xfId="0" applyNumberFormat="1" applyFont="1" applyBorder="1"/>
    <xf numFmtId="164" fontId="0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16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С_5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68,0  нФ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(Лист1!$F$3:$N$3,Лист1!$F$6:$M$6)</c:f>
              <c:numCache>
                <c:formatCode>General</c:formatCode>
                <c:ptCount val="17"/>
                <c:pt idx="0">
                  <c:v>10093</c:v>
                </c:pt>
                <c:pt idx="1">
                  <c:v>11227</c:v>
                </c:pt>
                <c:pt idx="2">
                  <c:v>12095</c:v>
                </c:pt>
                <c:pt idx="3">
                  <c:v>13979</c:v>
                </c:pt>
                <c:pt idx="4">
                  <c:v>15292</c:v>
                </c:pt>
                <c:pt idx="5">
                  <c:v>16250</c:v>
                </c:pt>
                <c:pt idx="6">
                  <c:v>17778</c:v>
                </c:pt>
                <c:pt idx="7">
                  <c:v>18448</c:v>
                </c:pt>
                <c:pt idx="8">
                  <c:v>19557</c:v>
                </c:pt>
                <c:pt idx="9">
                  <c:v>20977</c:v>
                </c:pt>
                <c:pt idx="10">
                  <c:v>22049</c:v>
                </c:pt>
                <c:pt idx="11">
                  <c:v>23227</c:v>
                </c:pt>
                <c:pt idx="12">
                  <c:v>24387</c:v>
                </c:pt>
                <c:pt idx="13">
                  <c:v>25440</c:v>
                </c:pt>
                <c:pt idx="14">
                  <c:v>26683</c:v>
                </c:pt>
                <c:pt idx="15">
                  <c:v>28001</c:v>
                </c:pt>
                <c:pt idx="16">
                  <c:v>29224</c:v>
                </c:pt>
              </c:numCache>
            </c:numRef>
          </c:xVal>
          <c:yVal>
            <c:numRef>
              <c:f>(Лист1!$F$4:$N$4,Лист1!$F$7:$M$7)</c:f>
              <c:numCache>
                <c:formatCode>General</c:formatCode>
                <c:ptCount val="17"/>
                <c:pt idx="0">
                  <c:v>0.13389999999999999</c:v>
                </c:pt>
                <c:pt idx="1">
                  <c:v>0.14630000000000001</c:v>
                </c:pt>
                <c:pt idx="2">
                  <c:v>0.15859999999999999</c:v>
                </c:pt>
                <c:pt idx="3">
                  <c:v>0.1996</c:v>
                </c:pt>
                <c:pt idx="4">
                  <c:v>0.24909999999999999</c:v>
                </c:pt>
                <c:pt idx="5">
                  <c:v>0.3095</c:v>
                </c:pt>
                <c:pt idx="6">
                  <c:v>0.52549999999999997</c:v>
                </c:pt>
                <c:pt idx="7">
                  <c:v>0.76749999999999996</c:v>
                </c:pt>
                <c:pt idx="8">
                  <c:v>1.6679999999999999</c:v>
                </c:pt>
                <c:pt idx="9">
                  <c:v>0.63270000000000004</c:v>
                </c:pt>
                <c:pt idx="10">
                  <c:v>0.36620000000000003</c:v>
                </c:pt>
                <c:pt idx="11">
                  <c:v>0.24399999999999999</c:v>
                </c:pt>
                <c:pt idx="12">
                  <c:v>0.1807</c:v>
                </c:pt>
                <c:pt idx="13">
                  <c:v>0.14499999999999999</c:v>
                </c:pt>
                <c:pt idx="14">
                  <c:v>0.11650000000000001</c:v>
                </c:pt>
                <c:pt idx="15">
                  <c:v>9.5600000000000004E-2</c:v>
                </c:pt>
                <c:pt idx="16">
                  <c:v>8.1600000000000006E-2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15680"/>
        <c:axId val="229416256"/>
      </c:scatterChart>
      <c:valAx>
        <c:axId val="22941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416256"/>
        <c:crosses val="autoZero"/>
        <c:crossBetween val="midCat"/>
      </c:valAx>
      <c:valAx>
        <c:axId val="22941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U_c,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41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С_3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47,6  нФ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(Лист1!$F$10:$N$10,Лист1!$F$13:$M$13)</c:f>
              <c:numCache>
                <c:formatCode>General</c:formatCode>
                <c:ptCount val="17"/>
                <c:pt idx="0">
                  <c:v>14066</c:v>
                </c:pt>
                <c:pt idx="1">
                  <c:v>15116</c:v>
                </c:pt>
                <c:pt idx="2">
                  <c:v>16174</c:v>
                </c:pt>
                <c:pt idx="3">
                  <c:v>17600</c:v>
                </c:pt>
                <c:pt idx="4">
                  <c:v>18767</c:v>
                </c:pt>
                <c:pt idx="5">
                  <c:v>19635</c:v>
                </c:pt>
                <c:pt idx="6">
                  <c:v>20670</c:v>
                </c:pt>
                <c:pt idx="7">
                  <c:v>21810</c:v>
                </c:pt>
                <c:pt idx="8">
                  <c:v>23340</c:v>
                </c:pt>
                <c:pt idx="9">
                  <c:v>24153</c:v>
                </c:pt>
                <c:pt idx="10">
                  <c:v>25205</c:v>
                </c:pt>
                <c:pt idx="11">
                  <c:v>26680</c:v>
                </c:pt>
                <c:pt idx="12">
                  <c:v>27540</c:v>
                </c:pt>
                <c:pt idx="13">
                  <c:v>28955</c:v>
                </c:pt>
                <c:pt idx="14">
                  <c:v>29480</c:v>
                </c:pt>
                <c:pt idx="15">
                  <c:v>31160</c:v>
                </c:pt>
                <c:pt idx="16">
                  <c:v>32230</c:v>
                </c:pt>
              </c:numCache>
            </c:numRef>
          </c:xVal>
          <c:yVal>
            <c:numRef>
              <c:f>(Лист1!$F$11:$N$11,Лист1!$F$14:$M$14)</c:f>
              <c:numCache>
                <c:formatCode>General</c:formatCode>
                <c:ptCount val="17"/>
                <c:pt idx="0">
                  <c:v>0.1535</c:v>
                </c:pt>
                <c:pt idx="1">
                  <c:v>0.16800000000000001</c:v>
                </c:pt>
                <c:pt idx="2">
                  <c:v>0.18709999999999999</c:v>
                </c:pt>
                <c:pt idx="3">
                  <c:v>0.22409999999999999</c:v>
                </c:pt>
                <c:pt idx="4">
                  <c:v>0.27150000000000002</c:v>
                </c:pt>
                <c:pt idx="5">
                  <c:v>0.32479999999999998</c:v>
                </c:pt>
                <c:pt idx="6">
                  <c:v>0.43059999999999998</c:v>
                </c:pt>
                <c:pt idx="7">
                  <c:v>0.68940000000000001</c:v>
                </c:pt>
                <c:pt idx="8">
                  <c:v>1.9532</c:v>
                </c:pt>
                <c:pt idx="9">
                  <c:v>1.1867000000000001</c:v>
                </c:pt>
                <c:pt idx="10">
                  <c:v>0.60050000000000003</c:v>
                </c:pt>
                <c:pt idx="11">
                  <c:v>0.33069999999999999</c:v>
                </c:pt>
                <c:pt idx="12">
                  <c:v>0.25829999999999997</c:v>
                </c:pt>
                <c:pt idx="13">
                  <c:v>0.18759999999999999</c:v>
                </c:pt>
                <c:pt idx="14">
                  <c:v>0.16969999999999999</c:v>
                </c:pt>
                <c:pt idx="15">
                  <c:v>0.129</c:v>
                </c:pt>
                <c:pt idx="16">
                  <c:v>0.1113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70528"/>
        <c:axId val="138471104"/>
      </c:scatterChart>
      <c:valAx>
        <c:axId val="1384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71104"/>
        <c:crosses val="autoZero"/>
        <c:crossBetween val="midCat"/>
      </c:valAx>
      <c:valAx>
        <c:axId val="13847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U_c,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7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С_3(син</a:t>
            </a:r>
            <a:r>
              <a:rPr lang="en-US"/>
              <a:t>)/C_5</a:t>
            </a:r>
            <a:r>
              <a:rPr lang="ru-RU"/>
              <a:t>(кр)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(Лист1!$F$10:$N$10,Лист1!$F$13:$M$13)</c:f>
              <c:numCache>
                <c:formatCode>General</c:formatCode>
                <c:ptCount val="17"/>
                <c:pt idx="0">
                  <c:v>14066</c:v>
                </c:pt>
                <c:pt idx="1">
                  <c:v>15116</c:v>
                </c:pt>
                <c:pt idx="2">
                  <c:v>16174</c:v>
                </c:pt>
                <c:pt idx="3">
                  <c:v>17600</c:v>
                </c:pt>
                <c:pt idx="4">
                  <c:v>18767</c:v>
                </c:pt>
                <c:pt idx="5">
                  <c:v>19635</c:v>
                </c:pt>
                <c:pt idx="6">
                  <c:v>20670</c:v>
                </c:pt>
                <c:pt idx="7">
                  <c:v>21810</c:v>
                </c:pt>
                <c:pt idx="8">
                  <c:v>23340</c:v>
                </c:pt>
                <c:pt idx="9">
                  <c:v>24153</c:v>
                </c:pt>
                <c:pt idx="10">
                  <c:v>25205</c:v>
                </c:pt>
                <c:pt idx="11">
                  <c:v>26680</c:v>
                </c:pt>
                <c:pt idx="12">
                  <c:v>27540</c:v>
                </c:pt>
                <c:pt idx="13">
                  <c:v>28955</c:v>
                </c:pt>
                <c:pt idx="14">
                  <c:v>29480</c:v>
                </c:pt>
                <c:pt idx="15">
                  <c:v>31160</c:v>
                </c:pt>
                <c:pt idx="16">
                  <c:v>32230</c:v>
                </c:pt>
              </c:numCache>
            </c:numRef>
          </c:xVal>
          <c:yVal>
            <c:numRef>
              <c:f>(Лист1!$F$11:$N$11,Лист1!$F$14:$M$14)</c:f>
              <c:numCache>
                <c:formatCode>General</c:formatCode>
                <c:ptCount val="17"/>
                <c:pt idx="0">
                  <c:v>0.1535</c:v>
                </c:pt>
                <c:pt idx="1">
                  <c:v>0.16800000000000001</c:v>
                </c:pt>
                <c:pt idx="2">
                  <c:v>0.18709999999999999</c:v>
                </c:pt>
                <c:pt idx="3">
                  <c:v>0.22409999999999999</c:v>
                </c:pt>
                <c:pt idx="4">
                  <c:v>0.27150000000000002</c:v>
                </c:pt>
                <c:pt idx="5">
                  <c:v>0.32479999999999998</c:v>
                </c:pt>
                <c:pt idx="6">
                  <c:v>0.43059999999999998</c:v>
                </c:pt>
                <c:pt idx="7">
                  <c:v>0.68940000000000001</c:v>
                </c:pt>
                <c:pt idx="8">
                  <c:v>1.9532</c:v>
                </c:pt>
                <c:pt idx="9">
                  <c:v>1.1867000000000001</c:v>
                </c:pt>
                <c:pt idx="10">
                  <c:v>0.60050000000000003</c:v>
                </c:pt>
                <c:pt idx="11">
                  <c:v>0.33069999999999999</c:v>
                </c:pt>
                <c:pt idx="12">
                  <c:v>0.25829999999999997</c:v>
                </c:pt>
                <c:pt idx="13">
                  <c:v>0.18759999999999999</c:v>
                </c:pt>
                <c:pt idx="14">
                  <c:v>0.16969999999999999</c:v>
                </c:pt>
                <c:pt idx="15">
                  <c:v>0.129</c:v>
                </c:pt>
                <c:pt idx="16">
                  <c:v>0.1113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(Лист1!$F$3:$N$3,Лист1!$F$6:$M$6)</c:f>
              <c:numCache>
                <c:formatCode>General</c:formatCode>
                <c:ptCount val="17"/>
                <c:pt idx="0">
                  <c:v>10093</c:v>
                </c:pt>
                <c:pt idx="1">
                  <c:v>11227</c:v>
                </c:pt>
                <c:pt idx="2">
                  <c:v>12095</c:v>
                </c:pt>
                <c:pt idx="3">
                  <c:v>13979</c:v>
                </c:pt>
                <c:pt idx="4">
                  <c:v>15292</c:v>
                </c:pt>
                <c:pt idx="5">
                  <c:v>16250</c:v>
                </c:pt>
                <c:pt idx="6">
                  <c:v>17778</c:v>
                </c:pt>
                <c:pt idx="7">
                  <c:v>18448</c:v>
                </c:pt>
                <c:pt idx="8">
                  <c:v>19557</c:v>
                </c:pt>
                <c:pt idx="9">
                  <c:v>20977</c:v>
                </c:pt>
                <c:pt idx="10">
                  <c:v>22049</c:v>
                </c:pt>
                <c:pt idx="11">
                  <c:v>23227</c:v>
                </c:pt>
                <c:pt idx="12">
                  <c:v>24387</c:v>
                </c:pt>
                <c:pt idx="13">
                  <c:v>25440</c:v>
                </c:pt>
                <c:pt idx="14">
                  <c:v>26683</c:v>
                </c:pt>
                <c:pt idx="15">
                  <c:v>28001</c:v>
                </c:pt>
                <c:pt idx="16">
                  <c:v>29224</c:v>
                </c:pt>
              </c:numCache>
            </c:numRef>
          </c:xVal>
          <c:yVal>
            <c:numRef>
              <c:f>(Лист1!$F$4:$N$4,Лист1!$F$7:$M$7)</c:f>
              <c:numCache>
                <c:formatCode>General</c:formatCode>
                <c:ptCount val="17"/>
                <c:pt idx="0">
                  <c:v>0.13389999999999999</c:v>
                </c:pt>
                <c:pt idx="1">
                  <c:v>0.14630000000000001</c:v>
                </c:pt>
                <c:pt idx="2">
                  <c:v>0.15859999999999999</c:v>
                </c:pt>
                <c:pt idx="3">
                  <c:v>0.1996</c:v>
                </c:pt>
                <c:pt idx="4">
                  <c:v>0.24909999999999999</c:v>
                </c:pt>
                <c:pt idx="5">
                  <c:v>0.3095</c:v>
                </c:pt>
                <c:pt idx="6">
                  <c:v>0.52549999999999997</c:v>
                </c:pt>
                <c:pt idx="7">
                  <c:v>0.76749999999999996</c:v>
                </c:pt>
                <c:pt idx="8">
                  <c:v>1.6679999999999999</c:v>
                </c:pt>
                <c:pt idx="9">
                  <c:v>0.63270000000000004</c:v>
                </c:pt>
                <c:pt idx="10">
                  <c:v>0.36620000000000003</c:v>
                </c:pt>
                <c:pt idx="11">
                  <c:v>0.24399999999999999</c:v>
                </c:pt>
                <c:pt idx="12">
                  <c:v>0.1807</c:v>
                </c:pt>
                <c:pt idx="13">
                  <c:v>0.14499999999999999</c:v>
                </c:pt>
                <c:pt idx="14">
                  <c:v>0.11650000000000001</c:v>
                </c:pt>
                <c:pt idx="15">
                  <c:v>9.5600000000000004E-2</c:v>
                </c:pt>
                <c:pt idx="16">
                  <c:v>8.1600000000000006E-2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72832"/>
        <c:axId val="138473408"/>
      </c:scatterChart>
      <c:valAx>
        <c:axId val="1384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73408"/>
        <c:crosses val="autoZero"/>
        <c:crossBetween val="midCat"/>
      </c:valAx>
      <c:valAx>
        <c:axId val="13847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U_c,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7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С_3(син</a:t>
            </a:r>
            <a:r>
              <a:rPr lang="en-US"/>
              <a:t>)/C_5</a:t>
            </a:r>
            <a:r>
              <a:rPr lang="ru-RU"/>
              <a:t>(кр)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(Лист1!$F$61:$N$61,Лист1!$F$64:$M$64)</c:f>
              <c:numCache>
                <c:formatCode>General</c:formatCode>
                <c:ptCount val="17"/>
                <c:pt idx="0">
                  <c:v>0.60265638389031706</c:v>
                </c:pt>
                <c:pt idx="1">
                  <c:v>0.64764353041987999</c:v>
                </c:pt>
                <c:pt idx="2">
                  <c:v>0.69297343616109686</c:v>
                </c:pt>
                <c:pt idx="3">
                  <c:v>0.75407026563838908</c:v>
                </c:pt>
                <c:pt idx="4">
                  <c:v>0.80407026563838901</c:v>
                </c:pt>
                <c:pt idx="5">
                  <c:v>0.84125964010282772</c:v>
                </c:pt>
                <c:pt idx="6">
                  <c:v>0.88560411311053988</c:v>
                </c:pt>
                <c:pt idx="7">
                  <c:v>0.93444730077120819</c:v>
                </c:pt>
                <c:pt idx="8">
                  <c:v>1</c:v>
                </c:pt>
                <c:pt idx="9">
                  <c:v>1.0348329048843188</c:v>
                </c:pt>
                <c:pt idx="10">
                  <c:v>1.0799057412167952</c:v>
                </c:pt>
                <c:pt idx="11">
                  <c:v>1.1431019708654671</c:v>
                </c:pt>
                <c:pt idx="12">
                  <c:v>1.1799485861182519</c:v>
                </c:pt>
                <c:pt idx="13">
                  <c:v>1.2405741216795201</c:v>
                </c:pt>
                <c:pt idx="14">
                  <c:v>1.2630676949443016</c:v>
                </c:pt>
                <c:pt idx="15">
                  <c:v>1.3350471293916024</c:v>
                </c:pt>
                <c:pt idx="16">
                  <c:v>1.3808911739502998</c:v>
                </c:pt>
              </c:numCache>
            </c:numRef>
          </c:xVal>
          <c:yVal>
            <c:numRef>
              <c:f>(Лист1!$F$62:$N$62,Лист1!$F$65:$M$65)</c:f>
              <c:numCache>
                <c:formatCode>General</c:formatCode>
                <c:ptCount val="17"/>
                <c:pt idx="0">
                  <c:v>7.8588982183084161E-2</c:v>
                </c:pt>
                <c:pt idx="1">
                  <c:v>8.6012697112430883E-2</c:v>
                </c:pt>
                <c:pt idx="2">
                  <c:v>9.5791521605570334E-2</c:v>
                </c:pt>
                <c:pt idx="3">
                  <c:v>0.11473479418390334</c:v>
                </c:pt>
                <c:pt idx="4">
                  <c:v>0.13900266229776778</c:v>
                </c:pt>
                <c:pt idx="5">
                  <c:v>0.16629121441736636</c:v>
                </c:pt>
                <c:pt idx="6">
                  <c:v>0.22045873438459962</c:v>
                </c:pt>
                <c:pt idx="7">
                  <c:v>0.35295924636493958</c:v>
                </c:pt>
                <c:pt idx="8">
                  <c:v>1</c:v>
                </c:pt>
                <c:pt idx="9">
                  <c:v>0.60756706942453409</c:v>
                </c:pt>
                <c:pt idx="10">
                  <c:v>0.30744419414294494</c:v>
                </c:pt>
                <c:pt idx="11">
                  <c:v>0.16931189842310054</c:v>
                </c:pt>
                <c:pt idx="12">
                  <c:v>0.13224452181036248</c:v>
                </c:pt>
                <c:pt idx="13">
                  <c:v>9.6047511775547809E-2</c:v>
                </c:pt>
                <c:pt idx="14">
                  <c:v>8.6883063690354284E-2</c:v>
                </c:pt>
                <c:pt idx="15">
                  <c:v>6.6045463854187997E-2</c:v>
                </c:pt>
                <c:pt idx="16">
                  <c:v>5.6983411836985458E-2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(Лист1!$F$54:$N$54,Лист1!$F$57:$M$57)</c:f>
              <c:numCache>
                <c:formatCode>General</c:formatCode>
                <c:ptCount val="17"/>
                <c:pt idx="0">
                  <c:v>0.51608119854783452</c:v>
                </c:pt>
                <c:pt idx="1">
                  <c:v>0.57406555197627451</c:v>
                </c:pt>
                <c:pt idx="2">
                  <c:v>0.61844863731656186</c:v>
                </c:pt>
                <c:pt idx="3">
                  <c:v>0.71478243084317639</c:v>
                </c:pt>
                <c:pt idx="4">
                  <c:v>0.78191951730838061</c:v>
                </c:pt>
                <c:pt idx="5">
                  <c:v>0.83090453546044896</c:v>
                </c:pt>
                <c:pt idx="6">
                  <c:v>0.90903512808712994</c:v>
                </c:pt>
                <c:pt idx="7">
                  <c:v>0.94329396124149922</c:v>
                </c:pt>
                <c:pt idx="8">
                  <c:v>1</c:v>
                </c:pt>
                <c:pt idx="9">
                  <c:v>1.0726082732525439</c:v>
                </c:pt>
                <c:pt idx="10">
                  <c:v>1.1274224062995346</c:v>
                </c:pt>
                <c:pt idx="11">
                  <c:v>1.1876565935470675</c:v>
                </c:pt>
                <c:pt idx="12">
                  <c:v>1.2469703942322443</c:v>
                </c:pt>
                <c:pt idx="13">
                  <c:v>1.3008130081300813</c:v>
                </c:pt>
                <c:pt idx="14">
                  <c:v>1.3643708135194559</c:v>
                </c:pt>
                <c:pt idx="15">
                  <c:v>1.431763562918648</c:v>
                </c:pt>
                <c:pt idx="16">
                  <c:v>1.4942987165720714</c:v>
                </c:pt>
              </c:numCache>
            </c:numRef>
          </c:xVal>
          <c:yVal>
            <c:numRef>
              <c:f>(Лист1!$F$55:$N$55,Лист1!$F$58:$M$58)</c:f>
              <c:numCache>
                <c:formatCode>General</c:formatCode>
                <c:ptCount val="17"/>
                <c:pt idx="0">
                  <c:v>8.0275779376498796E-2</c:v>
                </c:pt>
                <c:pt idx="1">
                  <c:v>8.7709832134292579E-2</c:v>
                </c:pt>
                <c:pt idx="2">
                  <c:v>9.5083932853717024E-2</c:v>
                </c:pt>
                <c:pt idx="3">
                  <c:v>0.11966426858513191</c:v>
                </c:pt>
                <c:pt idx="4">
                  <c:v>0.14934052757793764</c:v>
                </c:pt>
                <c:pt idx="5">
                  <c:v>0.18555155875299761</c:v>
                </c:pt>
                <c:pt idx="6">
                  <c:v>0.31504796163069543</c:v>
                </c:pt>
                <c:pt idx="7">
                  <c:v>0.46013189448441244</c:v>
                </c:pt>
                <c:pt idx="8">
                  <c:v>1</c:v>
                </c:pt>
                <c:pt idx="9">
                  <c:v>0.37931654676258997</c:v>
                </c:pt>
                <c:pt idx="10">
                  <c:v>0.21954436450839332</c:v>
                </c:pt>
                <c:pt idx="11">
                  <c:v>0.14628297362110312</c:v>
                </c:pt>
                <c:pt idx="12">
                  <c:v>0.10833333333333334</c:v>
                </c:pt>
                <c:pt idx="13">
                  <c:v>8.6930455635491607E-2</c:v>
                </c:pt>
                <c:pt idx="14">
                  <c:v>6.9844124700239818E-2</c:v>
                </c:pt>
                <c:pt idx="15">
                  <c:v>5.7314148681055159E-2</c:v>
                </c:pt>
                <c:pt idx="16">
                  <c:v>4.8920863309352525E-2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75136"/>
        <c:axId val="138475712"/>
      </c:scatterChart>
      <c:valAx>
        <c:axId val="13847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f/f_0,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75712"/>
        <c:crosses val="autoZero"/>
        <c:crossBetween val="midCat"/>
      </c:valAx>
      <c:valAx>
        <c:axId val="13847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U_c/U_0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7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С_3(кр</a:t>
            </a:r>
            <a:r>
              <a:rPr lang="en-US"/>
              <a:t>)/C_5</a:t>
            </a:r>
            <a:r>
              <a:rPr lang="ru-RU"/>
              <a:t>(син)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(Лист1!$AD$19:$AL$19,Лист1!$AD$22:$AK$22)</c:f>
              <c:numCache>
                <c:formatCode>General</c:formatCode>
                <c:ptCount val="17"/>
                <c:pt idx="0">
                  <c:v>0.55632254435751904</c:v>
                </c:pt>
                <c:pt idx="1">
                  <c:v>0.62289717236795006</c:v>
                </c:pt>
                <c:pt idx="2">
                  <c:v>0.7028174055325459</c:v>
                </c:pt>
                <c:pt idx="3">
                  <c:v>0.77159073477527229</c:v>
                </c:pt>
                <c:pt idx="4">
                  <c:v>0.81914404049700873</c:v>
                </c:pt>
                <c:pt idx="5">
                  <c:v>0.88510507746586897</c:v>
                </c:pt>
                <c:pt idx="6">
                  <c:v>0.93485708441990079</c:v>
                </c:pt>
                <c:pt idx="7">
                  <c:v>0.96349133302653778</c:v>
                </c:pt>
                <c:pt idx="8">
                  <c:v>1</c:v>
                </c:pt>
                <c:pt idx="9">
                  <c:v>1.03676432990745</c:v>
                </c:pt>
                <c:pt idx="10">
                  <c:v>1.0607966457023061</c:v>
                </c:pt>
                <c:pt idx="11">
                  <c:v>1.1025208365291199</c:v>
                </c:pt>
                <c:pt idx="12">
                  <c:v>1.1342230403436109</c:v>
                </c:pt>
                <c:pt idx="13">
                  <c:v>1.1822876719333231</c:v>
                </c:pt>
                <c:pt idx="14">
                  <c:v>1.2496804213325152</c:v>
                </c:pt>
                <c:pt idx="15">
                  <c:v>1.2806156363450427</c:v>
                </c:pt>
                <c:pt idx="16">
                  <c:v>1.3233113463210104</c:v>
                </c:pt>
              </c:numCache>
            </c:numRef>
          </c:xVal>
          <c:yVal>
            <c:numRef>
              <c:f>(Лист1!$AD$20:$AL$20,Лист1!$AD$23:$AK$23)</c:f>
              <c:numCache>
                <c:formatCode>General</c:formatCode>
                <c:ptCount val="17"/>
                <c:pt idx="0">
                  <c:v>1.0769230769230769</c:v>
                </c:pt>
                <c:pt idx="1">
                  <c:v>1.0416666666666667</c:v>
                </c:pt>
                <c:pt idx="2">
                  <c:v>1.05</c:v>
                </c:pt>
                <c:pt idx="3">
                  <c:v>0.97826086956521752</c:v>
                </c:pt>
                <c:pt idx="4">
                  <c:v>0.94444444444444442</c:v>
                </c:pt>
                <c:pt idx="5">
                  <c:v>0.9375</c:v>
                </c:pt>
                <c:pt idx="6">
                  <c:v>0.875</c:v>
                </c:pt>
                <c:pt idx="7">
                  <c:v>0.81081081081081074</c:v>
                </c:pt>
                <c:pt idx="8">
                  <c:v>0.5</c:v>
                </c:pt>
                <c:pt idx="9">
                  <c:v>0.21428571428571427</c:v>
                </c:pt>
                <c:pt idx="10">
                  <c:v>0.17647058823529413</c:v>
                </c:pt>
                <c:pt idx="11">
                  <c:v>0.125</c:v>
                </c:pt>
                <c:pt idx="12">
                  <c:v>9.375E-2</c:v>
                </c:pt>
                <c:pt idx="13">
                  <c:v>8.666666666666667E-2</c:v>
                </c:pt>
                <c:pt idx="14">
                  <c:v>7.1428571428571425E-2</c:v>
                </c:pt>
                <c:pt idx="15">
                  <c:v>6.8965517241379309E-2</c:v>
                </c:pt>
                <c:pt idx="16">
                  <c:v>4.9999999999999996E-2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(Лист1!$AD$26:$AL$26,Лист1!$AD$29:$AK$29)</c:f>
              <c:numCache>
                <c:formatCode>General</c:formatCode>
                <c:ptCount val="17"/>
                <c:pt idx="0">
                  <c:v>0.60582690659811478</c:v>
                </c:pt>
                <c:pt idx="1">
                  <c:v>0.68166238217652098</c:v>
                </c:pt>
                <c:pt idx="2">
                  <c:v>0.75235646958011992</c:v>
                </c:pt>
                <c:pt idx="3">
                  <c:v>0.79648671808054838</c:v>
                </c:pt>
                <c:pt idx="4">
                  <c:v>0.85261353898886028</c:v>
                </c:pt>
                <c:pt idx="5">
                  <c:v>0.89288774635818335</c:v>
                </c:pt>
                <c:pt idx="6">
                  <c:v>0.91529562982005142</c:v>
                </c:pt>
                <c:pt idx="7">
                  <c:v>0.96208226221079696</c:v>
                </c:pt>
                <c:pt idx="8">
                  <c:v>1</c:v>
                </c:pt>
                <c:pt idx="9">
                  <c:v>1.0282776349614395</c:v>
                </c:pt>
                <c:pt idx="10">
                  <c:v>1.0569837189374465</c:v>
                </c:pt>
                <c:pt idx="11">
                  <c:v>1.1066838046272494</c:v>
                </c:pt>
                <c:pt idx="12">
                  <c:v>1.1443873179091688</c:v>
                </c:pt>
                <c:pt idx="13">
                  <c:v>1.1696658097686374</c:v>
                </c:pt>
                <c:pt idx="14">
                  <c:v>1.2152527849185948</c:v>
                </c:pt>
                <c:pt idx="15">
                  <c:v>1.2459297343616109</c:v>
                </c:pt>
                <c:pt idx="16">
                  <c:v>1.3303341902313626</c:v>
                </c:pt>
              </c:numCache>
            </c:numRef>
          </c:xVal>
          <c:yVal>
            <c:numRef>
              <c:f>(Лист1!$AD$27:$AL$27,Лист1!$AD$30:$AK$30)</c:f>
              <c:numCache>
                <c:formatCode>General</c:formatCode>
                <c:ptCount val="17"/>
                <c:pt idx="0">
                  <c:v>1.05</c:v>
                </c:pt>
                <c:pt idx="1">
                  <c:v>1.0444444444444445</c:v>
                </c:pt>
                <c:pt idx="2">
                  <c:v>1.0375000000000001</c:v>
                </c:pt>
                <c:pt idx="3">
                  <c:v>1.0285714285714287</c:v>
                </c:pt>
                <c:pt idx="4">
                  <c:v>1</c:v>
                </c:pt>
                <c:pt idx="5">
                  <c:v>0.98235294117647054</c:v>
                </c:pt>
                <c:pt idx="6">
                  <c:v>0.98124999999999996</c:v>
                </c:pt>
                <c:pt idx="7">
                  <c:v>0.85624999999999996</c:v>
                </c:pt>
                <c:pt idx="8">
                  <c:v>0.5</c:v>
                </c:pt>
                <c:pt idx="9">
                  <c:v>0.26666666666666666</c:v>
                </c:pt>
                <c:pt idx="10">
                  <c:v>0.16666666666666666</c:v>
                </c:pt>
                <c:pt idx="11">
                  <c:v>0.10714285714285714</c:v>
                </c:pt>
                <c:pt idx="12">
                  <c:v>0.1</c:v>
                </c:pt>
                <c:pt idx="13">
                  <c:v>7.6923076923076927E-2</c:v>
                </c:pt>
                <c:pt idx="14">
                  <c:v>6.6666666666666666E-2</c:v>
                </c:pt>
                <c:pt idx="15">
                  <c:v>4.9999999999999996E-2</c:v>
                </c:pt>
                <c:pt idx="16">
                  <c:v>3.3898305084745763E-2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4032"/>
        <c:axId val="146604608"/>
      </c:scatterChart>
      <c:valAx>
        <c:axId val="146604032"/>
        <c:scaling>
          <c:orientation val="minMax"/>
          <c:max val="1.4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f/f_0,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04608"/>
        <c:crosses val="autoZero"/>
        <c:crossBetween val="midCat"/>
      </c:valAx>
      <c:valAx>
        <c:axId val="14660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d(ph)\Pi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0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R_L(f)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Лист1!$AK$3:$AK$7</c:f>
              <c:numCache>
                <c:formatCode>General</c:formatCode>
                <c:ptCount val="5"/>
                <c:pt idx="0">
                  <c:v>43999.199999999997</c:v>
                </c:pt>
                <c:pt idx="1">
                  <c:v>39657.199999999997</c:v>
                </c:pt>
                <c:pt idx="2">
                  <c:v>35074.199999999997</c:v>
                </c:pt>
                <c:pt idx="3">
                  <c:v>32947.199999999997</c:v>
                </c:pt>
                <c:pt idx="4">
                  <c:v>31291.199999999997</c:v>
                </c:pt>
              </c:numCache>
            </c:numRef>
          </c:xVal>
          <c:yVal>
            <c:numRef>
              <c:f>Лист1!$AL$3:$AL$7</c:f>
              <c:numCache>
                <c:formatCode>General</c:formatCode>
                <c:ptCount val="5"/>
                <c:pt idx="0">
                  <c:v>4.1277031706942946</c:v>
                </c:pt>
                <c:pt idx="1">
                  <c:v>3.8915970257320458</c:v>
                </c:pt>
                <c:pt idx="2">
                  <c:v>3.6727944377724189</c:v>
                </c:pt>
                <c:pt idx="3">
                  <c:v>3.598757371975096</c:v>
                </c:pt>
                <c:pt idx="4">
                  <c:v>3.5300398266894772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0"/>
            <c:dispEq val="1"/>
            <c:trendlineLbl>
              <c:layout>
                <c:manualLayout>
                  <c:x val="7.4436522206377748E-3"/>
                  <c:y val="2.8160343593414461E-2"/>
                </c:manualLayout>
              </c:layout>
              <c:numFmt formatCode="General" sourceLinked="0"/>
            </c:trendlineLbl>
          </c:trendline>
          <c:xVal>
            <c:numRef>
              <c:f>Лист1!$AK$9:$AK$10</c:f>
              <c:numCache>
                <c:formatCode>General</c:formatCode>
                <c:ptCount val="2"/>
                <c:pt idx="0">
                  <c:v>31291.199999999997</c:v>
                </c:pt>
                <c:pt idx="1">
                  <c:v>43999.199999999997</c:v>
                </c:pt>
              </c:numCache>
            </c:numRef>
          </c:xVal>
          <c:yVal>
            <c:numRef>
              <c:f>Лист1!$AL$9:$AL$10</c:f>
              <c:numCache>
                <c:formatCode>0.00</c:formatCode>
                <c:ptCount val="2"/>
                <c:pt idx="0">
                  <c:v>3.76</c:v>
                </c:pt>
                <c:pt idx="1">
                  <c:v>3.76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6336"/>
        <c:axId val="146606912"/>
      </c:scatterChart>
      <c:valAx>
        <c:axId val="146606336"/>
        <c:scaling>
          <c:orientation val="minMax"/>
          <c:min val="3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06912"/>
        <c:crosses val="autoZero"/>
        <c:crossBetween val="midCat"/>
      </c:valAx>
      <c:valAx>
        <c:axId val="14660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R_L,</a:t>
                </a:r>
                <a:r>
                  <a:rPr lang="en-US" baseline="0"/>
                  <a:t> </a:t>
                </a:r>
                <a:r>
                  <a:rPr lang="ru-RU" baseline="0"/>
                  <a:t>Ом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0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121442</xdr:colOff>
      <xdr:row>1</xdr:row>
      <xdr:rowOff>150018</xdr:rowOff>
    </xdr:from>
    <xdr:to>
      <xdr:col>22</xdr:col>
      <xdr:colOff>159542</xdr:colOff>
      <xdr:row>16</xdr:row>
      <xdr:rowOff>178593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38100</xdr:colOff>
      <xdr:row>34</xdr:row>
      <xdr:rowOff>28575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90489</xdr:colOff>
      <xdr:row>26</xdr:row>
      <xdr:rowOff>47625</xdr:rowOff>
    </xdr:from>
    <xdr:to>
      <xdr:col>3</xdr:col>
      <xdr:colOff>90489</xdr:colOff>
      <xdr:row>30</xdr:row>
      <xdr:rowOff>27035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189" y="4752975"/>
          <a:ext cx="1295400" cy="703310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219076</xdr:colOff>
      <xdr:row>26</xdr:row>
      <xdr:rowOff>119062</xdr:rowOff>
    </xdr:from>
    <xdr:to>
      <xdr:col>6</xdr:col>
      <xdr:colOff>19052</xdr:colOff>
      <xdr:row>29</xdr:row>
      <xdr:rowOff>113347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2176" y="4824412"/>
          <a:ext cx="1743076" cy="53721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26</xdr:row>
      <xdr:rowOff>114300</xdr:rowOff>
    </xdr:from>
    <xdr:to>
      <xdr:col>8</xdr:col>
      <xdr:colOff>323862</xdr:colOff>
      <xdr:row>30</xdr:row>
      <xdr:rowOff>14292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90975" y="4819650"/>
          <a:ext cx="1695462" cy="623892"/>
        </a:xfrm>
        <a:prstGeom prst="rect">
          <a:avLst/>
        </a:prstGeom>
      </xdr:spPr>
    </xdr:pic>
    <xdr:clientData/>
  </xdr:twoCellAnchor>
  <xdr:twoCellAnchor editAs="oneCell">
    <xdr:from>
      <xdr:col>8</xdr:col>
      <xdr:colOff>414339</xdr:colOff>
      <xdr:row>26</xdr:row>
      <xdr:rowOff>128587</xdr:rowOff>
    </xdr:from>
    <xdr:to>
      <xdr:col>11</xdr:col>
      <xdr:colOff>142875</xdr:colOff>
      <xdr:row>29</xdr:row>
      <xdr:rowOff>161716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6914" y="4833937"/>
          <a:ext cx="2038349" cy="576054"/>
        </a:xfrm>
        <a:prstGeom prst="rect">
          <a:avLst/>
        </a:prstGeom>
      </xdr:spPr>
    </xdr:pic>
    <xdr:clientData/>
  </xdr:twoCellAnchor>
  <xdr:twoCellAnchor editAs="oneCell">
    <xdr:from>
      <xdr:col>11</xdr:col>
      <xdr:colOff>276225</xdr:colOff>
      <xdr:row>26</xdr:row>
      <xdr:rowOff>138113</xdr:rowOff>
    </xdr:from>
    <xdr:to>
      <xdr:col>12</xdr:col>
      <xdr:colOff>544022</xdr:colOff>
      <xdr:row>29</xdr:row>
      <xdr:rowOff>161925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48613" y="4843463"/>
          <a:ext cx="915497" cy="566737"/>
        </a:xfrm>
        <a:prstGeom prst="rect">
          <a:avLst/>
        </a:prstGeom>
      </xdr:spPr>
    </xdr:pic>
    <xdr:clientData/>
  </xdr:twoCellAnchor>
  <xdr:twoCellAnchor editAs="oneCell">
    <xdr:from>
      <xdr:col>11</xdr:col>
      <xdr:colOff>519112</xdr:colOff>
      <xdr:row>26</xdr:row>
      <xdr:rowOff>152400</xdr:rowOff>
    </xdr:from>
    <xdr:to>
      <xdr:col>12</xdr:col>
      <xdr:colOff>490542</xdr:colOff>
      <xdr:row>30</xdr:row>
      <xdr:rowOff>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91500" y="4857750"/>
          <a:ext cx="619130" cy="571504"/>
        </a:xfrm>
        <a:prstGeom prst="rect">
          <a:avLst/>
        </a:prstGeom>
      </xdr:spPr>
    </xdr:pic>
    <xdr:clientData/>
  </xdr:twoCellAnchor>
  <xdr:twoCellAnchor editAs="oneCell">
    <xdr:from>
      <xdr:col>11</xdr:col>
      <xdr:colOff>376240</xdr:colOff>
      <xdr:row>26</xdr:row>
      <xdr:rowOff>38101</xdr:rowOff>
    </xdr:from>
    <xdr:to>
      <xdr:col>12</xdr:col>
      <xdr:colOff>280988</xdr:colOff>
      <xdr:row>27</xdr:row>
      <xdr:rowOff>51393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48628" y="4743451"/>
          <a:ext cx="552448" cy="194267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36</xdr:row>
      <xdr:rowOff>0</xdr:rowOff>
    </xdr:from>
    <xdr:to>
      <xdr:col>22</xdr:col>
      <xdr:colOff>38100</xdr:colOff>
      <xdr:row>51</xdr:row>
      <xdr:rowOff>28575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38100</xdr:colOff>
      <xdr:row>68</xdr:row>
      <xdr:rowOff>28575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647699</xdr:colOff>
      <xdr:row>32</xdr:row>
      <xdr:rowOff>0</xdr:rowOff>
    </xdr:from>
    <xdr:to>
      <xdr:col>37</xdr:col>
      <xdr:colOff>219074</xdr:colOff>
      <xdr:row>52</xdr:row>
      <xdr:rowOff>152400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2</xdr:row>
      <xdr:rowOff>0</xdr:rowOff>
    </xdr:from>
    <xdr:to>
      <xdr:col>48</xdr:col>
      <xdr:colOff>219075</xdr:colOff>
      <xdr:row>22</xdr:row>
      <xdr:rowOff>152400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5"/>
  <sheetViews>
    <sheetView tabSelected="1" topLeftCell="I43" workbookViewId="0">
      <selection activeCell="AX13" sqref="AX13"/>
    </sheetView>
  </sheetViews>
  <sheetFormatPr defaultRowHeight="14.25" x14ac:dyDescent="0.45"/>
  <cols>
    <col min="7" max="7" width="11.59765625" bestFit="1" customWidth="1"/>
    <col min="10" max="10" width="10.73046875" customWidth="1"/>
    <col min="11" max="11" width="12.53125" customWidth="1"/>
  </cols>
  <sheetData>
    <row r="1" spans="1:50" x14ac:dyDescent="0.45">
      <c r="A1" s="1" t="s">
        <v>6</v>
      </c>
    </row>
    <row r="2" spans="1:50" x14ac:dyDescent="0.45">
      <c r="N2" t="s">
        <v>4</v>
      </c>
    </row>
    <row r="3" spans="1:50" x14ac:dyDescent="0.45">
      <c r="B3" s="2" t="s">
        <v>5</v>
      </c>
      <c r="C3" s="2" t="s">
        <v>1</v>
      </c>
      <c r="E3" s="3" t="s">
        <v>2</v>
      </c>
      <c r="F3" s="3">
        <v>10093</v>
      </c>
      <c r="G3" s="3">
        <v>11227</v>
      </c>
      <c r="H3" s="3">
        <v>12095</v>
      </c>
      <c r="I3" s="3">
        <v>13979</v>
      </c>
      <c r="J3" s="3">
        <v>15292</v>
      </c>
      <c r="K3" s="3">
        <v>16250</v>
      </c>
      <c r="L3" s="3">
        <v>17778</v>
      </c>
      <c r="M3" s="3">
        <v>18448</v>
      </c>
      <c r="N3" s="3">
        <v>19557</v>
      </c>
      <c r="Y3" s="3" t="s">
        <v>2</v>
      </c>
      <c r="Z3" s="3">
        <v>10880</v>
      </c>
      <c r="AA3" s="3">
        <v>12182</v>
      </c>
      <c r="AB3" s="3">
        <v>13745</v>
      </c>
      <c r="AC3" s="3">
        <v>15090</v>
      </c>
      <c r="AD3" s="3">
        <v>16020</v>
      </c>
      <c r="AE3" s="3">
        <v>17310</v>
      </c>
      <c r="AF3" s="3">
        <v>18283</v>
      </c>
      <c r="AG3" s="3">
        <v>18843</v>
      </c>
      <c r="AH3" s="3">
        <v>19557</v>
      </c>
      <c r="AJ3" s="5">
        <v>32265</v>
      </c>
      <c r="AK3">
        <f>AJ3+0.6*$AJ$7</f>
        <v>43999.199999999997</v>
      </c>
      <c r="AL3">
        <v>4.1277031706942946</v>
      </c>
    </row>
    <row r="4" spans="1:50" x14ac:dyDescent="0.45">
      <c r="B4" s="2">
        <v>68</v>
      </c>
      <c r="C4" s="2">
        <v>23340</v>
      </c>
      <c r="E4" s="3" t="s">
        <v>3</v>
      </c>
      <c r="F4" s="3">
        <v>0.13389999999999999</v>
      </c>
      <c r="G4" s="3">
        <v>0.14630000000000001</v>
      </c>
      <c r="H4" s="3">
        <v>0.15859999999999999</v>
      </c>
      <c r="I4" s="3">
        <v>0.1996</v>
      </c>
      <c r="J4" s="3">
        <v>0.24909999999999999</v>
      </c>
      <c r="K4" s="3">
        <v>0.3095</v>
      </c>
      <c r="L4" s="3">
        <v>0.52549999999999997</v>
      </c>
      <c r="M4" s="3">
        <v>0.76749999999999996</v>
      </c>
      <c r="N4" s="3">
        <v>1.6679999999999999</v>
      </c>
      <c r="Y4" s="3" t="s">
        <v>7</v>
      </c>
      <c r="Z4" s="3">
        <f>14/13</f>
        <v>1.0769230769230769</v>
      </c>
      <c r="AA4" s="3">
        <f>12.5/12</f>
        <v>1.0416666666666667</v>
      </c>
      <c r="AB4" s="3">
        <f>10.5/10</f>
        <v>1.05</v>
      </c>
      <c r="AC4" s="3">
        <f>9/9.2</f>
        <v>0.97826086956521752</v>
      </c>
      <c r="AD4" s="3">
        <f>8.5/9</f>
        <v>0.94444444444444442</v>
      </c>
      <c r="AE4" s="3">
        <f>7.5/8</f>
        <v>0.9375</v>
      </c>
      <c r="AF4" s="3">
        <f>7/8</f>
        <v>0.875</v>
      </c>
      <c r="AG4" s="3">
        <f>6/7.4</f>
        <v>0.81081081081081074</v>
      </c>
      <c r="AH4" s="3">
        <f>3.5/7</f>
        <v>0.5</v>
      </c>
      <c r="AJ4" s="5">
        <v>27923</v>
      </c>
      <c r="AK4">
        <f t="shared" ref="AK4:AK7" si="0">AJ4+0.6*$AJ$7</f>
        <v>39657.199999999997</v>
      </c>
      <c r="AL4">
        <v>3.8915970257320458</v>
      </c>
    </row>
    <row r="5" spans="1:50" x14ac:dyDescent="0.45">
      <c r="AJ5" s="5">
        <v>23340</v>
      </c>
      <c r="AK5">
        <f t="shared" si="0"/>
        <v>35074.199999999997</v>
      </c>
      <c r="AL5">
        <v>3.6727944377724189</v>
      </c>
    </row>
    <row r="6" spans="1:50" x14ac:dyDescent="0.45">
      <c r="F6" s="3">
        <v>20977</v>
      </c>
      <c r="G6" s="3">
        <v>22049</v>
      </c>
      <c r="H6" s="3">
        <v>23227</v>
      </c>
      <c r="I6" s="3">
        <v>24387</v>
      </c>
      <c r="J6" s="3">
        <v>25440</v>
      </c>
      <c r="K6" s="3">
        <v>26683</v>
      </c>
      <c r="L6" s="3">
        <v>28001</v>
      </c>
      <c r="M6" s="3">
        <v>29224</v>
      </c>
      <c r="Z6" s="3">
        <v>20276</v>
      </c>
      <c r="AA6" s="3">
        <v>20746</v>
      </c>
      <c r="AB6" s="3">
        <v>21562</v>
      </c>
      <c r="AC6" s="3">
        <v>22182</v>
      </c>
      <c r="AD6" s="3">
        <v>23122</v>
      </c>
      <c r="AE6" s="3">
        <v>24440</v>
      </c>
      <c r="AF6" s="3">
        <v>25045</v>
      </c>
      <c r="AG6" s="3">
        <v>25880</v>
      </c>
      <c r="AJ6" s="5">
        <v>21213</v>
      </c>
      <c r="AK6">
        <f t="shared" si="0"/>
        <v>32947.199999999997</v>
      </c>
      <c r="AL6">
        <v>3.598757371975096</v>
      </c>
    </row>
    <row r="7" spans="1:50" x14ac:dyDescent="0.45">
      <c r="F7" s="3">
        <v>0.63270000000000004</v>
      </c>
      <c r="G7" s="3">
        <v>0.36620000000000003</v>
      </c>
      <c r="H7" s="3">
        <v>0.24399999999999999</v>
      </c>
      <c r="I7" s="3">
        <v>0.1807</v>
      </c>
      <c r="J7" s="3">
        <v>0.14499999999999999</v>
      </c>
      <c r="K7" s="3">
        <v>0.11650000000000001</v>
      </c>
      <c r="L7" s="3">
        <v>9.5600000000000004E-2</v>
      </c>
      <c r="M7" s="3">
        <v>8.1600000000000006E-2</v>
      </c>
      <c r="Z7" s="3">
        <f>1.5/7</f>
        <v>0.21428571428571427</v>
      </c>
      <c r="AA7" s="3">
        <f>3/17</f>
        <v>0.17647058823529413</v>
      </c>
      <c r="AB7" s="3">
        <f>2/16</f>
        <v>0.125</v>
      </c>
      <c r="AC7" s="3">
        <f>1.5/16</f>
        <v>9.375E-2</v>
      </c>
      <c r="AD7" s="3">
        <f>1.3/15</f>
        <v>8.666666666666667E-2</v>
      </c>
      <c r="AE7" s="3">
        <f>1/14</f>
        <v>7.1428571428571425E-2</v>
      </c>
      <c r="AF7" s="3">
        <f>1/14.5</f>
        <v>6.8965517241379309E-2</v>
      </c>
      <c r="AG7" s="3">
        <f>0.7/14</f>
        <v>4.9999999999999996E-2</v>
      </c>
      <c r="AJ7" s="5">
        <v>19557</v>
      </c>
      <c r="AK7">
        <f t="shared" si="0"/>
        <v>31291.199999999997</v>
      </c>
      <c r="AL7">
        <v>3.5300398266894772</v>
      </c>
    </row>
    <row r="9" spans="1:50" x14ac:dyDescent="0.45">
      <c r="N9" t="s">
        <v>4</v>
      </c>
      <c r="AK9">
        <v>31291.199999999997</v>
      </c>
      <c r="AL9" s="10">
        <v>3.76</v>
      </c>
    </row>
    <row r="10" spans="1:50" x14ac:dyDescent="0.45">
      <c r="B10" s="2" t="s">
        <v>0</v>
      </c>
      <c r="C10" s="2" t="s">
        <v>1</v>
      </c>
      <c r="E10" s="3" t="s">
        <v>2</v>
      </c>
      <c r="F10" s="3">
        <v>14066</v>
      </c>
      <c r="G10" s="3">
        <v>15116</v>
      </c>
      <c r="H10" s="3">
        <v>16174</v>
      </c>
      <c r="I10" s="3">
        <v>17600</v>
      </c>
      <c r="J10" s="3">
        <v>18767</v>
      </c>
      <c r="K10" s="3">
        <v>19635</v>
      </c>
      <c r="L10" s="3">
        <v>20670</v>
      </c>
      <c r="M10" s="3">
        <v>21810</v>
      </c>
      <c r="N10" s="3">
        <v>23340</v>
      </c>
      <c r="Y10" s="3" t="s">
        <v>2</v>
      </c>
      <c r="Z10" s="3">
        <v>14140</v>
      </c>
      <c r="AA10" s="3">
        <v>15910</v>
      </c>
      <c r="AB10" s="3">
        <v>17560</v>
      </c>
      <c r="AC10" s="3">
        <v>18590</v>
      </c>
      <c r="AD10" s="3">
        <v>19900</v>
      </c>
      <c r="AE10" s="3">
        <v>20840</v>
      </c>
      <c r="AF10" s="3">
        <v>21363</v>
      </c>
      <c r="AG10" s="3">
        <v>22455</v>
      </c>
      <c r="AH10" s="3">
        <v>23340</v>
      </c>
      <c r="AK10">
        <v>43999.199999999997</v>
      </c>
      <c r="AL10" s="10">
        <v>3.76</v>
      </c>
    </row>
    <row r="11" spans="1:50" x14ac:dyDescent="0.45">
      <c r="B11" s="2">
        <v>47.6</v>
      </c>
      <c r="C11" s="2">
        <v>23340</v>
      </c>
      <c r="E11" s="3" t="s">
        <v>3</v>
      </c>
      <c r="F11" s="3">
        <v>0.1535</v>
      </c>
      <c r="G11" s="3">
        <v>0.16800000000000001</v>
      </c>
      <c r="H11" s="3">
        <v>0.18709999999999999</v>
      </c>
      <c r="I11" s="3">
        <v>0.22409999999999999</v>
      </c>
      <c r="J11" s="3">
        <v>0.27150000000000002</v>
      </c>
      <c r="K11" s="3">
        <v>0.32479999999999998</v>
      </c>
      <c r="L11" s="3">
        <v>0.43059999999999998</v>
      </c>
      <c r="M11" s="3">
        <v>0.68940000000000001</v>
      </c>
      <c r="N11" s="3">
        <v>1.9532</v>
      </c>
      <c r="Y11" s="3" t="s">
        <v>7</v>
      </c>
      <c r="Z11" s="3">
        <f>10.5/10</f>
        <v>1.05</v>
      </c>
      <c r="AA11" s="3">
        <f>9.4/9</f>
        <v>1.0444444444444445</v>
      </c>
      <c r="AB11" s="3">
        <f>8.3/8</f>
        <v>1.0375000000000001</v>
      </c>
      <c r="AC11" s="3">
        <f>7.2/7</f>
        <v>1.0285714285714287</v>
      </c>
      <c r="AD11" s="3">
        <f>7/7</f>
        <v>1</v>
      </c>
      <c r="AE11" s="3">
        <f>16.7/17</f>
        <v>0.98235294117647054</v>
      </c>
      <c r="AF11" s="3">
        <f>15.7/16</f>
        <v>0.98124999999999996</v>
      </c>
      <c r="AG11" s="3">
        <f>13.7/16</f>
        <v>0.85624999999999996</v>
      </c>
      <c r="AH11" s="3">
        <f>7.5/15</f>
        <v>0.5</v>
      </c>
    </row>
    <row r="13" spans="1:50" x14ac:dyDescent="0.45">
      <c r="F13" s="3">
        <v>24153</v>
      </c>
      <c r="G13" s="3">
        <v>25205</v>
      </c>
      <c r="H13" s="3">
        <v>26680</v>
      </c>
      <c r="I13" s="3">
        <v>27540</v>
      </c>
      <c r="J13" s="3">
        <v>28955</v>
      </c>
      <c r="K13" s="3">
        <v>29480</v>
      </c>
      <c r="L13" s="3">
        <v>31160</v>
      </c>
      <c r="M13" s="3">
        <v>32230</v>
      </c>
      <c r="Z13" s="3">
        <v>24000</v>
      </c>
      <c r="AA13" s="3">
        <v>24670</v>
      </c>
      <c r="AB13" s="3">
        <v>25830</v>
      </c>
      <c r="AC13" s="3">
        <v>26710</v>
      </c>
      <c r="AD13" s="3">
        <v>27300</v>
      </c>
      <c r="AE13" s="3">
        <v>28364</v>
      </c>
      <c r="AF13" s="3">
        <v>29080</v>
      </c>
      <c r="AG13" s="3">
        <v>31050</v>
      </c>
      <c r="AX13" t="s">
        <v>23</v>
      </c>
    </row>
    <row r="14" spans="1:50" x14ac:dyDescent="0.45">
      <c r="F14" s="3">
        <v>1.1867000000000001</v>
      </c>
      <c r="G14" s="3">
        <v>0.60050000000000003</v>
      </c>
      <c r="H14" s="3">
        <v>0.33069999999999999</v>
      </c>
      <c r="I14" s="3">
        <v>0.25829999999999997</v>
      </c>
      <c r="J14" s="3">
        <v>0.18759999999999999</v>
      </c>
      <c r="K14" s="3">
        <v>0.16969999999999999</v>
      </c>
      <c r="L14" s="3">
        <v>0.129</v>
      </c>
      <c r="M14" s="3">
        <v>0.1113</v>
      </c>
      <c r="Z14" s="3">
        <f>4/15</f>
        <v>0.26666666666666666</v>
      </c>
      <c r="AA14" s="3">
        <f>2.5/15</f>
        <v>0.16666666666666666</v>
      </c>
      <c r="AB14" s="3">
        <f>1.5/14</f>
        <v>0.10714285714285714</v>
      </c>
      <c r="AC14" s="3">
        <f>1.3/13</f>
        <v>0.1</v>
      </c>
      <c r="AD14" s="3">
        <f>1/13</f>
        <v>7.6923076923076927E-2</v>
      </c>
      <c r="AE14" s="3">
        <f>0.8/12</f>
        <v>6.6666666666666666E-2</v>
      </c>
      <c r="AF14" s="3">
        <f>0.6/12</f>
        <v>4.9999999999999996E-2</v>
      </c>
      <c r="AG14" s="3">
        <f>0.4/11.8</f>
        <v>3.3898305084745763E-2</v>
      </c>
    </row>
    <row r="19" spans="2:38" x14ac:dyDescent="0.45">
      <c r="B19" s="6" t="s">
        <v>10</v>
      </c>
      <c r="C19" s="6" t="s">
        <v>8</v>
      </c>
      <c r="D19" s="6" t="s">
        <v>1</v>
      </c>
      <c r="E19" s="6" t="s">
        <v>3</v>
      </c>
      <c r="F19" s="6" t="s">
        <v>9</v>
      </c>
      <c r="G19" s="6" t="s">
        <v>11</v>
      </c>
      <c r="H19" s="6" t="s">
        <v>12</v>
      </c>
      <c r="I19" s="6" t="s">
        <v>13</v>
      </c>
      <c r="J19" s="6" t="s">
        <v>14</v>
      </c>
      <c r="K19" s="6" t="s">
        <v>15</v>
      </c>
      <c r="L19" s="6" t="s">
        <v>16</v>
      </c>
      <c r="M19" s="6" t="s">
        <v>17</v>
      </c>
      <c r="Z19" s="2" t="s">
        <v>5</v>
      </c>
      <c r="AA19" s="2" t="s">
        <v>1</v>
      </c>
      <c r="AC19" s="3" t="s">
        <v>21</v>
      </c>
      <c r="AD19" s="3">
        <f>Z3/$AH$3</f>
        <v>0.55632254435751904</v>
      </c>
      <c r="AE19" s="3">
        <f t="shared" ref="AE19:AL19" si="1">AA3/$AH$3</f>
        <v>0.62289717236795006</v>
      </c>
      <c r="AF19" s="3">
        <f t="shared" si="1"/>
        <v>0.7028174055325459</v>
      </c>
      <c r="AG19" s="3">
        <f t="shared" si="1"/>
        <v>0.77159073477527229</v>
      </c>
      <c r="AH19" s="3">
        <f t="shared" si="1"/>
        <v>0.81914404049700873</v>
      </c>
      <c r="AI19" s="3">
        <f t="shared" si="1"/>
        <v>0.88510507746586897</v>
      </c>
      <c r="AJ19" s="3">
        <f t="shared" si="1"/>
        <v>0.93485708441990079</v>
      </c>
      <c r="AK19" s="3">
        <f t="shared" si="1"/>
        <v>0.96349133302653778</v>
      </c>
      <c r="AL19" s="3">
        <f t="shared" si="1"/>
        <v>1</v>
      </c>
    </row>
    <row r="20" spans="2:38" x14ac:dyDescent="0.45">
      <c r="B20" s="7">
        <v>1</v>
      </c>
      <c r="C20" s="5">
        <v>24.8</v>
      </c>
      <c r="D20" s="5">
        <v>32265</v>
      </c>
      <c r="E20" s="5">
        <v>2.5426000000000002</v>
      </c>
      <c r="F20" s="5">
        <v>0.1</v>
      </c>
      <c r="G20" s="8">
        <f>1000000000/(2*3.14*2*3.14*C20*D20*D20)*1000000</f>
        <v>982.12257272394959</v>
      </c>
      <c r="H20" s="8">
        <f>E20/F20</f>
        <v>25.426000000000002</v>
      </c>
      <c r="I20" s="8">
        <f>H20*J20</f>
        <v>199.0018006001321</v>
      </c>
      <c r="J20" s="8">
        <f xml:space="preserve"> D20*2*3.14*G20/1000000/H20</f>
        <v>7.8267049712944265</v>
      </c>
      <c r="K20" s="5">
        <f>E20/M20/1000</f>
        <v>0.19900180060013209</v>
      </c>
      <c r="L20" s="11">
        <f>J20-K20-3.5</f>
        <v>4.1277031706942946</v>
      </c>
      <c r="M20" s="9">
        <f xml:space="preserve"> F20/J20</f>
        <v>1.2776768814816002E-2</v>
      </c>
      <c r="Z20" s="2">
        <v>68</v>
      </c>
      <c r="AA20" s="2">
        <v>23340</v>
      </c>
      <c r="AC20" s="3" t="s">
        <v>7</v>
      </c>
      <c r="AD20" s="3">
        <f>14/13</f>
        <v>1.0769230769230769</v>
      </c>
      <c r="AE20" s="3">
        <f>12.5/12</f>
        <v>1.0416666666666667</v>
      </c>
      <c r="AF20" s="3">
        <f>10.5/10</f>
        <v>1.05</v>
      </c>
      <c r="AG20" s="3">
        <f>9/9.2</f>
        <v>0.97826086956521752</v>
      </c>
      <c r="AH20" s="3">
        <f>8.5/9</f>
        <v>0.94444444444444442</v>
      </c>
      <c r="AI20" s="3">
        <f>7.5/8</f>
        <v>0.9375</v>
      </c>
      <c r="AJ20" s="3">
        <f>7/8</f>
        <v>0.875</v>
      </c>
      <c r="AK20" s="3">
        <f>6/7.4</f>
        <v>0.81081081081081074</v>
      </c>
      <c r="AL20" s="3">
        <f>3.5/7</f>
        <v>0.5</v>
      </c>
    </row>
    <row r="21" spans="2:38" x14ac:dyDescent="0.45">
      <c r="B21" s="7">
        <v>2</v>
      </c>
      <c r="C21" s="5">
        <v>33.200000000000003</v>
      </c>
      <c r="D21" s="5">
        <v>27923</v>
      </c>
      <c r="E21" s="5">
        <v>2.2665000000000002</v>
      </c>
      <c r="F21" s="5">
        <v>9.98E-2</v>
      </c>
      <c r="G21" s="8">
        <f t="shared" ref="G21:G24" si="2">1000000000/(2*3.14*2*3.14*C21*D21*D21)*1000000</f>
        <v>979.53165669974089</v>
      </c>
      <c r="H21" s="8">
        <f t="shared" ref="H21:H24" si="3">E21/F21</f>
        <v>22.710420841683369</v>
      </c>
      <c r="I21" s="8">
        <f t="shared" ref="I21:I24" si="4">H21*J21</f>
        <v>171.76718418616869</v>
      </c>
      <c r="J21" s="8">
        <f t="shared" ref="J21:J24" si="5" xml:space="preserve"> D21*2*3.14*G21/1000000/H21</f>
        <v>7.5633642099182143</v>
      </c>
      <c r="K21" s="5">
        <f>E21/M21/1000</f>
        <v>0.17176718418616868</v>
      </c>
      <c r="L21" s="11">
        <f t="shared" ref="L21:L24" si="6">J21-K21-3.5</f>
        <v>3.8915970257320458</v>
      </c>
      <c r="M21" s="9">
        <f t="shared" ref="M21:M24" si="7" xml:space="preserve"> F21/J21</f>
        <v>1.3195186325832003E-2</v>
      </c>
    </row>
    <row r="22" spans="2:38" x14ac:dyDescent="0.45">
      <c r="B22" s="7">
        <v>3</v>
      </c>
      <c r="C22" s="5">
        <v>47.6</v>
      </c>
      <c r="D22" s="5">
        <v>23340</v>
      </c>
      <c r="E22" s="5">
        <v>1.9532</v>
      </c>
      <c r="F22" s="5">
        <v>9.9699999999999997E-2</v>
      </c>
      <c r="G22" s="8">
        <f t="shared" si="2"/>
        <v>977.84958636302918</v>
      </c>
      <c r="H22" s="8">
        <f t="shared" si="3"/>
        <v>19.590772316950854</v>
      </c>
      <c r="I22" s="8">
        <f t="shared" si="4"/>
        <v>143.32849869107827</v>
      </c>
      <c r="J22" s="8">
        <f t="shared" si="5"/>
        <v>7.316122936463497</v>
      </c>
      <c r="K22" s="5">
        <f>E22/M22/1000</f>
        <v>0.14332849869107828</v>
      </c>
      <c r="L22" s="11">
        <f t="shared" si="6"/>
        <v>3.6727944377724189</v>
      </c>
      <c r="M22" s="9">
        <f t="shared" si="7"/>
        <v>1.3627436398464003E-2</v>
      </c>
      <c r="AD22" s="3">
        <f>Z6/$AH$3</f>
        <v>1.03676432990745</v>
      </c>
      <c r="AE22" s="3">
        <f t="shared" ref="AE22:AK22" si="8">AA6/$AH$3</f>
        <v>1.0607966457023061</v>
      </c>
      <c r="AF22" s="3">
        <f t="shared" si="8"/>
        <v>1.1025208365291199</v>
      </c>
      <c r="AG22" s="3">
        <f t="shared" si="8"/>
        <v>1.1342230403436109</v>
      </c>
      <c r="AH22" s="3">
        <f t="shared" si="8"/>
        <v>1.1822876719333231</v>
      </c>
      <c r="AI22" s="3">
        <f t="shared" si="8"/>
        <v>1.2496804213325152</v>
      </c>
      <c r="AJ22" s="3">
        <f t="shared" si="8"/>
        <v>1.2806156363450427</v>
      </c>
      <c r="AK22" s="3">
        <f t="shared" si="8"/>
        <v>1.3233113463210104</v>
      </c>
    </row>
    <row r="23" spans="2:38" x14ac:dyDescent="0.45">
      <c r="B23" s="7">
        <v>4</v>
      </c>
      <c r="C23" s="5">
        <v>57.5</v>
      </c>
      <c r="D23" s="5">
        <v>21213</v>
      </c>
      <c r="E23" s="5">
        <v>1.8004</v>
      </c>
      <c r="F23" s="5">
        <v>9.9699999999999997E-2</v>
      </c>
      <c r="G23" s="8">
        <f t="shared" si="2"/>
        <v>979.96075564488649</v>
      </c>
      <c r="H23" s="8">
        <f t="shared" si="3"/>
        <v>18.058174523570713</v>
      </c>
      <c r="I23" s="8">
        <f t="shared" si="4"/>
        <v>130.54805915962848</v>
      </c>
      <c r="J23" s="8">
        <f t="shared" si="5"/>
        <v>7.2293054311347245</v>
      </c>
      <c r="K23" s="5">
        <f>E23/M23/1000</f>
        <v>0.13054805915962847</v>
      </c>
      <c r="L23" s="11">
        <f t="shared" si="6"/>
        <v>3.598757371975096</v>
      </c>
      <c r="M23" s="9">
        <f t="shared" si="7"/>
        <v>1.3791089745719999E-2</v>
      </c>
      <c r="AD23" s="3">
        <f>1.5/7</f>
        <v>0.21428571428571427</v>
      </c>
      <c r="AE23" s="3">
        <f>3/17</f>
        <v>0.17647058823529413</v>
      </c>
      <c r="AF23" s="3">
        <f>2/16</f>
        <v>0.125</v>
      </c>
      <c r="AG23" s="3">
        <f>1.5/16</f>
        <v>9.375E-2</v>
      </c>
      <c r="AH23" s="3">
        <f>1.3/15</f>
        <v>8.666666666666667E-2</v>
      </c>
      <c r="AI23" s="3">
        <f>1/14</f>
        <v>7.1428571428571425E-2</v>
      </c>
      <c r="AJ23" s="3">
        <f>1/14.5</f>
        <v>6.8965517241379309E-2</v>
      </c>
      <c r="AK23" s="3">
        <f>0.7/14</f>
        <v>4.9999999999999996E-2</v>
      </c>
    </row>
    <row r="24" spans="2:38" x14ac:dyDescent="0.45">
      <c r="B24" s="7">
        <v>5</v>
      </c>
      <c r="C24" s="5">
        <v>68</v>
      </c>
      <c r="D24" s="5">
        <v>19557</v>
      </c>
      <c r="E24" s="5">
        <v>1.6679999999999999</v>
      </c>
      <c r="F24" s="5">
        <v>9.9599999999999994E-2</v>
      </c>
      <c r="G24" s="8">
        <f t="shared" si="2"/>
        <v>974.9162926199391</v>
      </c>
      <c r="H24" s="8">
        <f t="shared" si="3"/>
        <v>16.746987951807228</v>
      </c>
      <c r="I24" s="8">
        <f t="shared" si="4"/>
        <v>119.73723023034398</v>
      </c>
      <c r="J24" s="8">
        <f t="shared" si="5"/>
        <v>7.1497770569198211</v>
      </c>
      <c r="K24" s="5">
        <f>E24/M24/1000</f>
        <v>0.11973723023034399</v>
      </c>
      <c r="L24" s="11">
        <f t="shared" si="6"/>
        <v>3.5300398266894772</v>
      </c>
      <c r="M24" s="9">
        <f t="shared" si="7"/>
        <v>1.3930504295039996E-2</v>
      </c>
    </row>
    <row r="25" spans="2:38" x14ac:dyDescent="0.45">
      <c r="B25" s="13" t="s">
        <v>18</v>
      </c>
      <c r="C25" s="13"/>
      <c r="D25" s="13"/>
      <c r="E25" s="13"/>
      <c r="F25" s="13"/>
      <c r="G25" s="10">
        <f>AVERAGE(G20:G24)</f>
        <v>978.87617281030907</v>
      </c>
      <c r="H25" s="14" t="s">
        <v>20</v>
      </c>
      <c r="I25" s="15"/>
      <c r="J25" s="15"/>
      <c r="K25" s="16"/>
      <c r="L25" s="10">
        <f>AVERAGE(L20:L24)</f>
        <v>3.7641783665726662</v>
      </c>
      <c r="M25" s="4" t="s">
        <v>20</v>
      </c>
    </row>
    <row r="26" spans="2:38" x14ac:dyDescent="0.45">
      <c r="B26" s="13" t="s">
        <v>19</v>
      </c>
      <c r="C26" s="13"/>
      <c r="D26" s="13"/>
      <c r="E26" s="13"/>
      <c r="F26" s="13"/>
      <c r="G26" s="12">
        <f>AVEDEV(G20:G24)</f>
        <v>1.9945866550599249</v>
      </c>
      <c r="H26" s="14" t="s">
        <v>20</v>
      </c>
      <c r="I26" s="15"/>
      <c r="J26" s="15"/>
      <c r="K26" s="16"/>
      <c r="L26" s="12">
        <f>AVEDEV(L20:L24)</f>
        <v>0.1963773853124029</v>
      </c>
      <c r="M26" s="4" t="s">
        <v>20</v>
      </c>
      <c r="Z26" s="2" t="s">
        <v>0</v>
      </c>
      <c r="AA26" s="2" t="s">
        <v>1</v>
      </c>
      <c r="AC26" s="3" t="s">
        <v>2</v>
      </c>
      <c r="AD26" s="3">
        <f>Z10/$AH$10</f>
        <v>0.60582690659811478</v>
      </c>
      <c r="AE26" s="3">
        <f t="shared" ref="AE26:AL26" si="9">AA10/$AH$10</f>
        <v>0.68166238217652098</v>
      </c>
      <c r="AF26" s="3">
        <f t="shared" si="9"/>
        <v>0.75235646958011992</v>
      </c>
      <c r="AG26" s="3">
        <f t="shared" si="9"/>
        <v>0.79648671808054838</v>
      </c>
      <c r="AH26" s="3">
        <f t="shared" si="9"/>
        <v>0.85261353898886028</v>
      </c>
      <c r="AI26" s="3">
        <f t="shared" si="9"/>
        <v>0.89288774635818335</v>
      </c>
      <c r="AJ26" s="3">
        <f t="shared" si="9"/>
        <v>0.91529562982005142</v>
      </c>
      <c r="AK26" s="3">
        <f t="shared" si="9"/>
        <v>0.96208226221079696</v>
      </c>
      <c r="AL26" s="3">
        <f t="shared" si="9"/>
        <v>1</v>
      </c>
    </row>
    <row r="27" spans="2:38" x14ac:dyDescent="0.45">
      <c r="Z27" s="2">
        <v>47.6</v>
      </c>
      <c r="AA27" s="2">
        <v>23340</v>
      </c>
      <c r="AC27" s="3" t="s">
        <v>7</v>
      </c>
      <c r="AD27" s="3">
        <f>10.5/10</f>
        <v>1.05</v>
      </c>
      <c r="AE27" s="3">
        <f>9.4/9</f>
        <v>1.0444444444444445</v>
      </c>
      <c r="AF27" s="3">
        <f>8.3/8</f>
        <v>1.0375000000000001</v>
      </c>
      <c r="AG27" s="3">
        <f>7.2/7</f>
        <v>1.0285714285714287</v>
      </c>
      <c r="AH27" s="3">
        <f>7/7</f>
        <v>1</v>
      </c>
      <c r="AI27" s="3">
        <f>16.7/17</f>
        <v>0.98235294117647054</v>
      </c>
      <c r="AJ27" s="3">
        <f>15.7/16</f>
        <v>0.98124999999999996</v>
      </c>
      <c r="AK27" s="3">
        <f>13.7/16</f>
        <v>0.85624999999999996</v>
      </c>
      <c r="AL27" s="3">
        <f>7.5/15</f>
        <v>0.5</v>
      </c>
    </row>
    <row r="29" spans="2:38" x14ac:dyDescent="0.45">
      <c r="AD29" s="3">
        <f>Z13/$AH$10</f>
        <v>1.0282776349614395</v>
      </c>
      <c r="AE29" s="3">
        <f t="shared" ref="AE29:AK29" si="10">AA13/$AH$10</f>
        <v>1.0569837189374465</v>
      </c>
      <c r="AF29" s="3">
        <f t="shared" si="10"/>
        <v>1.1066838046272494</v>
      </c>
      <c r="AG29" s="3">
        <f t="shared" si="10"/>
        <v>1.1443873179091688</v>
      </c>
      <c r="AH29" s="3">
        <f t="shared" si="10"/>
        <v>1.1696658097686374</v>
      </c>
      <c r="AI29" s="3">
        <f t="shared" si="10"/>
        <v>1.2152527849185948</v>
      </c>
      <c r="AJ29" s="3">
        <f t="shared" si="10"/>
        <v>1.2459297343616109</v>
      </c>
      <c r="AK29" s="3">
        <f t="shared" si="10"/>
        <v>1.3303341902313626</v>
      </c>
    </row>
    <row r="30" spans="2:38" x14ac:dyDescent="0.45">
      <c r="AD30" s="3">
        <f>4/15</f>
        <v>0.26666666666666666</v>
      </c>
      <c r="AE30" s="3">
        <f>2.5/15</f>
        <v>0.16666666666666666</v>
      </c>
      <c r="AF30" s="3">
        <f>1.5/14</f>
        <v>0.10714285714285714</v>
      </c>
      <c r="AG30" s="3">
        <f>1.3/13</f>
        <v>0.1</v>
      </c>
      <c r="AH30" s="3">
        <f>1/13</f>
        <v>7.6923076923076927E-2</v>
      </c>
      <c r="AI30" s="3">
        <f>0.8/12</f>
        <v>6.6666666666666666E-2</v>
      </c>
      <c r="AJ30" s="3">
        <f>0.6/12</f>
        <v>4.9999999999999996E-2</v>
      </c>
      <c r="AK30" s="3">
        <f>0.4/11.8</f>
        <v>3.3898305084745763E-2</v>
      </c>
    </row>
    <row r="54" spans="2:14" x14ac:dyDescent="0.45">
      <c r="B54" s="2" t="s">
        <v>5</v>
      </c>
      <c r="C54" s="2" t="s">
        <v>1</v>
      </c>
      <c r="E54" s="3" t="s">
        <v>22</v>
      </c>
      <c r="F54" s="3">
        <f>F3/$N$3</f>
        <v>0.51608119854783452</v>
      </c>
      <c r="G54" s="3">
        <f t="shared" ref="G54:N54" si="11">G3/$N$3</f>
        <v>0.57406555197627451</v>
      </c>
      <c r="H54" s="3">
        <f t="shared" si="11"/>
        <v>0.61844863731656186</v>
      </c>
      <c r="I54" s="3">
        <f t="shared" si="11"/>
        <v>0.71478243084317639</v>
      </c>
      <c r="J54" s="3">
        <f t="shared" si="11"/>
        <v>0.78191951730838061</v>
      </c>
      <c r="K54" s="3">
        <f t="shared" si="11"/>
        <v>0.83090453546044896</v>
      </c>
      <c r="L54" s="3">
        <f t="shared" si="11"/>
        <v>0.90903512808712994</v>
      </c>
      <c r="M54" s="3">
        <f t="shared" si="11"/>
        <v>0.94329396124149922</v>
      </c>
      <c r="N54" s="3">
        <f t="shared" si="11"/>
        <v>1</v>
      </c>
    </row>
    <row r="55" spans="2:14" x14ac:dyDescent="0.45">
      <c r="B55" s="2">
        <v>68</v>
      </c>
      <c r="C55" s="2">
        <v>23340</v>
      </c>
      <c r="E55" s="3" t="s">
        <v>3</v>
      </c>
      <c r="F55" s="3">
        <f>F4/$N$4</f>
        <v>8.0275779376498796E-2</v>
      </c>
      <c r="G55" s="3">
        <f t="shared" ref="G55:N55" si="12">G4/$N$4</f>
        <v>8.7709832134292579E-2</v>
      </c>
      <c r="H55" s="3">
        <f t="shared" si="12"/>
        <v>9.5083932853717024E-2</v>
      </c>
      <c r="I55" s="3">
        <f t="shared" si="12"/>
        <v>0.11966426858513191</v>
      </c>
      <c r="J55" s="3">
        <f t="shared" si="12"/>
        <v>0.14934052757793764</v>
      </c>
      <c r="K55" s="3">
        <f t="shared" si="12"/>
        <v>0.18555155875299761</v>
      </c>
      <c r="L55" s="3">
        <f t="shared" si="12"/>
        <v>0.31504796163069543</v>
      </c>
      <c r="M55" s="3">
        <f t="shared" si="12"/>
        <v>0.46013189448441244</v>
      </c>
      <c r="N55" s="3">
        <f t="shared" si="12"/>
        <v>1</v>
      </c>
    </row>
    <row r="57" spans="2:14" x14ac:dyDescent="0.45">
      <c r="F57" s="3">
        <f>F6/$N$3</f>
        <v>1.0726082732525439</v>
      </c>
      <c r="G57" s="3">
        <f t="shared" ref="G57:M57" si="13">G6/$N$3</f>
        <v>1.1274224062995346</v>
      </c>
      <c r="H57" s="3">
        <f t="shared" si="13"/>
        <v>1.1876565935470675</v>
      </c>
      <c r="I57" s="3">
        <f t="shared" si="13"/>
        <v>1.2469703942322443</v>
      </c>
      <c r="J57" s="3">
        <f t="shared" si="13"/>
        <v>1.3008130081300813</v>
      </c>
      <c r="K57" s="3">
        <f t="shared" si="13"/>
        <v>1.3643708135194559</v>
      </c>
      <c r="L57" s="3">
        <f t="shared" si="13"/>
        <v>1.431763562918648</v>
      </c>
      <c r="M57" s="3">
        <f t="shared" si="13"/>
        <v>1.4942987165720714</v>
      </c>
    </row>
    <row r="58" spans="2:14" x14ac:dyDescent="0.45">
      <c r="F58" s="3">
        <f>F7/$N$4</f>
        <v>0.37931654676258997</v>
      </c>
      <c r="G58" s="3">
        <f t="shared" ref="G58:M58" si="14">G7/$N$4</f>
        <v>0.21954436450839332</v>
      </c>
      <c r="H58" s="3">
        <f t="shared" si="14"/>
        <v>0.14628297362110312</v>
      </c>
      <c r="I58" s="3">
        <f t="shared" si="14"/>
        <v>0.10833333333333334</v>
      </c>
      <c r="J58" s="3">
        <f t="shared" si="14"/>
        <v>8.6930455635491607E-2</v>
      </c>
      <c r="K58" s="3">
        <f t="shared" si="14"/>
        <v>6.9844124700239818E-2</v>
      </c>
      <c r="L58" s="3">
        <f t="shared" si="14"/>
        <v>5.7314148681055159E-2</v>
      </c>
      <c r="M58" s="3">
        <f t="shared" si="14"/>
        <v>4.8920863309352525E-2</v>
      </c>
    </row>
    <row r="60" spans="2:14" x14ac:dyDescent="0.45">
      <c r="N60" t="s">
        <v>4</v>
      </c>
    </row>
    <row r="61" spans="2:14" x14ac:dyDescent="0.45">
      <c r="B61" s="2" t="s">
        <v>0</v>
      </c>
      <c r="C61" s="2" t="s">
        <v>1</v>
      </c>
      <c r="E61" s="3" t="s">
        <v>2</v>
      </c>
      <c r="F61" s="3">
        <f>F10/$N$10</f>
        <v>0.60265638389031706</v>
      </c>
      <c r="G61" s="3">
        <f t="shared" ref="G61:N61" si="15">G10/$N$10</f>
        <v>0.64764353041987999</v>
      </c>
      <c r="H61" s="3">
        <f t="shared" si="15"/>
        <v>0.69297343616109686</v>
      </c>
      <c r="I61" s="3">
        <f t="shared" si="15"/>
        <v>0.75407026563838908</v>
      </c>
      <c r="J61" s="3">
        <f t="shared" si="15"/>
        <v>0.80407026563838901</v>
      </c>
      <c r="K61" s="3">
        <f t="shared" si="15"/>
        <v>0.84125964010282772</v>
      </c>
      <c r="L61" s="3">
        <f t="shared" si="15"/>
        <v>0.88560411311053988</v>
      </c>
      <c r="M61" s="3">
        <f t="shared" si="15"/>
        <v>0.93444730077120819</v>
      </c>
      <c r="N61" s="3">
        <f t="shared" si="15"/>
        <v>1</v>
      </c>
    </row>
    <row r="62" spans="2:14" x14ac:dyDescent="0.45">
      <c r="B62" s="2">
        <v>47.6</v>
      </c>
      <c r="C62" s="2">
        <v>23340</v>
      </c>
      <c r="E62" s="3" t="s">
        <v>3</v>
      </c>
      <c r="F62" s="3">
        <f>F11/$N$11</f>
        <v>7.8588982183084161E-2</v>
      </c>
      <c r="G62" s="3">
        <f t="shared" ref="G62:N62" si="16">G11/$N$11</f>
        <v>8.6012697112430883E-2</v>
      </c>
      <c r="H62" s="3">
        <f t="shared" si="16"/>
        <v>9.5791521605570334E-2</v>
      </c>
      <c r="I62" s="3">
        <f t="shared" si="16"/>
        <v>0.11473479418390334</v>
      </c>
      <c r="J62" s="3">
        <f t="shared" si="16"/>
        <v>0.13900266229776778</v>
      </c>
      <c r="K62" s="3">
        <f t="shared" si="16"/>
        <v>0.16629121441736636</v>
      </c>
      <c r="L62" s="3">
        <f t="shared" si="16"/>
        <v>0.22045873438459962</v>
      </c>
      <c r="M62" s="3">
        <f t="shared" si="16"/>
        <v>0.35295924636493958</v>
      </c>
      <c r="N62" s="3">
        <f t="shared" si="16"/>
        <v>1</v>
      </c>
    </row>
    <row r="64" spans="2:14" x14ac:dyDescent="0.45">
      <c r="F64" s="3">
        <f>F13/$N$10</f>
        <v>1.0348329048843188</v>
      </c>
      <c r="G64" s="3">
        <f t="shared" ref="G64:M64" si="17">G13/$N$10</f>
        <v>1.0799057412167952</v>
      </c>
      <c r="H64" s="3">
        <f t="shared" si="17"/>
        <v>1.1431019708654671</v>
      </c>
      <c r="I64" s="3">
        <f t="shared" si="17"/>
        <v>1.1799485861182519</v>
      </c>
      <c r="J64" s="3">
        <f t="shared" si="17"/>
        <v>1.2405741216795201</v>
      </c>
      <c r="K64" s="3">
        <f t="shared" si="17"/>
        <v>1.2630676949443016</v>
      </c>
      <c r="L64" s="3">
        <f t="shared" si="17"/>
        <v>1.3350471293916024</v>
      </c>
      <c r="M64" s="3">
        <f t="shared" si="17"/>
        <v>1.3808911739502998</v>
      </c>
    </row>
    <row r="65" spans="6:13" x14ac:dyDescent="0.45">
      <c r="F65" s="3">
        <f>F14/$N$11</f>
        <v>0.60756706942453409</v>
      </c>
      <c r="G65" s="3">
        <f t="shared" ref="G65:M65" si="18">G14/$N$11</f>
        <v>0.30744419414294494</v>
      </c>
      <c r="H65" s="3">
        <f t="shared" si="18"/>
        <v>0.16931189842310054</v>
      </c>
      <c r="I65" s="3">
        <f t="shared" si="18"/>
        <v>0.13224452181036248</v>
      </c>
      <c r="J65" s="3">
        <f t="shared" si="18"/>
        <v>9.6047511775547809E-2</v>
      </c>
      <c r="K65" s="3">
        <f t="shared" si="18"/>
        <v>8.6883063690354284E-2</v>
      </c>
      <c r="L65" s="3">
        <f t="shared" si="18"/>
        <v>6.6045463854187997E-2</v>
      </c>
      <c r="M65" s="3">
        <f t="shared" si="18"/>
        <v>5.6983411836985458E-2</v>
      </c>
    </row>
  </sheetData>
  <mergeCells count="4">
    <mergeCell ref="B25:F25"/>
    <mergeCell ref="B26:F26"/>
    <mergeCell ref="H25:K25"/>
    <mergeCell ref="H26:K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2023-10-21T04:15:11Z</dcterms:created>
  <dcterms:modified xsi:type="dcterms:W3CDTF">2023-10-28T06:08:59Z</dcterms:modified>
</cp:coreProperties>
</file>