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Model Data\Count Data Control Totals\"/>
    </mc:Choice>
  </mc:AlternateContent>
  <bookViews>
    <workbookView xWindow="0" yWindow="0" windowWidth="23040" windowHeight="9090" firstSheet="4" activeTab="8" xr2:uid="{00000000-000D-0000-FFFF-FFFF00000000}"/>
  </bookViews>
  <sheets>
    <sheet name="TEAR" sheetId="1" r:id="rId1"/>
    <sheet name="TRENDS" sheetId="2" r:id="rId2"/>
    <sheet name="Profile" sheetId="4" r:id="rId3"/>
    <sheet name="Profile - ODME" sheetId="9" r:id="rId4"/>
    <sheet name="Profile - ODME (mailine)" sheetId="11" r:id="rId5"/>
    <sheet name="Hourly_Distribution" sheetId="7" r:id="rId6"/>
    <sheet name="Hourly_Parameters" sheetId="8" r:id="rId7"/>
    <sheet name="ODME_Validation" sheetId="10" r:id="rId8"/>
    <sheet name="Mainline_CUBE_Network" sheetId="12" r:id="rId9"/>
    <sheet name="for_CUBE_NETWORK" sheetId="5" r:id="rId10"/>
    <sheet name="Profile_Counts" sheetId="6" r:id="rId11"/>
  </sheets>
  <definedNames>
    <definedName name="_xlnm._FilterDatabase" localSheetId="0" hidden="1">TEAR!$D$1:$D$140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1" l="1"/>
  <c r="I26" i="12" s="1"/>
  <c r="I32" i="12"/>
  <c r="M32" i="12" s="1"/>
  <c r="I30" i="12"/>
  <c r="I27" i="12"/>
  <c r="M27" i="12" s="1"/>
  <c r="N27" i="12" s="1"/>
  <c r="I25" i="12"/>
  <c r="M25" i="12" s="1"/>
  <c r="N25" i="12" s="1"/>
  <c r="I24" i="12"/>
  <c r="M24" i="12" s="1"/>
  <c r="N24" i="12" s="1"/>
  <c r="I21" i="12"/>
  <c r="M21" i="12" s="1"/>
  <c r="N21" i="12" s="1"/>
  <c r="I20" i="12"/>
  <c r="M20" i="12" s="1"/>
  <c r="N20" i="12" s="1"/>
  <c r="I18" i="12"/>
  <c r="I16" i="12"/>
  <c r="M16" i="12" s="1"/>
  <c r="I13" i="12"/>
  <c r="I10" i="12"/>
  <c r="I9" i="12"/>
  <c r="M9" i="12" s="1"/>
  <c r="N9" i="12" s="1"/>
  <c r="I8" i="12"/>
  <c r="M8" i="12" s="1"/>
  <c r="N8" i="12" s="1"/>
  <c r="I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K2" i="12"/>
  <c r="H2" i="12"/>
  <c r="O30" i="12"/>
  <c r="P30" i="12" s="1"/>
  <c r="O28" i="12"/>
  <c r="P28" i="12" s="1"/>
  <c r="O27" i="12"/>
  <c r="P27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19" i="12"/>
  <c r="O14" i="12"/>
  <c r="P14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3" i="12"/>
  <c r="P3" i="12" s="1"/>
  <c r="Q38" i="11"/>
  <c r="I31" i="12" s="1"/>
  <c r="Q35" i="11"/>
  <c r="Q36" i="11" s="1"/>
  <c r="I29" i="12" s="1"/>
  <c r="Q29" i="11"/>
  <c r="I22" i="12" s="1"/>
  <c r="M22" i="12" s="1"/>
  <c r="N22" i="12" s="1"/>
  <c r="Q30" i="11"/>
  <c r="I23" i="12" s="1"/>
  <c r="M23" i="12" s="1"/>
  <c r="N23" i="12" s="1"/>
  <c r="Q24" i="11"/>
  <c r="Q26" i="11" s="1"/>
  <c r="I19" i="12" s="1"/>
  <c r="Q21" i="11"/>
  <c r="I14" i="12" s="1"/>
  <c r="Q18" i="11"/>
  <c r="I11" i="12" s="1"/>
  <c r="M11" i="12" s="1"/>
  <c r="N11" i="12" s="1"/>
  <c r="Q11" i="11"/>
  <c r="I4" i="12" s="1"/>
  <c r="M4" i="12" s="1"/>
  <c r="N4" i="12" s="1"/>
  <c r="Q9" i="11"/>
  <c r="I2" i="12" s="1"/>
  <c r="AB39" i="11"/>
  <c r="W39" i="11"/>
  <c r="Z39" i="11" s="1"/>
  <c r="V39" i="11"/>
  <c r="R39" i="11"/>
  <c r="S39" i="11" s="1"/>
  <c r="AB38" i="11"/>
  <c r="W38" i="11"/>
  <c r="Z38" i="11" s="1"/>
  <c r="V38" i="11"/>
  <c r="R38" i="11"/>
  <c r="AB37" i="11"/>
  <c r="W37" i="11"/>
  <c r="Z37" i="11" s="1"/>
  <c r="V37" i="11"/>
  <c r="R37" i="11"/>
  <c r="S37" i="11" s="1"/>
  <c r="AB36" i="11"/>
  <c r="W36" i="11"/>
  <c r="Z36" i="11" s="1"/>
  <c r="V36" i="11"/>
  <c r="R36" i="11"/>
  <c r="AB35" i="11"/>
  <c r="W35" i="11"/>
  <c r="Z35" i="11" s="1"/>
  <c r="V35" i="11"/>
  <c r="R35" i="11"/>
  <c r="AB34" i="11"/>
  <c r="W34" i="11"/>
  <c r="V34" i="11"/>
  <c r="R34" i="11"/>
  <c r="S34" i="11" s="1"/>
  <c r="AB33" i="11"/>
  <c r="W33" i="11"/>
  <c r="Z33" i="11" s="1"/>
  <c r="V33" i="11"/>
  <c r="R33" i="11"/>
  <c r="AB32" i="11"/>
  <c r="W32" i="11"/>
  <c r="Z32" i="11" s="1"/>
  <c r="V32" i="11"/>
  <c r="R32" i="11"/>
  <c r="AF31" i="11"/>
  <c r="AB31" i="11"/>
  <c r="W31" i="11"/>
  <c r="Z31" i="11" s="1"/>
  <c r="V31" i="11"/>
  <c r="R31" i="11"/>
  <c r="S31" i="11" s="1"/>
  <c r="AB30" i="11"/>
  <c r="W30" i="11"/>
  <c r="Z30" i="11" s="1"/>
  <c r="V30" i="11"/>
  <c r="R30" i="11"/>
  <c r="AF28" i="11"/>
  <c r="AB28" i="11"/>
  <c r="W28" i="11"/>
  <c r="V28" i="11"/>
  <c r="R28" i="11"/>
  <c r="S28" i="11" s="1"/>
  <c r="AB26" i="11"/>
  <c r="W26" i="11"/>
  <c r="Z26" i="11" s="1"/>
  <c r="V26" i="11"/>
  <c r="R26" i="11"/>
  <c r="AB24" i="11"/>
  <c r="W24" i="11"/>
  <c r="V24" i="11"/>
  <c r="R24" i="11"/>
  <c r="AB23" i="11"/>
  <c r="W23" i="11"/>
  <c r="V23" i="11"/>
  <c r="R23" i="11"/>
  <c r="S23" i="11" s="1"/>
  <c r="AB22" i="11"/>
  <c r="W22" i="11"/>
  <c r="Z22" i="11" s="1"/>
  <c r="V22" i="11"/>
  <c r="R22" i="11"/>
  <c r="AB21" i="11"/>
  <c r="W21" i="11"/>
  <c r="Z21" i="11" s="1"/>
  <c r="V21" i="11"/>
  <c r="R21" i="11"/>
  <c r="AB20" i="11"/>
  <c r="W20" i="11"/>
  <c r="V20" i="11"/>
  <c r="R20" i="11"/>
  <c r="S20" i="11" s="1"/>
  <c r="AB19" i="11"/>
  <c r="W19" i="11"/>
  <c r="Z19" i="11" s="1"/>
  <c r="V19" i="11"/>
  <c r="R19" i="11"/>
  <c r="AB18" i="11"/>
  <c r="W18" i="11"/>
  <c r="Z18" i="11" s="1"/>
  <c r="V18" i="11"/>
  <c r="R18" i="11"/>
  <c r="AB16" i="11"/>
  <c r="W16" i="11"/>
  <c r="V16" i="11"/>
  <c r="R16" i="11"/>
  <c r="S16" i="11" s="1"/>
  <c r="AB14" i="11"/>
  <c r="W14" i="11"/>
  <c r="V14" i="11"/>
  <c r="R14" i="11"/>
  <c r="AB13" i="11"/>
  <c r="W13" i="11"/>
  <c r="Z13" i="11" s="1"/>
  <c r="V13" i="11"/>
  <c r="R13" i="11"/>
  <c r="AB12" i="11"/>
  <c r="W12" i="11"/>
  <c r="V12" i="11"/>
  <c r="R12" i="11"/>
  <c r="S12" i="11" s="1"/>
  <c r="AB11" i="11"/>
  <c r="W11" i="11"/>
  <c r="Z11" i="11" s="1"/>
  <c r="V11" i="11"/>
  <c r="R11" i="11"/>
  <c r="Z10" i="11"/>
  <c r="R10" i="11"/>
  <c r="AB9" i="11"/>
  <c r="W9" i="11"/>
  <c r="Z9" i="11" s="1"/>
  <c r="V9" i="11"/>
  <c r="R9" i="11"/>
  <c r="W6" i="11"/>
  <c r="V6" i="11"/>
  <c r="U6" i="11"/>
  <c r="X38" i="11" s="1"/>
  <c r="M6" i="11"/>
  <c r="N6" i="11" s="1"/>
  <c r="O6" i="11" s="1"/>
  <c r="P6" i="11" s="1"/>
  <c r="Q19" i="11" l="1"/>
  <c r="I12" i="12" s="1"/>
  <c r="I17" i="12"/>
  <c r="M17" i="12" s="1"/>
  <c r="Y23" i="11"/>
  <c r="X13" i="11"/>
  <c r="X23" i="11"/>
  <c r="D25" i="12"/>
  <c r="Y14" i="11"/>
  <c r="I28" i="12"/>
  <c r="Q12" i="11"/>
  <c r="Q22" i="11"/>
  <c r="I15" i="12" s="1"/>
  <c r="D44" i="12"/>
  <c r="D11" i="12"/>
  <c r="D4" i="12"/>
  <c r="D46" i="12"/>
  <c r="D5" i="12"/>
  <c r="D47" i="12"/>
  <c r="D24" i="12"/>
  <c r="D28" i="12"/>
  <c r="D33" i="12"/>
  <c r="D38" i="12"/>
  <c r="D40" i="12"/>
  <c r="D39" i="12"/>
  <c r="D2" i="12"/>
  <c r="D42" i="12"/>
  <c r="D14" i="12"/>
  <c r="D41" i="12"/>
  <c r="D43" i="12"/>
  <c r="D10" i="12"/>
  <c r="O4" i="12"/>
  <c r="E4" i="12" s="1"/>
  <c r="O20" i="12"/>
  <c r="P20" i="12" s="1"/>
  <c r="E26" i="12"/>
  <c r="E9" i="12"/>
  <c r="E29" i="12"/>
  <c r="M30" i="12"/>
  <c r="N30" i="12" s="1"/>
  <c r="E25" i="12"/>
  <c r="E6" i="12"/>
  <c r="M14" i="12"/>
  <c r="D19" i="12" s="1"/>
  <c r="O17" i="12"/>
  <c r="E14" i="12" s="1"/>
  <c r="E15" i="12"/>
  <c r="E34" i="12"/>
  <c r="E24" i="12"/>
  <c r="E8" i="12"/>
  <c r="E23" i="12"/>
  <c r="M18" i="12"/>
  <c r="N18" i="12" s="1"/>
  <c r="M2" i="12"/>
  <c r="D45" i="12" s="1"/>
  <c r="E28" i="12"/>
  <c r="E11" i="12"/>
  <c r="M15" i="12"/>
  <c r="N15" i="12" s="1"/>
  <c r="O18" i="12"/>
  <c r="P18" i="12" s="1"/>
  <c r="M31" i="12"/>
  <c r="D12" i="12" s="1"/>
  <c r="O2" i="12"/>
  <c r="E2" i="12" s="1"/>
  <c r="M12" i="12"/>
  <c r="N12" i="12" s="1"/>
  <c r="O15" i="12"/>
  <c r="P15" i="12" s="1"/>
  <c r="M28" i="12"/>
  <c r="N28" i="12" s="1"/>
  <c r="O31" i="12"/>
  <c r="E32" i="12" s="1"/>
  <c r="E20" i="12"/>
  <c r="M19" i="12"/>
  <c r="D26" i="12" s="1"/>
  <c r="E27" i="12"/>
  <c r="E30" i="12"/>
  <c r="N16" i="12"/>
  <c r="P19" i="12"/>
  <c r="N32" i="12"/>
  <c r="M13" i="12"/>
  <c r="N13" i="12" s="1"/>
  <c r="O16" i="12"/>
  <c r="E37" i="12" s="1"/>
  <c r="M29" i="12"/>
  <c r="N29" i="12" s="1"/>
  <c r="O32" i="12"/>
  <c r="P32" i="12" s="1"/>
  <c r="E7" i="12"/>
  <c r="M3" i="12"/>
  <c r="N3" i="12" s="1"/>
  <c r="M10" i="12"/>
  <c r="N10" i="12" s="1"/>
  <c r="O13" i="12"/>
  <c r="P13" i="12" s="1"/>
  <c r="M26" i="12"/>
  <c r="N26" i="12" s="1"/>
  <c r="O29" i="12"/>
  <c r="E10" i="12"/>
  <c r="Y26" i="11"/>
  <c r="X37" i="11"/>
  <c r="X19" i="11"/>
  <c r="Y24" i="11"/>
  <c r="Y34" i="11"/>
  <c r="Y18" i="11"/>
  <c r="Y20" i="11"/>
  <c r="Y12" i="11"/>
  <c r="Y30" i="11"/>
  <c r="Y38" i="11"/>
  <c r="Z24" i="11"/>
  <c r="X32" i="11"/>
  <c r="X31" i="11"/>
  <c r="Y32" i="11"/>
  <c r="X36" i="11"/>
  <c r="Z14" i="11"/>
  <c r="Y36" i="11"/>
  <c r="Z6" i="11"/>
  <c r="AA39" i="11" s="1"/>
  <c r="Y19" i="11"/>
  <c r="X12" i="11"/>
  <c r="Z12" i="11" s="1"/>
  <c r="X18" i="11"/>
  <c r="X22" i="11"/>
  <c r="Y37" i="11"/>
  <c r="X14" i="11"/>
  <c r="Y22" i="11"/>
  <c r="X28" i="11"/>
  <c r="Y28" i="11"/>
  <c r="X33" i="11"/>
  <c r="Y33" i="11"/>
  <c r="X34" i="11"/>
  <c r="Z34" i="11"/>
  <c r="Y31" i="11"/>
  <c r="Y11" i="11"/>
  <c r="X35" i="11"/>
  <c r="X16" i="11"/>
  <c r="Y35" i="11"/>
  <c r="X30" i="11"/>
  <c r="X20" i="11"/>
  <c r="X39" i="11"/>
  <c r="Y16" i="11"/>
  <c r="X21" i="11"/>
  <c r="Y21" i="11"/>
  <c r="X26" i="11"/>
  <c r="Y39" i="11"/>
  <c r="X9" i="11"/>
  <c r="Y9" i="11"/>
  <c r="X11" i="11"/>
  <c r="Y13" i="11"/>
  <c r="X24" i="11"/>
  <c r="AF28" i="9"/>
  <c r="AF31" i="9"/>
  <c r="N17" i="12" l="1"/>
  <c r="D22" i="12"/>
  <c r="D23" i="12"/>
  <c r="D18" i="12"/>
  <c r="D37" i="12"/>
  <c r="D27" i="12"/>
  <c r="E22" i="12"/>
  <c r="I5" i="12"/>
  <c r="M5" i="12" s="1"/>
  <c r="N5" i="12" s="1"/>
  <c r="Q13" i="11"/>
  <c r="D36" i="12"/>
  <c r="D15" i="12"/>
  <c r="D32" i="12"/>
  <c r="D21" i="12"/>
  <c r="D20" i="12"/>
  <c r="E21" i="12"/>
  <c r="D3" i="12"/>
  <c r="E3" i="12"/>
  <c r="E5" i="12"/>
  <c r="D35" i="12"/>
  <c r="D34" i="12"/>
  <c r="E18" i="12"/>
  <c r="D17" i="12"/>
  <c r="D29" i="12"/>
  <c r="D31" i="12"/>
  <c r="D30" i="12"/>
  <c r="E13" i="12"/>
  <c r="E12" i="12"/>
  <c r="E36" i="12"/>
  <c r="D13" i="12"/>
  <c r="D16" i="12"/>
  <c r="E16" i="12"/>
  <c r="E19" i="12"/>
  <c r="E17" i="12"/>
  <c r="E33" i="12"/>
  <c r="P2" i="12"/>
  <c r="N19" i="12"/>
  <c r="P31" i="12"/>
  <c r="N14" i="12"/>
  <c r="N31" i="12"/>
  <c r="N2" i="12"/>
  <c r="E35" i="12"/>
  <c r="P17" i="12"/>
  <c r="P4" i="12"/>
  <c r="E31" i="12"/>
  <c r="P16" i="12"/>
  <c r="P29" i="12"/>
  <c r="AA22" i="11"/>
  <c r="AA36" i="11"/>
  <c r="AA13" i="11"/>
  <c r="AA19" i="11"/>
  <c r="AA35" i="11"/>
  <c r="Z16" i="11"/>
  <c r="AA12" i="11"/>
  <c r="AA21" i="11"/>
  <c r="AA14" i="11"/>
  <c r="AA30" i="11"/>
  <c r="AA26" i="11"/>
  <c r="AA34" i="11"/>
  <c r="AA38" i="11"/>
  <c r="AA18" i="11"/>
  <c r="AA9" i="11"/>
  <c r="AA32" i="11"/>
  <c r="AA11" i="11"/>
  <c r="AA31" i="11"/>
  <c r="AA37" i="11"/>
  <c r="AA24" i="11"/>
  <c r="AA33" i="11"/>
  <c r="R23" i="9"/>
  <c r="S23" i="9" s="1"/>
  <c r="I6" i="12" l="1"/>
  <c r="M6" i="12" s="1"/>
  <c r="Q14" i="11"/>
  <c r="I7" i="12" s="1"/>
  <c r="M7" i="12" s="1"/>
  <c r="AA16" i="11"/>
  <c r="Z20" i="11"/>
  <c r="AB23" i="9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21" i="5"/>
  <c r="AB28" i="9"/>
  <c r="AB24" i="9"/>
  <c r="R24" i="9"/>
  <c r="R21" i="9"/>
  <c r="AB21" i="9"/>
  <c r="AB22" i="9"/>
  <c r="R12" i="9"/>
  <c r="S12" i="9" s="1"/>
  <c r="N7" i="12" l="1"/>
  <c r="D8" i="12"/>
  <c r="D9" i="12"/>
  <c r="N6" i="12"/>
  <c r="D6" i="12"/>
  <c r="D7" i="12"/>
  <c r="Z23" i="11"/>
  <c r="AA20" i="11"/>
  <c r="AB39" i="9"/>
  <c r="AB12" i="9"/>
  <c r="AB11" i="9"/>
  <c r="AB13" i="9"/>
  <c r="AB14" i="9"/>
  <c r="AB16" i="9"/>
  <c r="AB18" i="9"/>
  <c r="AB19" i="9"/>
  <c r="AB20" i="9"/>
  <c r="AB26" i="9"/>
  <c r="AB30" i="9"/>
  <c r="AB31" i="9"/>
  <c r="AB32" i="9"/>
  <c r="AB33" i="9"/>
  <c r="AB34" i="9"/>
  <c r="AB35" i="9"/>
  <c r="AB36" i="9"/>
  <c r="AB37" i="9"/>
  <c r="AB38" i="9"/>
  <c r="AB9" i="9"/>
  <c r="R39" i="9"/>
  <c r="S39" i="9" s="1"/>
  <c r="R38" i="9"/>
  <c r="R37" i="9"/>
  <c r="S37" i="9" s="1"/>
  <c r="R36" i="9"/>
  <c r="R35" i="9"/>
  <c r="R34" i="9"/>
  <c r="S34" i="9" s="1"/>
  <c r="R33" i="9"/>
  <c r="R32" i="9"/>
  <c r="R31" i="9"/>
  <c r="S31" i="9" s="1"/>
  <c r="R30" i="9"/>
  <c r="R28" i="9"/>
  <c r="S28" i="9" s="1"/>
  <c r="R26" i="9"/>
  <c r="R22" i="9"/>
  <c r="R20" i="9"/>
  <c r="S20" i="9" s="1"/>
  <c r="R19" i="9"/>
  <c r="R18" i="9"/>
  <c r="R16" i="9"/>
  <c r="S16" i="9" s="1"/>
  <c r="R14" i="9"/>
  <c r="R13" i="9"/>
  <c r="R11" i="9"/>
  <c r="R9" i="9"/>
  <c r="R10" i="9"/>
  <c r="W39" i="9"/>
  <c r="V39" i="9"/>
  <c r="W38" i="9"/>
  <c r="Z38" i="9" s="1"/>
  <c r="V38" i="9"/>
  <c r="W37" i="9"/>
  <c r="V37" i="9"/>
  <c r="W36" i="9"/>
  <c r="Z36" i="9" s="1"/>
  <c r="V36" i="9"/>
  <c r="W35" i="9"/>
  <c r="V35" i="9"/>
  <c r="W34" i="9"/>
  <c r="Z34" i="9" s="1"/>
  <c r="V34" i="9"/>
  <c r="W33" i="9"/>
  <c r="V33" i="9"/>
  <c r="W32" i="9"/>
  <c r="Z32" i="9" s="1"/>
  <c r="V32" i="9"/>
  <c r="W31" i="9"/>
  <c r="V31" i="9"/>
  <c r="W30" i="9"/>
  <c r="Z30" i="9" s="1"/>
  <c r="V30" i="9"/>
  <c r="W28" i="9"/>
  <c r="V28" i="9"/>
  <c r="W26" i="9"/>
  <c r="Z26" i="9" s="1"/>
  <c r="V26" i="9"/>
  <c r="W24" i="9"/>
  <c r="Z24" i="9" s="1"/>
  <c r="V24" i="9"/>
  <c r="W23" i="9"/>
  <c r="V23" i="9"/>
  <c r="W22" i="9"/>
  <c r="Z22" i="9" s="1"/>
  <c r="V22" i="9"/>
  <c r="W21" i="9"/>
  <c r="Z21" i="9" s="1"/>
  <c r="V21" i="9"/>
  <c r="W20" i="9"/>
  <c r="V20" i="9"/>
  <c r="W19" i="9"/>
  <c r="Z19" i="9" s="1"/>
  <c r="V19" i="9"/>
  <c r="W18" i="9"/>
  <c r="Z18" i="9" s="1"/>
  <c r="V18" i="9"/>
  <c r="W16" i="9"/>
  <c r="V16" i="9"/>
  <c r="W14" i="9"/>
  <c r="Z14" i="9" s="1"/>
  <c r="V14" i="9"/>
  <c r="W13" i="9"/>
  <c r="Z13" i="9" s="1"/>
  <c r="V13" i="9"/>
  <c r="W12" i="9"/>
  <c r="V12" i="9"/>
  <c r="W11" i="9"/>
  <c r="Z11" i="9" s="1"/>
  <c r="V11" i="9"/>
  <c r="Z10" i="9"/>
  <c r="W9" i="9"/>
  <c r="Z9" i="9" s="1"/>
  <c r="V9" i="9"/>
  <c r="W6" i="9"/>
  <c r="Z6" i="9" s="1"/>
  <c r="V6" i="9"/>
  <c r="U6" i="9"/>
  <c r="X24" i="9" s="1"/>
  <c r="M6" i="9"/>
  <c r="N6" i="9" s="1"/>
  <c r="O6" i="9" s="1"/>
  <c r="P6" i="9" s="1"/>
  <c r="Q6" i="9" s="1"/>
  <c r="AA23" i="11" l="1"/>
  <c r="Z28" i="11"/>
  <c r="AA28" i="11" s="1"/>
  <c r="X9" i="9"/>
  <c r="X11" i="9"/>
  <c r="X18" i="9"/>
  <c r="X13" i="9"/>
  <c r="X38" i="9"/>
  <c r="X21" i="9"/>
  <c r="X14" i="9"/>
  <c r="X16" i="9"/>
  <c r="X23" i="9"/>
  <c r="X36" i="9"/>
  <c r="AA24" i="9"/>
  <c r="Y33" i="9"/>
  <c r="X19" i="9"/>
  <c r="X22" i="9"/>
  <c r="X28" i="9"/>
  <c r="X30" i="9"/>
  <c r="X32" i="9"/>
  <c r="AA26" i="9"/>
  <c r="X12" i="9"/>
  <c r="Z12" i="9" s="1"/>
  <c r="X20" i="9"/>
  <c r="X34" i="9"/>
  <c r="Y23" i="9"/>
  <c r="Y12" i="9"/>
  <c r="Y37" i="9"/>
  <c r="AA9" i="9"/>
  <c r="Z33" i="9"/>
  <c r="AA33" i="9" s="1"/>
  <c r="Z37" i="9"/>
  <c r="AA37" i="9" s="1"/>
  <c r="Y31" i="9"/>
  <c r="Y35" i="9"/>
  <c r="Y39" i="9"/>
  <c r="AA14" i="9"/>
  <c r="AA19" i="9"/>
  <c r="Y26" i="9"/>
  <c r="Y28" i="9"/>
  <c r="Z31" i="9"/>
  <c r="AA31" i="9" s="1"/>
  <c r="Z35" i="9"/>
  <c r="AA35" i="9" s="1"/>
  <c r="Z39" i="9"/>
  <c r="AA39" i="9" s="1"/>
  <c r="AA13" i="9"/>
  <c r="AA18" i="9"/>
  <c r="AA21" i="9"/>
  <c r="AA32" i="9"/>
  <c r="AA36" i="9"/>
  <c r="AA11" i="9"/>
  <c r="AA22" i="9"/>
  <c r="AA30" i="9"/>
  <c r="AA34" i="9"/>
  <c r="AA38" i="9"/>
  <c r="Y11" i="9"/>
  <c r="Y13" i="9"/>
  <c r="Y18" i="9"/>
  <c r="Y24" i="9"/>
  <c r="Y9" i="9"/>
  <c r="Y16" i="9"/>
  <c r="Y30" i="9"/>
  <c r="Y32" i="9"/>
  <c r="Y34" i="9"/>
  <c r="Y36" i="9"/>
  <c r="Y38" i="9"/>
  <c r="Y14" i="9"/>
  <c r="Y19" i="9"/>
  <c r="Y21" i="9"/>
  <c r="X26" i="9"/>
  <c r="X31" i="9"/>
  <c r="X33" i="9"/>
  <c r="X35" i="9"/>
  <c r="X37" i="9"/>
  <c r="X39" i="9"/>
  <c r="Y20" i="9"/>
  <c r="Y22" i="9"/>
  <c r="Z16" i="9" l="1"/>
  <c r="AA12" i="9"/>
  <c r="O3" i="5"/>
  <c r="P3" i="5" s="1"/>
  <c r="K5" i="5"/>
  <c r="I5" i="5"/>
  <c r="M5" i="5" s="1"/>
  <c r="K4" i="5"/>
  <c r="I4" i="5"/>
  <c r="M4" i="5" s="1"/>
  <c r="K3" i="5"/>
  <c r="I3" i="5"/>
  <c r="M3" i="5" s="1"/>
  <c r="K2" i="5"/>
  <c r="I2" i="5"/>
  <c r="M2" i="5" s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2" i="5"/>
  <c r="K23" i="5"/>
  <c r="K24" i="5"/>
  <c r="K25" i="5"/>
  <c r="K26" i="5"/>
  <c r="K27" i="5"/>
  <c r="K28" i="5"/>
  <c r="K29" i="5"/>
  <c r="K30" i="5"/>
  <c r="K31" i="5"/>
  <c r="K32" i="5"/>
  <c r="K6" i="5"/>
  <c r="I25" i="5"/>
  <c r="M25" i="5" s="1"/>
  <c r="I26" i="5"/>
  <c r="I27" i="5"/>
  <c r="M27" i="5" s="1"/>
  <c r="I28" i="5"/>
  <c r="M28" i="5" s="1"/>
  <c r="I29" i="5"/>
  <c r="M29" i="5" s="1"/>
  <c r="I30" i="5"/>
  <c r="I31" i="5"/>
  <c r="I32" i="5"/>
  <c r="M32" i="5" s="1"/>
  <c r="I7" i="5"/>
  <c r="I8" i="5"/>
  <c r="M8" i="5" s="1"/>
  <c r="I9" i="5"/>
  <c r="M9" i="5" s="1"/>
  <c r="I10" i="5"/>
  <c r="I11" i="5"/>
  <c r="I12" i="5"/>
  <c r="M12" i="5" s="1"/>
  <c r="I13" i="5"/>
  <c r="M13" i="5" s="1"/>
  <c r="I14" i="5"/>
  <c r="I15" i="5"/>
  <c r="M15" i="5" s="1"/>
  <c r="I16" i="5"/>
  <c r="M16" i="5" s="1"/>
  <c r="I17" i="5"/>
  <c r="M17" i="5" s="1"/>
  <c r="I18" i="5"/>
  <c r="M18" i="5" s="1"/>
  <c r="I19" i="5"/>
  <c r="I20" i="5"/>
  <c r="M20" i="5" s="1"/>
  <c r="I21" i="5"/>
  <c r="M21" i="5" s="1"/>
  <c r="I22" i="5"/>
  <c r="M22" i="5" s="1"/>
  <c r="I23" i="5"/>
  <c r="I24" i="5"/>
  <c r="M24" i="5" s="1"/>
  <c r="I6" i="5"/>
  <c r="M6" i="5" s="1"/>
  <c r="AA16" i="9" l="1"/>
  <c r="N6" i="5"/>
  <c r="D48" i="5"/>
  <c r="D49" i="5"/>
  <c r="D44" i="5"/>
  <c r="Z20" i="9"/>
  <c r="M30" i="5"/>
  <c r="D6" i="5"/>
  <c r="N15" i="5"/>
  <c r="M19" i="5"/>
  <c r="D26" i="5" s="1"/>
  <c r="N27" i="5"/>
  <c r="M26" i="5"/>
  <c r="M14" i="5"/>
  <c r="M7" i="5"/>
  <c r="N3" i="5"/>
  <c r="M31" i="5"/>
  <c r="M23" i="5"/>
  <c r="M11" i="5"/>
  <c r="D3" i="5"/>
  <c r="D42" i="5"/>
  <c r="D34" i="5"/>
  <c r="D22" i="5"/>
  <c r="M10" i="5"/>
  <c r="N10" i="5" s="1"/>
  <c r="N2" i="5"/>
  <c r="D2" i="5" s="1"/>
  <c r="N29" i="5"/>
  <c r="N25" i="5"/>
  <c r="N21" i="5"/>
  <c r="N17" i="5"/>
  <c r="N13" i="5"/>
  <c r="N9" i="5"/>
  <c r="N5" i="5"/>
  <c r="D45" i="5"/>
  <c r="D37" i="5"/>
  <c r="D29" i="5"/>
  <c r="D25" i="5"/>
  <c r="D21" i="5"/>
  <c r="D17" i="5"/>
  <c r="D5" i="5"/>
  <c r="N22" i="5"/>
  <c r="N18" i="5"/>
  <c r="D38" i="5"/>
  <c r="D30" i="5"/>
  <c r="N32" i="5"/>
  <c r="N28" i="5"/>
  <c r="N24" i="5"/>
  <c r="D28" i="5" s="1"/>
  <c r="N20" i="5"/>
  <c r="N16" i="5"/>
  <c r="N12" i="5"/>
  <c r="D14" i="5" s="1"/>
  <c r="N8" i="5"/>
  <c r="D10" i="5" s="1"/>
  <c r="N4" i="5"/>
  <c r="D36" i="5"/>
  <c r="D24" i="5"/>
  <c r="D20" i="5"/>
  <c r="D16" i="5"/>
  <c r="D4" i="5"/>
  <c r="D43" i="5"/>
  <c r="D39" i="5"/>
  <c r="D35" i="5"/>
  <c r="D31" i="5"/>
  <c r="D23" i="5"/>
  <c r="D15" i="5"/>
  <c r="D11" i="5"/>
  <c r="D7" i="5"/>
  <c r="AE10" i="4"/>
  <c r="AE15" i="4"/>
  <c r="J8" i="5" s="1"/>
  <c r="O8" i="5" s="1"/>
  <c r="AE17" i="4"/>
  <c r="J10" i="5" s="1"/>
  <c r="O10" i="5" s="1"/>
  <c r="P10" i="5" s="1"/>
  <c r="AE25" i="4"/>
  <c r="J18" i="5" s="1"/>
  <c r="O18" i="5" s="1"/>
  <c r="P18" i="5" s="1"/>
  <c r="AE27" i="4"/>
  <c r="J20" i="5" s="1"/>
  <c r="O20" i="5" s="1"/>
  <c r="AE29" i="4"/>
  <c r="J22" i="5" s="1"/>
  <c r="O22" i="5" s="1"/>
  <c r="AA6" i="4"/>
  <c r="AA11" i="4"/>
  <c r="AA12" i="4"/>
  <c r="AA13" i="4"/>
  <c r="AA14" i="4"/>
  <c r="AA16" i="4"/>
  <c r="AA18" i="4"/>
  <c r="AA19" i="4"/>
  <c r="AA20" i="4"/>
  <c r="AA21" i="4"/>
  <c r="AA22" i="4"/>
  <c r="AA23" i="4"/>
  <c r="AA24" i="4"/>
  <c r="AA26" i="4"/>
  <c r="AA28" i="4"/>
  <c r="AA30" i="4"/>
  <c r="AA31" i="4"/>
  <c r="AA32" i="4"/>
  <c r="AA33" i="4"/>
  <c r="AA34" i="4"/>
  <c r="AA35" i="4"/>
  <c r="AA36" i="4"/>
  <c r="AA37" i="4"/>
  <c r="AA38" i="4"/>
  <c r="AA39" i="4"/>
  <c r="AA9" i="4"/>
  <c r="D27" i="5" l="1"/>
  <c r="P22" i="5"/>
  <c r="P8" i="5"/>
  <c r="P20" i="5"/>
  <c r="Z23" i="9"/>
  <c r="N31" i="5"/>
  <c r="N26" i="5"/>
  <c r="N30" i="5"/>
  <c r="D13" i="5"/>
  <c r="N7" i="5"/>
  <c r="N19" i="5"/>
  <c r="D47" i="5"/>
  <c r="N14" i="5"/>
  <c r="D18" i="5"/>
  <c r="D40" i="5"/>
  <c r="D41" i="5"/>
  <c r="N23" i="5"/>
  <c r="D46" i="5"/>
  <c r="D19" i="5"/>
  <c r="AA20" i="9"/>
  <c r="D8" i="5"/>
  <c r="D9" i="5"/>
  <c r="N11" i="5"/>
  <c r="D12" i="5"/>
  <c r="D32" i="5"/>
  <c r="D33" i="5"/>
  <c r="AB6" i="4"/>
  <c r="AB9" i="4"/>
  <c r="AB11" i="4"/>
  <c r="AB12" i="4"/>
  <c r="AB13" i="4"/>
  <c r="AE13" i="4" s="1"/>
  <c r="J6" i="5" s="1"/>
  <c r="AB14" i="4"/>
  <c r="AE14" i="4" s="1"/>
  <c r="J7" i="5" s="1"/>
  <c r="AB16" i="4"/>
  <c r="AB18" i="4"/>
  <c r="AE18" i="4" s="1"/>
  <c r="J11" i="5" s="1"/>
  <c r="AB19" i="4"/>
  <c r="AE19" i="4" s="1"/>
  <c r="J12" i="5" s="1"/>
  <c r="AB20" i="4"/>
  <c r="AB21" i="4"/>
  <c r="AB22" i="4"/>
  <c r="AE22" i="4" s="1"/>
  <c r="J15" i="5" s="1"/>
  <c r="AB23" i="4"/>
  <c r="AB24" i="4"/>
  <c r="AB26" i="4"/>
  <c r="AB28" i="4"/>
  <c r="AB30" i="4"/>
  <c r="AB31" i="4"/>
  <c r="AB32" i="4"/>
  <c r="AB33" i="4"/>
  <c r="AB34" i="4"/>
  <c r="AB35" i="4"/>
  <c r="AB36" i="4"/>
  <c r="AB37" i="4"/>
  <c r="AB38" i="4"/>
  <c r="AB39" i="4"/>
  <c r="K6" i="4"/>
  <c r="L6" i="4" s="1"/>
  <c r="M6" i="4" s="1"/>
  <c r="N6" i="4" s="1"/>
  <c r="O6" i="4" s="1"/>
  <c r="AA23" i="9" l="1"/>
  <c r="Z28" i="9"/>
  <c r="O7" i="5"/>
  <c r="P7" i="5" s="1"/>
  <c r="O12" i="5"/>
  <c r="P12" i="5" s="1"/>
  <c r="O6" i="5"/>
  <c r="P6" i="5" s="1"/>
  <c r="O15" i="5"/>
  <c r="P15" i="5" s="1"/>
  <c r="O11" i="5"/>
  <c r="P11" i="5" s="1"/>
  <c r="AE6" i="4"/>
  <c r="AE35" i="4"/>
  <c r="J28" i="5" s="1"/>
  <c r="AE31" i="4"/>
  <c r="J24" i="5" s="1"/>
  <c r="AE24" i="4"/>
  <c r="J17" i="5" s="1"/>
  <c r="AE9" i="4"/>
  <c r="J2" i="5" s="1"/>
  <c r="AE36" i="4"/>
  <c r="J29" i="5" s="1"/>
  <c r="AE26" i="4"/>
  <c r="J19" i="5" s="1"/>
  <c r="AE11" i="4"/>
  <c r="J4" i="5" s="1"/>
  <c r="AE38" i="4"/>
  <c r="J31" i="5" s="1"/>
  <c r="AE34" i="4"/>
  <c r="J27" i="5" s="1"/>
  <c r="AE30" i="4"/>
  <c r="J23" i="5" s="1"/>
  <c r="AE32" i="4"/>
  <c r="J25" i="5" s="1"/>
  <c r="AE21" i="4"/>
  <c r="J14" i="5" s="1"/>
  <c r="AE39" i="4"/>
  <c r="J32" i="5" s="1"/>
  <c r="AE37" i="4"/>
  <c r="AE33" i="4"/>
  <c r="J26" i="5" s="1"/>
  <c r="Z6" i="4"/>
  <c r="AD35" i="4" s="1"/>
  <c r="AA28" i="9" l="1"/>
  <c r="AF13" i="4"/>
  <c r="O32" i="5"/>
  <c r="P32" i="5" s="1"/>
  <c r="O24" i="5"/>
  <c r="P24" i="5" s="1"/>
  <c r="O14" i="5"/>
  <c r="P14" i="5" s="1"/>
  <c r="O27" i="5"/>
  <c r="P27" i="5" s="1"/>
  <c r="O29" i="5"/>
  <c r="P29" i="5" s="1"/>
  <c r="O28" i="5"/>
  <c r="P28" i="5" s="1"/>
  <c r="E20" i="5"/>
  <c r="E21" i="5"/>
  <c r="E14" i="5"/>
  <c r="E15" i="5"/>
  <c r="O19" i="5"/>
  <c r="P19" i="5" s="1"/>
  <c r="O31" i="5"/>
  <c r="P31" i="5" s="1"/>
  <c r="O2" i="5"/>
  <c r="P2" i="5" s="1"/>
  <c r="O23" i="5"/>
  <c r="P23" i="5" s="1"/>
  <c r="O26" i="5"/>
  <c r="P26" i="5" s="1"/>
  <c r="O25" i="5"/>
  <c r="P25" i="5" s="1"/>
  <c r="AF37" i="4"/>
  <c r="J30" i="5"/>
  <c r="O4" i="5"/>
  <c r="P4" i="5" s="1"/>
  <c r="O17" i="5"/>
  <c r="P17" i="5" s="1"/>
  <c r="E13" i="5"/>
  <c r="E12" i="5"/>
  <c r="E6" i="5"/>
  <c r="E7" i="5"/>
  <c r="E8" i="5"/>
  <c r="E9" i="5"/>
  <c r="AF39" i="4"/>
  <c r="AF33" i="4"/>
  <c r="AF32" i="4"/>
  <c r="AF38" i="4"/>
  <c r="AF9" i="4"/>
  <c r="AF35" i="4"/>
  <c r="AF11" i="4"/>
  <c r="AF14" i="4"/>
  <c r="AF18" i="4"/>
  <c r="AF30" i="4"/>
  <c r="AF26" i="4"/>
  <c r="AF24" i="4"/>
  <c r="AF22" i="4"/>
  <c r="AF21" i="4"/>
  <c r="AF34" i="4"/>
  <c r="AF36" i="4"/>
  <c r="AF31" i="4"/>
  <c r="AF19" i="4"/>
  <c r="AD33" i="4"/>
  <c r="AD26" i="4"/>
  <c r="AD31" i="4"/>
  <c r="AD12" i="4"/>
  <c r="AD22" i="4"/>
  <c r="AD39" i="4"/>
  <c r="AD32" i="4"/>
  <c r="AD19" i="4"/>
  <c r="AD30" i="4"/>
  <c r="AD9" i="4"/>
  <c r="AD11" i="4"/>
  <c r="AD36" i="4"/>
  <c r="AD24" i="4"/>
  <c r="AC38" i="4"/>
  <c r="AC36" i="4"/>
  <c r="AC34" i="4"/>
  <c r="AC32" i="4"/>
  <c r="AC30" i="4"/>
  <c r="AC26" i="4"/>
  <c r="AC23" i="4"/>
  <c r="AC19" i="4"/>
  <c r="AC16" i="4"/>
  <c r="AC13" i="4"/>
  <c r="AC39" i="4"/>
  <c r="AC37" i="4"/>
  <c r="AC35" i="4"/>
  <c r="AC33" i="4"/>
  <c r="AC31" i="4"/>
  <c r="AC28" i="4"/>
  <c r="AC24" i="4"/>
  <c r="AC22" i="4"/>
  <c r="AC20" i="4"/>
  <c r="AC18" i="4"/>
  <c r="AC14" i="4"/>
  <c r="AC12" i="4"/>
  <c r="AE12" i="4" s="1"/>
  <c r="J5" i="5" s="1"/>
  <c r="O5" i="5" s="1"/>
  <c r="P5" i="5" s="1"/>
  <c r="AC9" i="4"/>
  <c r="AC21" i="4"/>
  <c r="AC11" i="4"/>
  <c r="AD38" i="4"/>
  <c r="AD20" i="4"/>
  <c r="AD37" i="4"/>
  <c r="AD21" i="4"/>
  <c r="AD18" i="4"/>
  <c r="AD28" i="4"/>
  <c r="AD13" i="4"/>
  <c r="AD23" i="4"/>
  <c r="AD34" i="4"/>
  <c r="AD14" i="4"/>
  <c r="AD16" i="4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AE16" i="4" l="1"/>
  <c r="J9" i="5" s="1"/>
  <c r="O30" i="5"/>
  <c r="P30" i="5" s="1"/>
  <c r="E23" i="5"/>
  <c r="E22" i="5"/>
  <c r="O9" i="5"/>
  <c r="E42" i="5"/>
  <c r="E43" i="5"/>
  <c r="E36" i="5"/>
  <c r="E37" i="5"/>
  <c r="E34" i="5"/>
  <c r="E35" i="5"/>
  <c r="E33" i="5"/>
  <c r="E32" i="5"/>
  <c r="E29" i="5"/>
  <c r="E28" i="5"/>
  <c r="E4" i="5"/>
  <c r="E5" i="5"/>
  <c r="E30" i="5"/>
  <c r="E31" i="5"/>
  <c r="E46" i="5"/>
  <c r="E47" i="5"/>
  <c r="E2" i="5"/>
  <c r="E3" i="5"/>
  <c r="E26" i="5"/>
  <c r="E27" i="5"/>
  <c r="E39" i="5"/>
  <c r="E38" i="5"/>
  <c r="E18" i="5"/>
  <c r="E19" i="5"/>
  <c r="E44" i="5"/>
  <c r="E45" i="5"/>
  <c r="AF12" i="4"/>
  <c r="P9" i="5" l="1"/>
  <c r="E11" i="5"/>
  <c r="E10" i="5"/>
  <c r="E40" i="5"/>
  <c r="E41" i="5"/>
  <c r="AF16" i="4"/>
  <c r="AE20" i="4" l="1"/>
  <c r="AE23" i="4" l="1"/>
  <c r="J16" i="5" s="1"/>
  <c r="J13" i="5"/>
  <c r="AF20" i="4"/>
  <c r="AE28" i="4" l="1"/>
  <c r="AG28" i="4" s="1"/>
  <c r="AF23" i="4"/>
  <c r="O13" i="5"/>
  <c r="P13" i="5" s="1"/>
  <c r="O16" i="5"/>
  <c r="P16" i="5" s="1"/>
  <c r="J21" i="5" l="1"/>
  <c r="O21" i="5" s="1"/>
  <c r="P21" i="5" s="1"/>
  <c r="AF28" i="4"/>
  <c r="E48" i="5"/>
  <c r="E49" i="5"/>
  <c r="E17" i="5"/>
  <c r="E16" i="5"/>
  <c r="E24" i="5" l="1"/>
  <c r="E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Sarvepalli, Venkat</author>
  </authors>
  <commentList>
    <comment ref="Q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LOC is field in CUBE network that maps to this segment link.</t>
        </r>
      </text>
    </comment>
    <comment ref="AE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Revised 2040 numbers to see a smotth diminishing curve.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Sarvepalli, Venkat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LOC is field in CUBE network that maps to this segment link.</t>
        </r>
      </text>
    </comment>
    <comment ref="Z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Revised 2040 numbers to see a smotth diminishing curve.</t>
        </r>
      </text>
    </comment>
    <comment ref="D3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2040: 22000 /2 = ~11000 exit</t>
        </r>
      </text>
    </comment>
    <comment ref="J3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2040: 27800 /2 = ~14000 exit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Sarvepalli, Venkat</author>
  </authors>
  <commentList>
    <comment ref="D7" authorId="0" shapeId="0" xr:uid="{7C520B24-BBE4-4A33-9D4E-E11483C0204B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LOC is field in CUBE network that maps to this segment link.</t>
        </r>
      </text>
    </comment>
    <comment ref="Z12" authorId="0" shapeId="0" xr:uid="{B0EBBA7E-A4C5-46E3-AA19-1EB203DAF2B1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Revised 2040 numbers to see a smotth diminishing curve.</t>
        </r>
      </text>
    </comment>
    <comment ref="D32" authorId="0" shapeId="0" xr:uid="{A198A9C0-88DA-4E79-87A9-72D111EEEEF3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2040: 22000 /2 = ~11000 exit</t>
        </r>
      </text>
    </comment>
    <comment ref="J33" authorId="0" shapeId="0" xr:uid="{2290F801-3876-4835-9E7E-F2836DD1009C}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2040: 27800 /2 = ~14000 exit
</t>
        </r>
      </text>
    </comment>
  </commentList>
</comments>
</file>

<file path=xl/sharedStrings.xml><?xml version="1.0" encoding="utf-8"?>
<sst xmlns="http://schemas.openxmlformats.org/spreadsheetml/2006/main" count="301" uniqueCount="87">
  <si>
    <t>VETERAN'S EXPRESSWAY</t>
  </si>
  <si>
    <t>FY 2017</t>
  </si>
  <si>
    <t>Indexed Passenger</t>
  </si>
  <si>
    <t>Car Toll</t>
  </si>
  <si>
    <t>FY</t>
  </si>
  <si>
    <t>Milepost - Description</t>
  </si>
  <si>
    <t>SunPass</t>
  </si>
  <si>
    <t>TBP</t>
  </si>
  <si>
    <t>16 - Dale Mabry Highway</t>
  </si>
  <si>
    <t>13 - Suncoast Parkway</t>
  </si>
  <si>
    <t>12 - Hutchison Road</t>
  </si>
  <si>
    <t>11 - SUGARWOOD PLAZA</t>
  </si>
  <si>
    <t>10 - Ehrlich Road</t>
  </si>
  <si>
    <t>9 - Gunn Highway</t>
  </si>
  <si>
    <t>8 - Wilsky Boulevard</t>
  </si>
  <si>
    <t>7 - Linebaugh Avenue</t>
  </si>
  <si>
    <t>6 - ANDERSON PLAZA</t>
  </si>
  <si>
    <t>6B - Anderson Road</t>
  </si>
  <si>
    <t>6A - Waters Avenue</t>
  </si>
  <si>
    <t>4 - Hillsborough Avenue</t>
  </si>
  <si>
    <t>3 - Memorial Highway</t>
  </si>
  <si>
    <t>To Tampa Int'l</t>
  </si>
  <si>
    <t>Airport &amp; I-275</t>
  </si>
  <si>
    <t>Existing or Programmed:</t>
  </si>
  <si>
    <t>Roadway segment 4 lanes</t>
  </si>
  <si>
    <t>Roadway segment 8 lanes</t>
  </si>
  <si>
    <t xml:space="preserve">  Milepost - Description</t>
  </si>
  <si>
    <t>AADT</t>
  </si>
  <si>
    <t>VETERANS EXPRESSWAY</t>
  </si>
  <si>
    <t>Ingress</t>
  </si>
  <si>
    <t>Egress</t>
  </si>
  <si>
    <t>EL Lanes</t>
  </si>
  <si>
    <t>GU Lanes</t>
  </si>
  <si>
    <t>Ramps</t>
  </si>
  <si>
    <t>TEAR</t>
  </si>
  <si>
    <t>TRENDS</t>
  </si>
  <si>
    <t>2026-2027</t>
  </si>
  <si>
    <t>2027-2040</t>
  </si>
  <si>
    <t>Revised</t>
  </si>
  <si>
    <t>Growth Rates</t>
  </si>
  <si>
    <t>For Analyst</t>
  </si>
  <si>
    <t>Revision - 2</t>
  </si>
  <si>
    <t>M:\Projects\Veterans ELToDv2.2 2017\Analysis &amp; Profiles</t>
  </si>
  <si>
    <t>LOC</t>
  </si>
  <si>
    <t>A</t>
  </si>
  <si>
    <t>B</t>
  </si>
  <si>
    <t>CNT_2020</t>
  </si>
  <si>
    <t>CNT_2040</t>
  </si>
  <si>
    <t>NB-Split</t>
  </si>
  <si>
    <t>LOC_SB</t>
  </si>
  <si>
    <t>LOC_NB</t>
  </si>
  <si>
    <t>2020_NB</t>
  </si>
  <si>
    <t>2020_SB</t>
  </si>
  <si>
    <t>2040_NB</t>
  </si>
  <si>
    <t>2040_SB</t>
  </si>
  <si>
    <t>LOC_check</t>
  </si>
  <si>
    <t>;Hours</t>
  </si>
  <si>
    <t>ODME Validation</t>
  </si>
  <si>
    <t>ODME</t>
  </si>
  <si>
    <t>ODME_2020</t>
  </si>
  <si>
    <t>ODME_2040</t>
  </si>
  <si>
    <t>SB - AADT</t>
  </si>
  <si>
    <t>NB - AADT</t>
  </si>
  <si>
    <t>NB - AAWDT</t>
  </si>
  <si>
    <t>SB - AAWDT</t>
  </si>
  <si>
    <t>Old Vets</t>
  </si>
  <si>
    <t>HEFT v4</t>
  </si>
  <si>
    <t>VETS v4</t>
  </si>
  <si>
    <t>VETS v5</t>
  </si>
  <si>
    <t>VETS v6</t>
  </si>
  <si>
    <t>Adj NB</t>
  </si>
  <si>
    <t>Adj SB</t>
  </si>
  <si>
    <t>SB (13%)</t>
  </si>
  <si>
    <t>Hourly Distrbution</t>
  </si>
  <si>
    <t>(SB 13%)</t>
  </si>
  <si>
    <t>Splitting Daily ODME Trip Table to Hourly Trip Tables and assigning it loads about 7000 corridor trips</t>
  </si>
  <si>
    <t>ODME performed at one hour intervals with control total from profile * hourly distribtution and same seed (scaled down to 5%)</t>
  </si>
  <si>
    <t>Steps to import counts to CUBE Network</t>
  </si>
  <si>
    <t>1. Number Mainline locations and compute totals (from upstream - ramps)</t>
  </si>
  <si>
    <t>2. Code these locations in CUBE Network</t>
  </si>
  <si>
    <t>3. Export CUBE network to dbf to get A, B and coded location ID</t>
  </si>
  <si>
    <t>4. use VLOOK up to port profile counts to A, B, coded location, counts</t>
  </si>
  <si>
    <t>5. Run R script to apportion counts to hourly data (or use CUBE to do this)</t>
  </si>
  <si>
    <t>6. Write out as dbf file</t>
  </si>
  <si>
    <t>7. Append to dbf fiel to CUBE network</t>
  </si>
  <si>
    <t>8. Run ODME</t>
  </si>
  <si>
    <t>2021 (mainline)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</si>
</sst>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3" formatCode="_(* #,##0.00_);_(* \(#,##0.00\);_(* &quot;-&quot;??_);_(@_)"/>
    <numFmt numFmtId="164" formatCode="hh:mm\ AM/PM_)"/>
    <numFmt numFmtId="165" formatCode="0_)"/>
    <numFmt numFmtId="166" formatCode="0.0000_)"/>
    <numFmt numFmtId="167" formatCode="#,##0.000_);\(#,##0.000\)"/>
    <numFmt numFmtId="168" formatCode="0.0"/>
    <numFmt numFmtId="169" formatCode="_(* #,##0_);_(* \(#,##0\);_(* &quot;-&quot;??_);_(@_)"/>
    <numFmt numFmtId="170" formatCode="_(* #,##0.000_);_(* \(#,##0.000\);_(* &quot;-&quot;??_);_(@_)"/>
    <numFmt numFmtId="171" formatCode="0.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i/>
      <u/>
      <sz val="16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11"/>
      <color rgb="FF0070C0"/>
      <name val="Calibri"/>
      <family val="2"/>
      <scheme val="minor"/>
    </font>
    <font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9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70C0"/>
      <name val="Arial"/>
      <family val="2"/>
    </font>
    <font>
      <b/>
      <sz val="12"/>
      <color theme="1"/>
      <name val="Arial"/>
      <family val="2"/>
    </font>
    <font>
      <sz val="12"/>
      <color theme="5" tint="0.39997558519241921"/>
      <name val="Arial"/>
      <family val="2"/>
    </font>
    <font>
      <sz val="12"/>
      <color theme="9" tint="0.39997558519241921"/>
      <name val="Arial"/>
      <family val="2"/>
    </font>
    <font>
      <sz val="12"/>
      <color theme="8" tint="0.39997558519241921"/>
      <name val="Arial"/>
      <family val="2"/>
    </font>
    <font>
      <sz val="11"/>
      <color theme="8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 diagonalDown="1">
      <left/>
      <right/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/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 style="thick">
        <color indexed="64"/>
      </right>
      <top style="thick">
        <color indexed="64"/>
      </top>
      <bottom/>
      <diagonal/>
    </border>
    <border diagonalDown="1">
      <left/>
      <right/>
      <top/>
      <bottom style="thick">
        <color indexed="64"/>
      </bottom>
      <diagonal style="thick">
        <color indexed="64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rgb="FF00B050"/>
      </right>
      <top/>
      <bottom/>
      <diagonal/>
    </border>
    <border>
      <left style="thick">
        <color indexed="64"/>
      </left>
      <right style="thick">
        <color rgb="FF00B050"/>
      </right>
      <top/>
      <bottom style="thick">
        <color indexed="64"/>
      </bottom>
      <diagonal/>
    </border>
    <border>
      <left style="thick">
        <color indexed="64"/>
      </left>
      <right style="thick">
        <color rgb="FF00B050"/>
      </right>
      <top style="thick">
        <color indexed="64"/>
      </top>
      <bottom/>
      <diagonal/>
    </border>
    <border>
      <left/>
      <right style="thick">
        <color rgb="FF00B050"/>
      </right>
      <top/>
      <bottom/>
      <diagonal/>
    </border>
    <border>
      <left/>
      <right style="thick">
        <color rgb="FF00B050"/>
      </right>
      <top/>
      <bottom style="thick">
        <color indexed="64"/>
      </bottom>
      <diagonal/>
    </border>
    <border>
      <left/>
      <right style="thick">
        <color rgb="FF00B050"/>
      </right>
      <top style="thick">
        <color indexed="64"/>
      </top>
      <bottom/>
      <diagonal/>
    </border>
    <border diagonalDown="1">
      <left style="thick">
        <color indexed="64"/>
      </left>
      <right/>
      <top/>
      <bottom/>
      <diagonal style="thick">
        <color theme="4" tint="-0.249977111117893"/>
      </diagonal>
    </border>
    <border diagonalDown="1">
      <left style="thick">
        <color indexed="64"/>
      </left>
      <right style="thick">
        <color rgb="FF00B050"/>
      </right>
      <top/>
      <bottom/>
      <diagonal style="thick">
        <color theme="4" tint="-0.249977111117893"/>
      </diagonal>
    </border>
    <border diagonalDown="1">
      <left style="thick">
        <color rgb="FF00B050"/>
      </left>
      <right style="thick">
        <color indexed="64"/>
      </right>
      <top/>
      <bottom/>
      <diagonal style="thick">
        <color theme="4" tint="-0.249977111117893"/>
      </diagonal>
    </border>
    <border diagonalUp="1">
      <left/>
      <right style="thick">
        <color indexed="64"/>
      </right>
      <top/>
      <bottom/>
      <diagonal style="thick">
        <color rgb="FFFF0000"/>
      </diagonal>
    </border>
    <border diagonalUp="1">
      <left style="thick">
        <color indexed="64"/>
      </left>
      <right style="thick">
        <color rgb="FF00B050"/>
      </right>
      <top style="thick">
        <color indexed="64"/>
      </top>
      <bottom/>
      <diagonal style="thick">
        <color rgb="FFFF0000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rgb="FFFF0000"/>
      </diagonal>
    </border>
    <border>
      <left style="thick">
        <color rgb="FF00B050"/>
      </left>
      <right/>
      <top/>
      <bottom/>
      <diagonal/>
    </border>
    <border diagonalDown="1">
      <left/>
      <right style="thick">
        <color indexed="64"/>
      </right>
      <top/>
      <bottom/>
      <diagonal style="thick">
        <color theme="4" tint="-0.249977111117893"/>
      </diagonal>
    </border>
    <border diagonalUp="1">
      <left/>
      <right/>
      <top/>
      <bottom/>
      <diagonal style="thick">
        <color rgb="FFFF0000"/>
      </diagonal>
    </border>
    <border diagonalDown="1">
      <left/>
      <right/>
      <top/>
      <bottom/>
      <diagonal style="thick">
        <color theme="4" tint="-0.249977111117893"/>
      </diagonal>
    </border>
    <border>
      <left style="thick">
        <color indexed="64"/>
      </left>
      <right/>
      <top/>
      <bottom/>
      <diagonal/>
    </border>
    <border diagonalDown="1">
      <left/>
      <right/>
      <top/>
      <bottom/>
      <diagonal style="thick">
        <color indexed="64"/>
      </diagonal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double">
        <color indexed="64"/>
      </bottom>
      <diagonal/>
    </border>
    <border>
      <left/>
      <right style="thick">
        <color rgb="FFFF0000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" fillId="0" borderId="0"/>
    <xf numFmtId="168" fontId="5" fillId="0" borderId="0"/>
    <xf numFmtId="168" fontId="5" fillId="0" borderId="0"/>
  </cellStyleXfs>
  <cellXfs count="435">
    <xf numFmtId="0" fontId="0" fillId="0" borderId="0" xfId="0"/>
    <xf numFmtId="0" fontId="3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centerContinuous"/>
    </xf>
    <xf numFmtId="0" fontId="5" fillId="0" borderId="0" xfId="0" applyFont="1" applyProtection="1"/>
    <xf numFmtId="0" fontId="5" fillId="0" borderId="0" xfId="0" applyFont="1" applyFill="1" applyProtection="1"/>
    <xf numFmtId="0" fontId="6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left"/>
    </xf>
    <xf numFmtId="0" fontId="6" fillId="0" borderId="0" xfId="0" applyFont="1" applyBorder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0" fillId="0" borderId="0" xfId="0" applyFill="1"/>
    <xf numFmtId="164" fontId="5" fillId="0" borderId="0" xfId="0" applyNumberFormat="1" applyFont="1" applyProtection="1"/>
    <xf numFmtId="0" fontId="0" fillId="0" borderId="0" xfId="0" applyAlignment="1">
      <alignment horizontal="centerContinuous"/>
    </xf>
    <xf numFmtId="0" fontId="5" fillId="0" borderId="0" xfId="0" applyFont="1" applyFill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Fill="1" applyAlignment="1" applyProtection="1">
      <alignment horizontal="center"/>
    </xf>
    <xf numFmtId="0" fontId="5" fillId="0" borderId="1" xfId="0" quotePrefix="1" applyFont="1" applyBorder="1" applyProtection="1"/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1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165" fontId="5" fillId="0" borderId="1" xfId="0" applyNumberFormat="1" applyFont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5" fillId="0" borderId="0" xfId="0" applyFont="1" applyBorder="1" applyProtection="1"/>
    <xf numFmtId="0" fontId="5" fillId="0" borderId="0" xfId="0" applyFont="1" applyFill="1" applyBorder="1" applyProtection="1"/>
    <xf numFmtId="0" fontId="5" fillId="0" borderId="0" xfId="0" applyFont="1" applyFill="1" applyAlignment="1" applyProtection="1">
      <alignment horizontal="centerContinuous"/>
    </xf>
    <xf numFmtId="0" fontId="5" fillId="0" borderId="0" xfId="0" applyFont="1" applyAlignment="1" applyProtection="1">
      <alignment horizontal="right"/>
    </xf>
    <xf numFmtId="3" fontId="0" fillId="0" borderId="4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/>
    <xf numFmtId="3" fontId="0" fillId="0" borderId="4" xfId="0" applyNumberFormat="1" applyFont="1" applyFill="1" applyBorder="1" applyAlignment="1"/>
    <xf numFmtId="37" fontId="8" fillId="2" borderId="0" xfId="0" applyNumberFormat="1" applyFont="1" applyFill="1" applyAlignment="1" applyProtection="1">
      <alignment vertical="center"/>
    </xf>
    <xf numFmtId="37" fontId="8" fillId="2" borderId="0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center"/>
    </xf>
    <xf numFmtId="0" fontId="0" fillId="0" borderId="0" xfId="0" applyFill="1" applyBorder="1"/>
    <xf numFmtId="0" fontId="0" fillId="0" borderId="7" xfId="0" applyFill="1" applyBorder="1"/>
    <xf numFmtId="0" fontId="8" fillId="0" borderId="0" xfId="0" applyFont="1" applyProtection="1"/>
    <xf numFmtId="7" fontId="7" fillId="0" borderId="0" xfId="0" applyNumberFormat="1" applyFont="1" applyAlignment="1" applyProtection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9" xfId="0" applyNumberFormat="1" applyFont="1" applyFill="1" applyBorder="1" applyAlignment="1"/>
    <xf numFmtId="37" fontId="8" fillId="0" borderId="0" xfId="0" applyNumberFormat="1" applyFont="1" applyAlignment="1" applyProtection="1">
      <alignment vertical="center"/>
    </xf>
    <xf numFmtId="37" fontId="8" fillId="0" borderId="0" xfId="0" applyNumberFormat="1" applyFont="1" applyFill="1" applyAlignment="1" applyProtection="1">
      <alignment vertical="center"/>
    </xf>
    <xf numFmtId="0" fontId="6" fillId="0" borderId="0" xfId="0" applyFont="1" applyAlignment="1">
      <alignment vertical="top"/>
    </xf>
    <xf numFmtId="0" fontId="5" fillId="0" borderId="7" xfId="0" applyFont="1" applyFill="1" applyBorder="1" applyProtection="1"/>
    <xf numFmtId="37" fontId="8" fillId="3" borderId="0" xfId="3" applyNumberFormat="1" applyFont="1" applyFill="1" applyAlignment="1"/>
    <xf numFmtId="7" fontId="7" fillId="0" borderId="0" xfId="0" applyNumberFormat="1" applyFont="1" applyFill="1" applyAlignment="1" applyProtection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/>
    <xf numFmtId="3" fontId="0" fillId="0" borderId="10" xfId="0" applyNumberFormat="1" applyFont="1" applyFill="1" applyBorder="1" applyAlignment="1"/>
    <xf numFmtId="37" fontId="5" fillId="0" borderId="0" xfId="0" applyNumberFormat="1" applyFont="1" applyFill="1" applyAlignment="1" applyProtection="1">
      <alignment vertic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/>
    <xf numFmtId="37" fontId="8" fillId="0" borderId="0" xfId="0" applyNumberFormat="1" applyFont="1" applyProtection="1"/>
    <xf numFmtId="37" fontId="5" fillId="0" borderId="0" xfId="0" applyNumberFormat="1" applyFont="1" applyFill="1" applyProtection="1"/>
    <xf numFmtId="3" fontId="0" fillId="0" borderId="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7" fontId="5" fillId="0" borderId="0" xfId="0" applyNumberFormat="1" applyFont="1" applyProtection="1"/>
    <xf numFmtId="37" fontId="5" fillId="0" borderId="0" xfId="0" applyNumberFormat="1" applyFont="1" applyFill="1" applyBorder="1" applyProtection="1"/>
    <xf numFmtId="0" fontId="5" fillId="0" borderId="4" xfId="0" applyFont="1" applyFill="1" applyBorder="1" applyProtection="1"/>
    <xf numFmtId="0" fontId="5" fillId="0" borderId="13" xfId="0" applyFont="1" applyFill="1" applyBorder="1" applyProtection="1"/>
    <xf numFmtId="37" fontId="8" fillId="0" borderId="0" xfId="0" applyNumberFormat="1" applyFont="1" applyFill="1" applyBorder="1" applyAlignment="1" applyProtection="1">
      <alignment vertical="center"/>
    </xf>
    <xf numFmtId="37" fontId="8" fillId="0" borderId="0" xfId="3" applyNumberFormat="1" applyFont="1" applyFill="1" applyAlignment="1"/>
    <xf numFmtId="37" fontId="8" fillId="0" borderId="0" xfId="0" applyNumberFormat="1" applyFont="1" applyBorder="1" applyAlignment="1" applyProtection="1">
      <alignment horizontal="right" vertical="center"/>
    </xf>
    <xf numFmtId="37" fontId="8" fillId="0" borderId="0" xfId="0" applyNumberFormat="1" applyFont="1" applyBorder="1" applyAlignment="1" applyProtection="1">
      <alignment vertical="center"/>
    </xf>
    <xf numFmtId="37" fontId="5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Continuous"/>
    </xf>
    <xf numFmtId="0" fontId="9" fillId="0" borderId="0" xfId="0" applyFont="1" applyProtection="1"/>
    <xf numFmtId="166" fontId="5" fillId="0" borderId="0" xfId="0" applyNumberFormat="1" applyFont="1" applyProtection="1"/>
    <xf numFmtId="167" fontId="5" fillId="0" borderId="0" xfId="0" applyNumberFormat="1" applyFont="1" applyProtection="1"/>
    <xf numFmtId="0" fontId="0" fillId="0" borderId="0" xfId="0" applyFill="1" applyAlignment="1">
      <alignment horizontal="center"/>
    </xf>
    <xf numFmtId="0" fontId="6" fillId="0" borderId="0" xfId="0" applyFont="1" applyProtection="1"/>
    <xf numFmtId="0" fontId="6" fillId="0" borderId="0" xfId="0" applyFont="1" applyFill="1" applyAlignment="1" applyProtection="1">
      <alignment horizontal="centerContinuous"/>
    </xf>
    <xf numFmtId="0" fontId="5" fillId="0" borderId="0" xfId="0" applyFont="1" applyFill="1" applyAlignment="1" applyProtection="1">
      <alignment horizontal="left"/>
    </xf>
    <xf numFmtId="0" fontId="10" fillId="2" borderId="0" xfId="0" applyFont="1" applyFill="1"/>
    <xf numFmtId="0" fontId="7" fillId="0" borderId="0" xfId="0" applyFont="1" applyProtection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3" fontId="10" fillId="3" borderId="0" xfId="3" applyNumberFormat="1" applyFont="1" applyFill="1" applyAlignment="1"/>
    <xf numFmtId="1" fontId="11" fillId="0" borderId="0" xfId="4" applyNumberFormat="1" applyFont="1" applyFill="1" applyBorder="1" applyAlignment="1">
      <alignment horizontal="center"/>
    </xf>
    <xf numFmtId="1" fontId="11" fillId="0" borderId="0" xfId="5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" fontId="11" fillId="0" borderId="1" xfId="4" applyNumberFormat="1" applyFont="1" applyFill="1" applyBorder="1" applyAlignment="1">
      <alignment horizontal="center"/>
    </xf>
    <xf numFmtId="3" fontId="11" fillId="0" borderId="1" xfId="5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 applyAlignment="1"/>
    <xf numFmtId="3" fontId="12" fillId="0" borderId="0" xfId="4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Alignment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 applyProtection="1">
      <alignment horizontal="centerContinuous"/>
    </xf>
    <xf numFmtId="169" fontId="5" fillId="0" borderId="0" xfId="1" applyNumberFormat="1" applyFont="1" applyProtection="1"/>
    <xf numFmtId="169" fontId="0" fillId="0" borderId="0" xfId="1" applyNumberFormat="1" applyFont="1"/>
    <xf numFmtId="169" fontId="5" fillId="0" borderId="0" xfId="1" applyNumberFormat="1" applyFont="1" applyAlignment="1" applyProtection="1">
      <alignment horizontal="center"/>
    </xf>
    <xf numFmtId="169" fontId="5" fillId="0" borderId="0" xfId="1" applyNumberFormat="1" applyFont="1" applyBorder="1" applyProtection="1"/>
    <xf numFmtId="165" fontId="5" fillId="0" borderId="42" xfId="0" applyNumberFormat="1" applyFont="1" applyFill="1" applyBorder="1" applyAlignment="1" applyProtection="1">
      <alignment horizontal="center"/>
    </xf>
    <xf numFmtId="0" fontId="5" fillId="0" borderId="34" xfId="0" applyFont="1" applyFill="1" applyBorder="1" applyProtection="1"/>
    <xf numFmtId="37" fontId="8" fillId="2" borderId="34" xfId="0" applyNumberFormat="1" applyFont="1" applyFill="1" applyBorder="1" applyAlignment="1" applyProtection="1">
      <alignment vertical="center"/>
    </xf>
    <xf numFmtId="169" fontId="0" fillId="0" borderId="0" xfId="1" applyNumberFormat="1" applyFont="1" applyBorder="1"/>
    <xf numFmtId="10" fontId="5" fillId="0" borderId="0" xfId="2" applyNumberFormat="1" applyFont="1" applyBorder="1" applyProtection="1"/>
    <xf numFmtId="0" fontId="0" fillId="0" borderId="34" xfId="0" applyFill="1" applyBorder="1"/>
    <xf numFmtId="37" fontId="8" fillId="0" borderId="34" xfId="0" applyNumberFormat="1" applyFont="1" applyFill="1" applyBorder="1" applyAlignment="1" applyProtection="1">
      <alignment vertical="center"/>
    </xf>
    <xf numFmtId="169" fontId="2" fillId="0" borderId="0" xfId="1" applyNumberFormat="1" applyFont="1" applyBorder="1"/>
    <xf numFmtId="169" fontId="4" fillId="0" borderId="0" xfId="1" applyNumberFormat="1" applyFont="1" applyBorder="1" applyProtection="1"/>
    <xf numFmtId="10" fontId="4" fillId="0" borderId="0" xfId="2" applyNumberFormat="1" applyFont="1" applyBorder="1" applyProtection="1"/>
    <xf numFmtId="37" fontId="5" fillId="0" borderId="34" xfId="0" applyNumberFormat="1" applyFont="1" applyFill="1" applyBorder="1" applyAlignment="1" applyProtection="1">
      <alignment vertical="center"/>
    </xf>
    <xf numFmtId="37" fontId="5" fillId="0" borderId="34" xfId="0" applyNumberFormat="1" applyFont="1" applyFill="1" applyBorder="1" applyProtection="1"/>
    <xf numFmtId="37" fontId="8" fillId="0" borderId="34" xfId="3" applyNumberFormat="1" applyFont="1" applyFill="1" applyBorder="1" applyAlignment="1"/>
    <xf numFmtId="37" fontId="8" fillId="0" borderId="0" xfId="3" applyNumberFormat="1" applyFont="1" applyFill="1" applyBorder="1" applyAlignment="1"/>
    <xf numFmtId="169" fontId="2" fillId="0" borderId="38" xfId="1" applyNumberFormat="1" applyFont="1" applyBorder="1"/>
    <xf numFmtId="169" fontId="4" fillId="0" borderId="38" xfId="1" applyNumberFormat="1" applyFont="1" applyBorder="1" applyProtection="1"/>
    <xf numFmtId="10" fontId="4" fillId="0" borderId="38" xfId="2" applyNumberFormat="1" applyFont="1" applyBorder="1" applyProtection="1"/>
    <xf numFmtId="0" fontId="17" fillId="0" borderId="0" xfId="0" applyFont="1" applyAlignment="1">
      <alignment vertical="top"/>
    </xf>
    <xf numFmtId="7" fontId="18" fillId="0" borderId="0" xfId="0" applyNumberFormat="1" applyFont="1" applyAlignment="1" applyProtection="1">
      <alignment horizontal="center"/>
    </xf>
    <xf numFmtId="0" fontId="4" fillId="0" borderId="0" xfId="0" applyFont="1" applyFill="1" applyBorder="1" applyProtection="1"/>
    <xf numFmtId="0" fontId="4" fillId="0" borderId="7" xfId="0" applyFont="1" applyFill="1" applyBorder="1" applyProtection="1"/>
    <xf numFmtId="0" fontId="4" fillId="0" borderId="0" xfId="0" applyFont="1" applyFill="1" applyProtection="1"/>
    <xf numFmtId="37" fontId="19" fillId="2" borderId="0" xfId="0" applyNumberFormat="1" applyFont="1" applyFill="1" applyAlignment="1" applyProtection="1">
      <alignment vertical="center"/>
    </xf>
    <xf numFmtId="37" fontId="19" fillId="3" borderId="0" xfId="3" applyNumberFormat="1" applyFont="1" applyFill="1" applyAlignment="1"/>
    <xf numFmtId="37" fontId="19" fillId="3" borderId="34" xfId="3" applyNumberFormat="1" applyFont="1" applyFill="1" applyBorder="1" applyAlignment="1"/>
    <xf numFmtId="37" fontId="19" fillId="3" borderId="0" xfId="3" applyNumberFormat="1" applyFont="1" applyFill="1" applyBorder="1" applyAlignment="1"/>
    <xf numFmtId="0" fontId="2" fillId="0" borderId="0" xfId="0" applyFont="1"/>
    <xf numFmtId="0" fontId="4" fillId="0" borderId="0" xfId="0" applyFont="1" applyProtection="1"/>
    <xf numFmtId="7" fontId="18" fillId="0" borderId="0" xfId="0" applyNumberFormat="1" applyFont="1" applyFill="1" applyAlignment="1" applyProtection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169" fontId="2" fillId="0" borderId="0" xfId="0" applyNumberFormat="1" applyFont="1"/>
    <xf numFmtId="37" fontId="19" fillId="2" borderId="0" xfId="0" applyNumberFormat="1" applyFont="1" applyFill="1" applyBorder="1" applyAlignment="1" applyProtection="1">
      <alignment vertical="center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>
      <alignment horizontal="centerContinuous"/>
    </xf>
    <xf numFmtId="0" fontId="20" fillId="0" borderId="0" xfId="0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0" fontId="2" fillId="0" borderId="0" xfId="0" applyFont="1" applyFill="1" applyAlignment="1">
      <alignment horizontal="center"/>
    </xf>
    <xf numFmtId="169" fontId="4" fillId="0" borderId="0" xfId="1" applyNumberFormat="1" applyFont="1" applyProtection="1"/>
    <xf numFmtId="0" fontId="4" fillId="0" borderId="0" xfId="0" applyFont="1" applyAlignment="1" applyProtection="1">
      <alignment horizontal="center"/>
    </xf>
    <xf numFmtId="37" fontId="19" fillId="3" borderId="36" xfId="3" applyNumberFormat="1" applyFont="1" applyFill="1" applyBorder="1" applyAlignment="1"/>
    <xf numFmtId="37" fontId="19" fillId="3" borderId="38" xfId="3" applyNumberFormat="1" applyFont="1" applyFill="1" applyBorder="1" applyAlignment="1"/>
    <xf numFmtId="165" fontId="22" fillId="0" borderId="42" xfId="0" applyNumberFormat="1" applyFont="1" applyFill="1" applyBorder="1" applyAlignment="1" applyProtection="1">
      <alignment horizontal="center"/>
    </xf>
    <xf numFmtId="165" fontId="22" fillId="0" borderId="43" xfId="0" applyNumberFormat="1" applyFont="1" applyFill="1" applyBorder="1" applyAlignment="1" applyProtection="1">
      <alignment horizontal="center"/>
    </xf>
    <xf numFmtId="169" fontId="22" fillId="0" borderId="34" xfId="1" applyNumberFormat="1" applyFont="1" applyBorder="1" applyProtection="1"/>
    <xf numFmtId="0" fontId="23" fillId="0" borderId="35" xfId="0" applyFont="1" applyBorder="1"/>
    <xf numFmtId="10" fontId="22" fillId="0" borderId="35" xfId="2" applyNumberFormat="1" applyFont="1" applyBorder="1" applyProtection="1"/>
    <xf numFmtId="169" fontId="24" fillId="4" borderId="34" xfId="1" applyNumberFormat="1" applyFont="1" applyFill="1" applyBorder="1" applyProtection="1"/>
    <xf numFmtId="10" fontId="24" fillId="0" borderId="35" xfId="2" applyNumberFormat="1" applyFont="1" applyBorder="1" applyProtection="1"/>
    <xf numFmtId="169" fontId="22" fillId="4" borderId="34" xfId="1" applyNumberFormat="1" applyFont="1" applyFill="1" applyBorder="1" applyProtection="1"/>
    <xf numFmtId="169" fontId="24" fillId="0" borderId="34" xfId="1" applyNumberFormat="1" applyFont="1" applyBorder="1" applyProtection="1"/>
    <xf numFmtId="169" fontId="24" fillId="0" borderId="34" xfId="1" applyNumberFormat="1" applyFont="1" applyFill="1" applyBorder="1" applyProtection="1"/>
    <xf numFmtId="169" fontId="24" fillId="0" borderId="36" xfId="1" applyNumberFormat="1" applyFont="1" applyBorder="1" applyProtection="1"/>
    <xf numFmtId="10" fontId="24" fillId="0" borderId="37" xfId="2" applyNumberFormat="1" applyFont="1" applyBorder="1" applyProtection="1"/>
    <xf numFmtId="0" fontId="16" fillId="0" borderId="0" xfId="0" applyFont="1" applyAlignment="1">
      <alignment horizontal="center"/>
    </xf>
    <xf numFmtId="165" fontId="22" fillId="0" borderId="1" xfId="0" applyNumberFormat="1" applyFont="1" applyBorder="1" applyAlignment="1" applyProtection="1">
      <alignment horizontal="center"/>
    </xf>
    <xf numFmtId="0" fontId="22" fillId="0" borderId="0" xfId="0" applyFont="1" applyBorder="1" applyProtection="1"/>
    <xf numFmtId="0" fontId="22" fillId="0" borderId="0" xfId="0" applyFont="1" applyProtection="1"/>
    <xf numFmtId="37" fontId="22" fillId="2" borderId="0" xfId="0" applyNumberFormat="1" applyFont="1" applyFill="1" applyAlignment="1" applyProtection="1">
      <alignment vertical="center"/>
    </xf>
    <xf numFmtId="37" fontId="22" fillId="0" borderId="0" xfId="0" applyNumberFormat="1" applyFont="1" applyAlignment="1" applyProtection="1">
      <alignment vertical="center"/>
    </xf>
    <xf numFmtId="37" fontId="24" fillId="3" borderId="0" xfId="3" applyNumberFormat="1" applyFont="1" applyFill="1" applyAlignment="1"/>
    <xf numFmtId="37" fontId="22" fillId="0" borderId="0" xfId="0" applyNumberFormat="1" applyFont="1" applyProtection="1"/>
    <xf numFmtId="37" fontId="22" fillId="0" borderId="0" xfId="0" applyNumberFormat="1" applyFont="1" applyFill="1" applyAlignment="1" applyProtection="1">
      <alignment vertical="center"/>
    </xf>
    <xf numFmtId="37" fontId="22" fillId="0" borderId="0" xfId="0" applyNumberFormat="1" applyFont="1" applyFill="1" applyProtection="1"/>
    <xf numFmtId="37" fontId="22" fillId="0" borderId="0" xfId="3" applyNumberFormat="1" applyFont="1" applyFill="1" applyAlignment="1"/>
    <xf numFmtId="37" fontId="22" fillId="0" borderId="0" xfId="0" applyNumberFormat="1" applyFont="1" applyFill="1" applyBorder="1" applyAlignment="1" applyProtection="1">
      <alignment vertical="center"/>
    </xf>
    <xf numFmtId="0" fontId="5" fillId="5" borderId="0" xfId="0" applyFont="1" applyFill="1" applyProtection="1"/>
    <xf numFmtId="37" fontId="5" fillId="5" borderId="31" xfId="0" applyNumberFormat="1" applyFont="1" applyFill="1" applyBorder="1" applyProtection="1"/>
    <xf numFmtId="3" fontId="0" fillId="5" borderId="30" xfId="0" applyNumberFormat="1" applyFont="1" applyFill="1" applyBorder="1" applyAlignment="1">
      <alignment horizontal="center"/>
    </xf>
    <xf numFmtId="37" fontId="5" fillId="5" borderId="19" xfId="0" applyNumberFormat="1" applyFont="1" applyFill="1" applyBorder="1" applyProtection="1"/>
    <xf numFmtId="0" fontId="0" fillId="5" borderId="0" xfId="0" applyFill="1"/>
    <xf numFmtId="37" fontId="5" fillId="5" borderId="32" xfId="0" applyNumberFormat="1" applyFont="1" applyFill="1" applyBorder="1" applyProtection="1"/>
    <xf numFmtId="165" fontId="5" fillId="5" borderId="0" xfId="0" applyNumberFormat="1" applyFont="1" applyFill="1" applyAlignment="1" applyProtection="1">
      <alignment horizontal="center"/>
    </xf>
    <xf numFmtId="3" fontId="0" fillId="5" borderId="33" xfId="0" applyNumberFormat="1" applyFont="1" applyFill="1" applyBorder="1" applyAlignment="1"/>
    <xf numFmtId="170" fontId="2" fillId="0" borderId="0" xfId="0" applyNumberFormat="1" applyFont="1"/>
    <xf numFmtId="0" fontId="25" fillId="0" borderId="0" xfId="0" applyFont="1" applyFill="1" applyProtection="1"/>
    <xf numFmtId="0" fontId="7" fillId="0" borderId="0" xfId="0" applyFont="1" applyFill="1" applyProtection="1"/>
    <xf numFmtId="0" fontId="6" fillId="0" borderId="1" xfId="0" applyFont="1" applyBorder="1" applyAlignment="1" applyProtection="1">
      <alignment horizontal="center"/>
    </xf>
    <xf numFmtId="0" fontId="0" fillId="0" borderId="0" xfId="0" applyFill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7" fontId="0" fillId="0" borderId="0" xfId="0" applyNumberFormat="1"/>
    <xf numFmtId="0" fontId="0" fillId="0" borderId="45" xfId="0" applyBorder="1"/>
    <xf numFmtId="37" fontId="0" fillId="0" borderId="0" xfId="0" applyNumberFormat="1" applyBorder="1"/>
    <xf numFmtId="0" fontId="0" fillId="0" borderId="50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37" fontId="23" fillId="0" borderId="0" xfId="0" applyNumberFormat="1" applyFont="1" applyBorder="1"/>
    <xf numFmtId="37" fontId="23" fillId="0" borderId="50" xfId="0" applyNumberFormat="1" applyFont="1" applyBorder="1"/>
    <xf numFmtId="37" fontId="0" fillId="0" borderId="46" xfId="0" applyNumberFormat="1" applyBorder="1"/>
    <xf numFmtId="37" fontId="0" fillId="0" borderId="48" xfId="0" applyNumberFormat="1" applyBorder="1"/>
    <xf numFmtId="37" fontId="0" fillId="0" borderId="51" xfId="0" applyNumberFormat="1" applyBorder="1"/>
    <xf numFmtId="169" fontId="0" fillId="0" borderId="47" xfId="1" applyNumberFormat="1" applyFont="1" applyBorder="1"/>
    <xf numFmtId="169" fontId="0" fillId="0" borderId="48" xfId="1" applyNumberFormat="1" applyFont="1" applyBorder="1"/>
    <xf numFmtId="169" fontId="0" fillId="0" borderId="49" xfId="1" applyNumberFormat="1" applyFont="1" applyBorder="1"/>
    <xf numFmtId="169" fontId="0" fillId="0" borderId="51" xfId="1" applyNumberFormat="1" applyFont="1" applyBorder="1"/>
    <xf numFmtId="3" fontId="26" fillId="0" borderId="47" xfId="0" applyNumberFormat="1" applyFont="1" applyBorder="1" applyAlignment="1">
      <alignment horizontal="center"/>
    </xf>
    <xf numFmtId="3" fontId="26" fillId="0" borderId="49" xfId="0" applyNumberFormat="1" applyFont="1" applyBorder="1" applyAlignment="1">
      <alignment horizontal="center"/>
    </xf>
    <xf numFmtId="3" fontId="26" fillId="0" borderId="48" xfId="0" applyNumberFormat="1" applyFont="1" applyBorder="1" applyAlignment="1">
      <alignment horizontal="center"/>
    </xf>
    <xf numFmtId="3" fontId="26" fillId="0" borderId="51" xfId="0" applyNumberFormat="1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1" fillId="0" borderId="53" xfId="0" applyFont="1" applyBorder="1"/>
    <xf numFmtId="0" fontId="27" fillId="0" borderId="54" xfId="0" applyFont="1" applyBorder="1" applyAlignment="1">
      <alignment horizontal="center"/>
    </xf>
    <xf numFmtId="0" fontId="2" fillId="0" borderId="53" xfId="0" applyFont="1" applyBorder="1"/>
    <xf numFmtId="0" fontId="2" fillId="0" borderId="54" xfId="0" applyFont="1" applyBorder="1"/>
    <xf numFmtId="0" fontId="2" fillId="0" borderId="52" xfId="0" applyFont="1" applyBorder="1"/>
    <xf numFmtId="0" fontId="2" fillId="0" borderId="44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169" fontId="0" fillId="0" borderId="0" xfId="1" applyNumberFormat="1" applyFont="1" applyFill="1"/>
    <xf numFmtId="1" fontId="0" fillId="0" borderId="0" xfId="0" applyNumberFormat="1"/>
    <xf numFmtId="10" fontId="24" fillId="0" borderId="0" xfId="2" applyNumberFormat="1" applyFont="1" applyBorder="1" applyProtection="1"/>
    <xf numFmtId="9" fontId="2" fillId="0" borderId="0" xfId="2" applyFont="1"/>
    <xf numFmtId="169" fontId="0" fillId="0" borderId="0" xfId="0" applyNumberFormat="1"/>
    <xf numFmtId="169" fontId="2" fillId="0" borderId="0" xfId="1" applyNumberFormat="1" applyFont="1"/>
    <xf numFmtId="1" fontId="0" fillId="6" borderId="0" xfId="0" applyNumberFormat="1" applyFill="1"/>
    <xf numFmtId="171" fontId="0" fillId="0" borderId="0" xfId="0" applyNumberFormat="1"/>
    <xf numFmtId="3" fontId="0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Protection="1"/>
    <xf numFmtId="0" fontId="5" fillId="5" borderId="0" xfId="0" applyFont="1" applyFill="1" applyAlignment="1" applyProtection="1">
      <alignment horizontal="centerContinuous"/>
    </xf>
    <xf numFmtId="37" fontId="8" fillId="5" borderId="0" xfId="0" applyNumberFormat="1" applyFont="1" applyFill="1" applyAlignment="1" applyProtection="1">
      <alignment vertical="center"/>
    </xf>
    <xf numFmtId="3" fontId="0" fillId="5" borderId="4" xfId="0" applyNumberFormat="1" applyFont="1" applyFill="1" applyBorder="1" applyAlignment="1">
      <alignment horizontal="center"/>
    </xf>
    <xf numFmtId="3" fontId="0" fillId="5" borderId="5" xfId="0" applyNumberFormat="1" applyFont="1" applyFill="1" applyBorder="1" applyAlignment="1">
      <alignment horizontal="center"/>
    </xf>
    <xf numFmtId="3" fontId="0" fillId="5" borderId="6" xfId="0" applyNumberFormat="1" applyFont="1" applyFill="1" applyBorder="1" applyAlignment="1"/>
    <xf numFmtId="3" fontId="0" fillId="5" borderId="4" xfId="0" applyNumberFormat="1" applyFont="1" applyFill="1" applyBorder="1" applyAlignment="1"/>
    <xf numFmtId="3" fontId="0" fillId="5" borderId="0" xfId="0" applyNumberFormat="1" applyFont="1" applyFill="1" applyBorder="1" applyAlignment="1"/>
    <xf numFmtId="0" fontId="0" fillId="5" borderId="0" xfId="0" applyFill="1" applyBorder="1"/>
    <xf numFmtId="0" fontId="0" fillId="5" borderId="7" xfId="0" applyFill="1" applyBorder="1"/>
    <xf numFmtId="3" fontId="0" fillId="5" borderId="8" xfId="0" applyNumberFormat="1" applyFont="1" applyFill="1" applyBorder="1" applyAlignment="1">
      <alignment horizontal="center"/>
    </xf>
    <xf numFmtId="3" fontId="0" fillId="5" borderId="13" xfId="0" applyNumberFormat="1" applyFont="1" applyFill="1" applyBorder="1" applyAlignment="1">
      <alignment horizontal="center"/>
    </xf>
    <xf numFmtId="37" fontId="19" fillId="5" borderId="0" xfId="3" applyNumberFormat="1" applyFont="1" applyFill="1" applyAlignment="1"/>
    <xf numFmtId="0" fontId="4" fillId="5" borderId="0" xfId="0" applyFont="1" applyFill="1" applyBorder="1" applyProtection="1"/>
    <xf numFmtId="0" fontId="4" fillId="5" borderId="7" xfId="0" applyFont="1" applyFill="1" applyBorder="1" applyProtection="1"/>
    <xf numFmtId="0" fontId="4" fillId="5" borderId="22" xfId="0" applyFont="1" applyFill="1" applyBorder="1" applyProtection="1"/>
    <xf numFmtId="0" fontId="4" fillId="5" borderId="25" xfId="0" applyFont="1" applyFill="1" applyBorder="1" applyProtection="1"/>
    <xf numFmtId="0" fontId="4" fillId="5" borderId="0" xfId="0" applyFont="1" applyFill="1" applyProtection="1"/>
    <xf numFmtId="37" fontId="5" fillId="5" borderId="0" xfId="0" applyNumberFormat="1" applyFont="1" applyFill="1" applyAlignment="1" applyProtection="1">
      <alignment vertical="center"/>
    </xf>
    <xf numFmtId="3" fontId="0" fillId="5" borderId="10" xfId="0" applyNumberFormat="1" applyFont="1" applyFill="1" applyBorder="1" applyAlignment="1">
      <alignment horizontal="center"/>
    </xf>
    <xf numFmtId="3" fontId="0" fillId="5" borderId="11" xfId="0" applyNumberFormat="1" applyFont="1" applyFill="1" applyBorder="1" applyAlignment="1">
      <alignment horizontal="center"/>
    </xf>
    <xf numFmtId="3" fontId="0" fillId="5" borderId="17" xfId="0" applyNumberFormat="1" applyFont="1" applyFill="1" applyBorder="1" applyAlignment="1">
      <alignment horizontal="center"/>
    </xf>
    <xf numFmtId="3" fontId="0" fillId="5" borderId="20" xfId="0" applyNumberFormat="1" applyFont="1" applyFill="1" applyBorder="1" applyAlignment="1">
      <alignment horizontal="center"/>
    </xf>
    <xf numFmtId="3" fontId="0" fillId="5" borderId="15" xfId="0" applyNumberFormat="1" applyFont="1" applyFill="1" applyBorder="1" applyAlignment="1">
      <alignment horizontal="center"/>
    </xf>
    <xf numFmtId="3" fontId="0" fillId="5" borderId="14" xfId="0" applyNumberFormat="1" applyFont="1" applyFill="1" applyBorder="1" applyAlignment="1"/>
    <xf numFmtId="3" fontId="0" fillId="5" borderId="10" xfId="0" applyNumberFormat="1" applyFont="1" applyFill="1" applyBorder="1" applyAlignment="1"/>
    <xf numFmtId="3" fontId="0" fillId="5" borderId="18" xfId="0" applyNumberFormat="1" applyFont="1" applyFill="1" applyBorder="1" applyAlignment="1">
      <alignment horizontal="center"/>
    </xf>
    <xf numFmtId="3" fontId="0" fillId="5" borderId="21" xfId="0" applyNumberFormat="1" applyFont="1" applyFill="1" applyBorder="1" applyAlignment="1">
      <alignment horizontal="center"/>
    </xf>
    <xf numFmtId="3" fontId="0" fillId="5" borderId="0" xfId="0" applyNumberFormat="1" applyFont="1" applyFill="1" applyAlignment="1"/>
    <xf numFmtId="37" fontId="5" fillId="5" borderId="0" xfId="0" applyNumberFormat="1" applyFont="1" applyFill="1" applyProtection="1"/>
    <xf numFmtId="0" fontId="5" fillId="5" borderId="7" xfId="0" applyFont="1" applyFill="1" applyBorder="1" applyProtection="1"/>
    <xf numFmtId="0" fontId="5" fillId="5" borderId="16" xfId="0" applyFont="1" applyFill="1" applyBorder="1" applyProtection="1"/>
    <xf numFmtId="0" fontId="5" fillId="5" borderId="19" xfId="0" applyFont="1" applyFill="1" applyBorder="1" applyProtection="1"/>
    <xf numFmtId="3" fontId="2" fillId="5" borderId="0" xfId="0" applyNumberFormat="1" applyFont="1" applyFill="1" applyBorder="1" applyAlignment="1">
      <alignment horizontal="center"/>
    </xf>
    <xf numFmtId="3" fontId="2" fillId="5" borderId="7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/>
    </xf>
    <xf numFmtId="3" fontId="2" fillId="5" borderId="19" xfId="0" applyNumberFormat="1" applyFont="1" applyFill="1" applyBorder="1" applyAlignment="1">
      <alignment horizontal="center"/>
    </xf>
    <xf numFmtId="3" fontId="2" fillId="5" borderId="0" xfId="0" applyNumberFormat="1" applyFont="1" applyFill="1" applyBorder="1" applyAlignment="1"/>
    <xf numFmtId="3" fontId="0" fillId="5" borderId="7" xfId="0" applyNumberFormat="1" applyFont="1" applyFill="1" applyBorder="1" applyAlignment="1">
      <alignment horizontal="center"/>
    </xf>
    <xf numFmtId="3" fontId="0" fillId="5" borderId="16" xfId="0" applyNumberFormat="1" applyFont="1" applyFill="1" applyBorder="1" applyAlignment="1">
      <alignment horizontal="center"/>
    </xf>
    <xf numFmtId="3" fontId="0" fillId="5" borderId="19" xfId="0" applyNumberFormat="1" applyFont="1" applyFill="1" applyBorder="1" applyAlignment="1">
      <alignment horizontal="center"/>
    </xf>
    <xf numFmtId="0" fontId="4" fillId="5" borderId="16" xfId="0" applyFont="1" applyFill="1" applyBorder="1" applyProtection="1"/>
    <xf numFmtId="0" fontId="4" fillId="5" borderId="19" xfId="0" applyFont="1" applyFill="1" applyBorder="1" applyProtection="1"/>
    <xf numFmtId="3" fontId="0" fillId="5" borderId="26" xfId="0" applyNumberFormat="1" applyFont="1" applyFill="1" applyBorder="1" applyAlignment="1">
      <alignment horizontal="center"/>
    </xf>
    <xf numFmtId="37" fontId="5" fillId="5" borderId="24" xfId="0" applyNumberFormat="1" applyFont="1" applyFill="1" applyBorder="1" applyProtection="1"/>
    <xf numFmtId="37" fontId="4" fillId="5" borderId="0" xfId="0" applyNumberFormat="1" applyFont="1" applyFill="1" applyBorder="1" applyProtection="1"/>
    <xf numFmtId="37" fontId="4" fillId="5" borderId="7" xfId="0" applyNumberFormat="1" applyFont="1" applyFill="1" applyBorder="1" applyProtection="1"/>
    <xf numFmtId="37" fontId="4" fillId="5" borderId="23" xfId="0" applyNumberFormat="1" applyFont="1" applyFill="1" applyBorder="1" applyProtection="1"/>
    <xf numFmtId="37" fontId="4" fillId="5" borderId="19" xfId="0" applyNumberFormat="1" applyFont="1" applyFill="1" applyBorder="1" applyProtection="1"/>
    <xf numFmtId="37" fontId="4" fillId="5" borderId="0" xfId="0" applyNumberFormat="1" applyFont="1" applyFill="1" applyProtection="1"/>
    <xf numFmtId="0" fontId="5" fillId="5" borderId="4" xfId="0" applyFont="1" applyFill="1" applyBorder="1" applyProtection="1"/>
    <xf numFmtId="0" fontId="30" fillId="5" borderId="13" xfId="0" applyFont="1" applyFill="1" applyBorder="1" applyProtection="1"/>
    <xf numFmtId="0" fontId="30" fillId="5" borderId="18" xfId="0" applyFont="1" applyFill="1" applyBorder="1" applyProtection="1"/>
    <xf numFmtId="0" fontId="30" fillId="5" borderId="21" xfId="0" applyFont="1" applyFill="1" applyBorder="1" applyProtection="1"/>
    <xf numFmtId="0" fontId="30" fillId="5" borderId="4" xfId="0" applyFont="1" applyFill="1" applyBorder="1" applyProtection="1"/>
    <xf numFmtId="37" fontId="4" fillId="5" borderId="16" xfId="0" applyNumberFormat="1" applyFont="1" applyFill="1" applyBorder="1" applyProtection="1"/>
    <xf numFmtId="37" fontId="8" fillId="5" borderId="0" xfId="3" applyNumberFormat="1" applyFont="1" applyFill="1" applyAlignment="1"/>
    <xf numFmtId="37" fontId="5" fillId="5" borderId="0" xfId="0" applyNumberFormat="1" applyFont="1" applyFill="1" applyBorder="1" applyProtection="1"/>
    <xf numFmtId="37" fontId="5" fillId="5" borderId="7" xfId="0" applyNumberFormat="1" applyFont="1" applyFill="1" applyBorder="1" applyProtection="1"/>
    <xf numFmtId="37" fontId="5" fillId="5" borderId="16" xfId="0" applyNumberFormat="1" applyFont="1" applyFill="1" applyBorder="1" applyProtection="1"/>
    <xf numFmtId="37" fontId="5" fillId="5" borderId="0" xfId="0" applyNumberFormat="1" applyFont="1" applyFill="1" applyBorder="1" applyAlignment="1" applyProtection="1">
      <alignment vertical="center"/>
    </xf>
    <xf numFmtId="3" fontId="31" fillId="5" borderId="4" xfId="0" applyNumberFormat="1" applyFont="1" applyFill="1" applyBorder="1" applyAlignment="1">
      <alignment horizontal="center"/>
    </xf>
    <xf numFmtId="3" fontId="31" fillId="5" borderId="4" xfId="0" applyNumberFormat="1" applyFont="1" applyFill="1" applyBorder="1" applyAlignment="1"/>
    <xf numFmtId="3" fontId="32" fillId="5" borderId="7" xfId="0" applyNumberFormat="1" applyFont="1" applyFill="1" applyBorder="1" applyAlignment="1">
      <alignment horizontal="center"/>
    </xf>
    <xf numFmtId="3" fontId="32" fillId="5" borderId="0" xfId="0" applyNumberFormat="1" applyFont="1" applyFill="1" applyBorder="1" applyAlignment="1"/>
    <xf numFmtId="37" fontId="4" fillId="5" borderId="28" xfId="0" applyNumberFormat="1" applyFont="1" applyFill="1" applyBorder="1" applyProtection="1"/>
    <xf numFmtId="37" fontId="4" fillId="5" borderId="29" xfId="0" applyNumberFormat="1" applyFont="1" applyFill="1" applyBorder="1" applyProtection="1"/>
    <xf numFmtId="3" fontId="2" fillId="5" borderId="27" xfId="0" applyNumberFormat="1" applyFont="1" applyFill="1" applyBorder="1" applyAlignment="1">
      <alignment horizontal="center"/>
    </xf>
    <xf numFmtId="37" fontId="4" fillId="5" borderId="4" xfId="0" applyNumberFormat="1" applyFont="1" applyFill="1" applyBorder="1" applyProtection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Continuous"/>
    </xf>
    <xf numFmtId="165" fontId="4" fillId="5" borderId="0" xfId="0" applyNumberFormat="1" applyFont="1" applyFill="1" applyAlignment="1" applyProtection="1">
      <alignment horizontal="center"/>
    </xf>
    <xf numFmtId="165" fontId="5" fillId="5" borderId="1" xfId="0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Continuous"/>
    </xf>
    <xf numFmtId="0" fontId="5" fillId="5" borderId="0" xfId="0" applyFont="1" applyFill="1" applyAlignment="1" applyProtection="1">
      <alignment horizontal="left"/>
    </xf>
    <xf numFmtId="0" fontId="6" fillId="5" borderId="0" xfId="0" applyFont="1" applyFill="1" applyAlignment="1" applyProtection="1">
      <alignment horizontal="centerContinuous"/>
    </xf>
    <xf numFmtId="0" fontId="5" fillId="5" borderId="0" xfId="0" applyFont="1" applyFill="1" applyBorder="1" applyAlignment="1" applyProtection="1">
      <alignment horizontal="centerContinuous"/>
    </xf>
    <xf numFmtId="3" fontId="16" fillId="5" borderId="10" xfId="0" applyNumberFormat="1" applyFont="1" applyFill="1" applyBorder="1" applyAlignment="1">
      <alignment horizontal="center"/>
    </xf>
    <xf numFmtId="3" fontId="16" fillId="5" borderId="0" xfId="0" applyNumberFormat="1" applyFont="1" applyFill="1" applyAlignment="1"/>
    <xf numFmtId="0" fontId="2" fillId="5" borderId="0" xfId="0" applyFont="1" applyFill="1"/>
    <xf numFmtId="0" fontId="3" fillId="5" borderId="0" xfId="0" applyFont="1" applyFill="1" applyAlignment="1" applyProtection="1">
      <alignment horizontal="right"/>
    </xf>
    <xf numFmtId="164" fontId="5" fillId="5" borderId="0" xfId="0" applyNumberFormat="1" applyFont="1" applyFill="1" applyProtection="1"/>
    <xf numFmtId="0" fontId="5" fillId="5" borderId="1" xfId="0" quotePrefix="1" applyFont="1" applyFill="1" applyBorder="1" applyProtection="1"/>
    <xf numFmtId="0" fontId="17" fillId="5" borderId="0" xfId="0" applyFont="1" applyFill="1" applyAlignment="1">
      <alignment vertical="top"/>
    </xf>
    <xf numFmtId="9" fontId="2" fillId="5" borderId="0" xfId="2" applyFont="1" applyFill="1"/>
    <xf numFmtId="169" fontId="0" fillId="5" borderId="0" xfId="0" applyNumberFormat="1" applyFill="1"/>
    <xf numFmtId="9" fontId="33" fillId="5" borderId="0" xfId="2" applyFont="1" applyFill="1"/>
    <xf numFmtId="9" fontId="0" fillId="5" borderId="0" xfId="2" applyFont="1" applyFill="1"/>
    <xf numFmtId="37" fontId="5" fillId="5" borderId="34" xfId="0" applyNumberFormat="1" applyFont="1" applyFill="1" applyBorder="1" applyAlignment="1" applyProtection="1">
      <alignment vertical="center"/>
    </xf>
    <xf numFmtId="169" fontId="5" fillId="5" borderId="0" xfId="1" applyNumberFormat="1" applyFont="1" applyFill="1" applyBorder="1" applyProtection="1"/>
    <xf numFmtId="10" fontId="5" fillId="5" borderId="0" xfId="2" applyNumberFormat="1" applyFont="1" applyFill="1" applyBorder="1" applyProtection="1"/>
    <xf numFmtId="169" fontId="22" fillId="5" borderId="0" xfId="1" applyNumberFormat="1" applyFont="1" applyFill="1" applyBorder="1" applyProtection="1"/>
    <xf numFmtId="10" fontId="22" fillId="5" borderId="0" xfId="2" applyNumberFormat="1" applyFont="1" applyFill="1" applyBorder="1" applyProtection="1"/>
    <xf numFmtId="37" fontId="5" fillId="5" borderId="34" xfId="0" applyNumberFormat="1" applyFont="1" applyFill="1" applyBorder="1" applyProtection="1"/>
    <xf numFmtId="37" fontId="8" fillId="5" borderId="0" xfId="0" applyNumberFormat="1" applyFont="1" applyFill="1" applyBorder="1" applyAlignment="1" applyProtection="1">
      <alignment vertical="center"/>
    </xf>
    <xf numFmtId="37" fontId="8" fillId="5" borderId="34" xfId="3" applyNumberFormat="1" applyFont="1" applyFill="1" applyBorder="1" applyAlignment="1"/>
    <xf numFmtId="37" fontId="8" fillId="5" borderId="0" xfId="3" applyNumberFormat="1" applyFont="1" applyFill="1" applyBorder="1" applyAlignment="1"/>
    <xf numFmtId="37" fontId="22" fillId="5" borderId="0" xfId="0" applyNumberFormat="1" applyFont="1" applyFill="1" applyBorder="1" applyAlignment="1" applyProtection="1">
      <alignment vertical="center"/>
    </xf>
    <xf numFmtId="169" fontId="5" fillId="5" borderId="0" xfId="1" applyNumberFormat="1" applyFont="1" applyFill="1" applyProtection="1"/>
    <xf numFmtId="165" fontId="22" fillId="5" borderId="1" xfId="0" applyNumberFormat="1" applyFont="1" applyFill="1" applyBorder="1" applyAlignment="1" applyProtection="1">
      <alignment horizontal="center"/>
    </xf>
    <xf numFmtId="0" fontId="0" fillId="5" borderId="34" xfId="0" applyFill="1" applyBorder="1"/>
    <xf numFmtId="37" fontId="8" fillId="5" borderId="34" xfId="0" applyNumberFormat="1" applyFont="1" applyFill="1" applyBorder="1" applyAlignment="1" applyProtection="1">
      <alignment vertical="center"/>
    </xf>
    <xf numFmtId="0" fontId="22" fillId="5" borderId="0" xfId="0" applyFont="1" applyFill="1" applyBorder="1" applyProtection="1"/>
    <xf numFmtId="0" fontId="5" fillId="5" borderId="34" xfId="0" applyFont="1" applyFill="1" applyBorder="1" applyProtection="1"/>
    <xf numFmtId="0" fontId="23" fillId="5" borderId="0" xfId="0" applyFont="1" applyFill="1" applyBorder="1"/>
    <xf numFmtId="37" fontId="19" fillId="5" borderId="34" xfId="3" applyNumberFormat="1" applyFont="1" applyFill="1" applyBorder="1" applyAlignment="1"/>
    <xf numFmtId="37" fontId="19" fillId="5" borderId="0" xfId="3" applyNumberFormat="1" applyFont="1" applyFill="1" applyBorder="1" applyAlignment="1"/>
    <xf numFmtId="0" fontId="20" fillId="5" borderId="0" xfId="0" applyFont="1" applyFill="1" applyProtection="1"/>
    <xf numFmtId="166" fontId="4" fillId="5" borderId="0" xfId="0" applyNumberFormat="1" applyFont="1" applyFill="1" applyProtection="1"/>
    <xf numFmtId="167" fontId="4" fillId="5" borderId="0" xfId="0" applyNumberFormat="1" applyFont="1" applyFill="1" applyProtection="1"/>
    <xf numFmtId="169" fontId="4" fillId="5" borderId="0" xfId="1" applyNumberFormat="1" applyFont="1" applyFill="1" applyProtection="1"/>
    <xf numFmtId="167" fontId="5" fillId="5" borderId="0" xfId="0" applyNumberFormat="1" applyFont="1" applyFill="1" applyProtection="1"/>
    <xf numFmtId="166" fontId="5" fillId="5" borderId="0" xfId="0" applyNumberFormat="1" applyFont="1" applyFill="1" applyProtection="1"/>
    <xf numFmtId="0" fontId="0" fillId="5" borderId="58" xfId="0" applyFill="1" applyBorder="1"/>
    <xf numFmtId="0" fontId="0" fillId="5" borderId="45" xfId="0" applyFill="1" applyBorder="1"/>
    <xf numFmtId="0" fontId="23" fillId="5" borderId="45" xfId="0" applyFont="1" applyFill="1" applyBorder="1" applyAlignment="1">
      <alignment horizontal="center"/>
    </xf>
    <xf numFmtId="0" fontId="0" fillId="5" borderId="46" xfId="0" applyFill="1" applyBorder="1"/>
    <xf numFmtId="165" fontId="4" fillId="5" borderId="48" xfId="0" applyNumberFormat="1" applyFont="1" applyFill="1" applyBorder="1" applyAlignment="1" applyProtection="1">
      <alignment horizontal="center"/>
    </xf>
    <xf numFmtId="165" fontId="5" fillId="5" borderId="59" xfId="0" applyNumberFormat="1" applyFont="1" applyFill="1" applyBorder="1" applyAlignment="1" applyProtection="1">
      <alignment horizontal="center"/>
    </xf>
    <xf numFmtId="165" fontId="28" fillId="5" borderId="60" xfId="0" applyNumberFormat="1" applyFont="1" applyFill="1" applyBorder="1" applyAlignment="1" applyProtection="1">
      <alignment horizontal="center"/>
    </xf>
    <xf numFmtId="0" fontId="5" fillId="5" borderId="47" xfId="0" applyFont="1" applyFill="1" applyBorder="1" applyProtection="1"/>
    <xf numFmtId="0" fontId="28" fillId="5" borderId="48" xfId="0" applyFont="1" applyFill="1" applyBorder="1" applyProtection="1"/>
    <xf numFmtId="37" fontId="8" fillId="2" borderId="47" xfId="0" applyNumberFormat="1" applyFont="1" applyFill="1" applyBorder="1" applyAlignment="1" applyProtection="1">
      <alignment vertical="center"/>
    </xf>
    <xf numFmtId="37" fontId="22" fillId="2" borderId="0" xfId="0" applyNumberFormat="1" applyFont="1" applyFill="1" applyBorder="1" applyAlignment="1" applyProtection="1">
      <alignment vertical="center"/>
    </xf>
    <xf numFmtId="37" fontId="28" fillId="2" borderId="48" xfId="0" applyNumberFormat="1" applyFont="1" applyFill="1" applyBorder="1" applyAlignment="1" applyProtection="1">
      <alignment vertical="center"/>
    </xf>
    <xf numFmtId="0" fontId="8" fillId="5" borderId="47" xfId="0" applyFont="1" applyFill="1" applyBorder="1" applyProtection="1"/>
    <xf numFmtId="0" fontId="8" fillId="5" borderId="0" xfId="0" applyFont="1" applyFill="1" applyBorder="1" applyProtection="1"/>
    <xf numFmtId="37" fontId="8" fillId="5" borderId="47" xfId="0" applyNumberFormat="1" applyFont="1" applyFill="1" applyBorder="1" applyAlignment="1" applyProtection="1">
      <alignment vertical="center"/>
    </xf>
    <xf numFmtId="37" fontId="28" fillId="5" borderId="48" xfId="0" applyNumberFormat="1" applyFont="1" applyFill="1" applyBorder="1" applyAlignment="1" applyProtection="1">
      <alignment vertical="center"/>
    </xf>
    <xf numFmtId="37" fontId="19" fillId="2" borderId="47" xfId="0" applyNumberFormat="1" applyFont="1" applyFill="1" applyBorder="1" applyAlignment="1" applyProtection="1">
      <alignment vertical="center"/>
    </xf>
    <xf numFmtId="37" fontId="24" fillId="3" borderId="0" xfId="3" applyNumberFormat="1" applyFont="1" applyFill="1" applyBorder="1" applyAlignment="1"/>
    <xf numFmtId="37" fontId="29" fillId="3" borderId="48" xfId="3" applyNumberFormat="1" applyFont="1" applyFill="1" applyBorder="1" applyAlignment="1"/>
    <xf numFmtId="37" fontId="8" fillId="5" borderId="47" xfId="0" applyNumberFormat="1" applyFont="1" applyFill="1" applyBorder="1" applyProtection="1"/>
    <xf numFmtId="37" fontId="8" fillId="5" borderId="0" xfId="0" applyNumberFormat="1" applyFont="1" applyFill="1" applyBorder="1" applyProtection="1"/>
    <xf numFmtId="37" fontId="22" fillId="5" borderId="0" xfId="0" applyNumberFormat="1" applyFont="1" applyFill="1" applyBorder="1" applyProtection="1"/>
    <xf numFmtId="37" fontId="28" fillId="5" borderId="48" xfId="0" applyNumberFormat="1" applyFont="1" applyFill="1" applyBorder="1" applyProtection="1"/>
    <xf numFmtId="37" fontId="22" fillId="5" borderId="0" xfId="3" applyNumberFormat="1" applyFont="1" applyFill="1" applyBorder="1" applyAlignment="1"/>
    <xf numFmtId="37" fontId="28" fillId="5" borderId="48" xfId="3" applyNumberFormat="1" applyFont="1" applyFill="1" applyBorder="1" applyAlignment="1"/>
    <xf numFmtId="37" fontId="8" fillId="5" borderId="47" xfId="0" applyNumberFormat="1" applyFont="1" applyFill="1" applyBorder="1" applyAlignment="1" applyProtection="1">
      <alignment horizontal="right" vertical="center"/>
    </xf>
    <xf numFmtId="37" fontId="19" fillId="2" borderId="49" xfId="0" applyNumberFormat="1" applyFont="1" applyFill="1" applyBorder="1" applyAlignment="1" applyProtection="1">
      <alignment vertical="center"/>
    </xf>
    <xf numFmtId="37" fontId="19" fillId="2" borderId="50" xfId="0" applyNumberFormat="1" applyFont="1" applyFill="1" applyBorder="1" applyAlignment="1" applyProtection="1">
      <alignment vertical="center"/>
    </xf>
    <xf numFmtId="37" fontId="19" fillId="3" borderId="50" xfId="3" applyNumberFormat="1" applyFont="1" applyFill="1" applyBorder="1" applyAlignment="1"/>
    <xf numFmtId="37" fontId="24" fillId="3" borderId="50" xfId="3" applyNumberFormat="1" applyFont="1" applyFill="1" applyBorder="1" applyAlignment="1"/>
    <xf numFmtId="37" fontId="29" fillId="3" borderId="51" xfId="3" applyNumberFormat="1" applyFont="1" applyFill="1" applyBorder="1" applyAlignment="1"/>
    <xf numFmtId="169" fontId="5" fillId="5" borderId="58" xfId="1" applyNumberFormat="1" applyFont="1" applyFill="1" applyBorder="1" applyProtection="1"/>
    <xf numFmtId="169" fontId="5" fillId="5" borderId="47" xfId="1" applyNumberFormat="1" applyFont="1" applyFill="1" applyBorder="1" applyProtection="1"/>
    <xf numFmtId="0" fontId="0" fillId="5" borderId="48" xfId="0" applyFill="1" applyBorder="1"/>
    <xf numFmtId="169" fontId="0" fillId="5" borderId="47" xfId="1" applyNumberFormat="1" applyFont="1" applyFill="1" applyBorder="1"/>
    <xf numFmtId="37" fontId="8" fillId="2" borderId="48" xfId="0" applyNumberFormat="1" applyFont="1" applyFill="1" applyBorder="1" applyAlignment="1" applyProtection="1">
      <alignment vertical="center"/>
    </xf>
    <xf numFmtId="169" fontId="2" fillId="5" borderId="47" xfId="1" applyNumberFormat="1" applyFont="1" applyFill="1" applyBorder="1"/>
    <xf numFmtId="169" fontId="29" fillId="3" borderId="48" xfId="1" applyNumberFormat="1" applyFont="1" applyFill="1" applyBorder="1" applyAlignment="1"/>
    <xf numFmtId="169" fontId="2" fillId="0" borderId="49" xfId="1" applyNumberFormat="1" applyFont="1" applyBorder="1"/>
    <xf numFmtId="10" fontId="4" fillId="0" borderId="50" xfId="2" applyNumberFormat="1" applyFont="1" applyBorder="1" applyProtection="1"/>
    <xf numFmtId="10" fontId="24" fillId="0" borderId="50" xfId="2" applyNumberFormat="1" applyFont="1" applyBorder="1" applyProtection="1"/>
    <xf numFmtId="169" fontId="4" fillId="7" borderId="0" xfId="1" applyNumberFormat="1" applyFont="1" applyFill="1" applyBorder="1" applyProtection="1"/>
    <xf numFmtId="169" fontId="4" fillId="7" borderId="50" xfId="1" applyNumberFormat="1" applyFont="1" applyFill="1" applyBorder="1" applyProtection="1"/>
    <xf numFmtId="165" fontId="5" fillId="5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/>
    </xf>
    <xf numFmtId="0" fontId="17" fillId="0" borderId="0" xfId="0" applyNumberFormat="1" applyFont="1" applyAlignment="1" applyProtection="1">
      <alignment horizontal="centerContinuous"/>
    </xf>
    <xf numFmtId="0" fontId="18" fillId="0" borderId="0" xfId="0" applyNumberFormat="1" applyFont="1" applyAlignment="1" applyProtection="1">
      <alignment horizontal="centerContinuous"/>
    </xf>
    <xf numFmtId="0" fontId="17" fillId="0" borderId="0" xfId="0" applyNumberFormat="1" applyFont="1" applyBorder="1" applyAlignment="1" applyProtection="1">
      <alignment horizontal="centerContinuous"/>
    </xf>
    <xf numFmtId="0" fontId="17" fillId="0" borderId="1" xfId="0" applyNumberFormat="1" applyFont="1" applyBorder="1" applyAlignment="1" applyProtection="1">
      <alignment horizontal="center"/>
    </xf>
    <xf numFmtId="0" fontId="4" fillId="0" borderId="0" xfId="0" applyNumberFormat="1" applyFont="1" applyBorder="1" applyProtection="1"/>
    <xf numFmtId="0" fontId="4" fillId="0" borderId="0" xfId="0" applyNumberFormat="1" applyFont="1" applyProtection="1"/>
    <xf numFmtId="0" fontId="4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</xf>
    <xf numFmtId="0" fontId="18" fillId="0" borderId="0" xfId="0" applyNumberFormat="1" applyFont="1" applyAlignment="1" applyProtection="1">
      <alignment horizontal="center"/>
    </xf>
    <xf numFmtId="0" fontId="18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Protection="1"/>
    <xf numFmtId="0" fontId="2" fillId="0" borderId="0" xfId="0" applyNumberFormat="1" applyFont="1"/>
    <xf numFmtId="1" fontId="34" fillId="0" borderId="0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/>
    <xf numFmtId="0" fontId="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3" fontId="35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37" fontId="2" fillId="5" borderId="0" xfId="0" applyNumberFormat="1" applyFont="1" applyFill="1"/>
    <xf numFmtId="18" fontId="0" fillId="5" borderId="0" xfId="0" applyNumberFormat="1" applyFill="1"/>
    <xf numFmtId="169" fontId="33" fillId="5" borderId="0" xfId="1" applyNumberFormat="1" applyFont="1" applyFill="1"/>
    <xf numFmtId="169" fontId="0" fillId="5" borderId="0" xfId="1" applyNumberFormat="1" applyFont="1" applyFill="1"/>
    <xf numFmtId="3" fontId="0" fillId="5" borderId="0" xfId="0" applyNumberFormat="1" applyFont="1" applyFill="1" applyBorder="1" applyAlignment="1">
      <alignment horizontal="center"/>
    </xf>
    <xf numFmtId="3" fontId="0" fillId="5" borderId="0" xfId="0" applyNumberFormat="1" applyFont="1" applyFill="1" applyBorder="1" applyAlignment="1">
      <alignment horizontal="center"/>
    </xf>
    <xf numFmtId="3" fontId="0" fillId="5" borderId="28" xfId="0" applyNumberFormat="1" applyFont="1" applyFill="1" applyBorder="1" applyAlignment="1">
      <alignment horizontal="center"/>
    </xf>
    <xf numFmtId="165" fontId="4" fillId="0" borderId="39" xfId="0" applyNumberFormat="1" applyFont="1" applyFill="1" applyBorder="1" applyAlignment="1" applyProtection="1">
      <alignment horizontal="center"/>
    </xf>
    <xf numFmtId="165" fontId="4" fillId="0" borderId="4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Alignment="1" applyProtection="1">
      <alignment horizontal="center"/>
    </xf>
    <xf numFmtId="169" fontId="4" fillId="0" borderId="40" xfId="1" applyNumberFormat="1" applyFont="1" applyBorder="1" applyAlignment="1" applyProtection="1">
      <alignment horizontal="center"/>
    </xf>
    <xf numFmtId="0" fontId="2" fillId="0" borderId="40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165" fontId="4" fillId="5" borderId="47" xfId="0" applyNumberFormat="1" applyFont="1" applyFill="1" applyBorder="1" applyAlignment="1" applyProtection="1">
      <alignment horizontal="center"/>
    </xf>
    <xf numFmtId="165" fontId="4" fillId="5" borderId="0" xfId="0" applyNumberFormat="1" applyFont="1" applyFill="1" applyBorder="1" applyAlignment="1" applyProtection="1">
      <alignment horizontal="center"/>
    </xf>
    <xf numFmtId="0" fontId="25" fillId="5" borderId="0" xfId="0" applyFont="1" applyFill="1" applyAlignment="1" applyProtection="1">
      <alignment horizontal="center"/>
    </xf>
    <xf numFmtId="19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 vertical="center" textRotation="90" wrapText="1"/>
    </xf>
    <xf numFmtId="165" fontId="4" fillId="5" borderId="39" xfId="0" applyNumberFormat="1" applyFont="1" applyFill="1" applyBorder="1" applyAlignment="1" applyProtection="1">
      <alignment horizontal="center"/>
    </xf>
    <xf numFmtId="165" fontId="4" fillId="5" borderId="40" xfId="0" applyNumberFormat="1" applyFont="1" applyFill="1" applyBorder="1" applyAlignment="1" applyProtection="1">
      <alignment horizontal="center"/>
    </xf>
    <xf numFmtId="37" fontId="36" fillId="5" borderId="0" xfId="0" applyNumberFormat="1" applyFont="1" applyFill="1" applyBorder="1" applyAlignment="1" applyProtection="1">
      <alignment vertical="center"/>
    </xf>
    <xf numFmtId="37" fontId="37" fillId="5" borderId="0" xfId="0" applyNumberFormat="1" applyFont="1" applyFill="1" applyBorder="1" applyAlignment="1" applyProtection="1">
      <alignment vertical="center"/>
    </xf>
    <xf numFmtId="37" fontId="38" fillId="5" borderId="0" xfId="0" applyNumberFormat="1" applyFont="1" applyFill="1" applyBorder="1" applyAlignment="1" applyProtection="1">
      <alignment vertical="center"/>
    </xf>
    <xf numFmtId="3" fontId="39" fillId="5" borderId="0" xfId="0" applyNumberFormat="1" applyFont="1" applyFill="1" applyBorder="1" applyAlignment="1">
      <alignment horizontal="center"/>
    </xf>
    <xf numFmtId="3" fontId="39" fillId="5" borderId="0" xfId="0" applyNumberFormat="1" applyFont="1" applyFill="1" applyAlignment="1"/>
    <xf numFmtId="3" fontId="39" fillId="5" borderId="4" xfId="0" applyNumberFormat="1" applyFont="1" applyFill="1" applyBorder="1" applyAlignment="1"/>
    <xf numFmtId="3" fontId="39" fillId="5" borderId="4" xfId="0" applyNumberFormat="1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2003" xfId="5" xr:uid="{00000000-0005-0000-0000-000002000000}"/>
    <cellStyle name="Normal_2009" xfId="4" xr:uid="{00000000-0005-0000-0000-000003000000}"/>
    <cellStyle name="Normal_Summary" xfId="3" xr:uid="{00000000-0005-0000-0000-000004000000}"/>
    <cellStyle name="Percent" xfId="2" builtinId="5"/>
  </cellStyles>
  <dxfs count="15"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Distribution</a:t>
            </a:r>
          </a:p>
        </c:rich>
      </c:tx>
      <c:layout>
        <c:manualLayout>
          <c:xMode val="edge"/>
          <c:yMode val="edge"/>
          <c:x val="0.40648268303054297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5737442041645"/>
          <c:y val="0.15782407407407409"/>
          <c:w val="0.83562046638982812"/>
          <c:h val="0.55779488960938706"/>
        </c:manualLayout>
      </c:layout>
      <c:lineChart>
        <c:grouping val="standard"/>
        <c:varyColors val="0"/>
        <c:ser>
          <c:idx val="0"/>
          <c:order val="0"/>
          <c:tx>
            <c:v>Southbound</c:v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Hourly_Distribution!$A$2:$A$25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Hourly_Distribution!$B$2:$B$25</c:f>
              <c:numCache>
                <c:formatCode>General</c:formatCode>
                <c:ptCount val="24"/>
                <c:pt idx="0">
                  <c:v>3.6830970000000002E-3</c:v>
                </c:pt>
                <c:pt idx="1">
                  <c:v>2.5089880000000002E-3</c:v>
                </c:pt>
                <c:pt idx="2">
                  <c:v>2.1244200000000001E-3</c:v>
                </c:pt>
                <c:pt idx="3">
                  <c:v>3.6966199999999999E-3</c:v>
                </c:pt>
                <c:pt idx="4">
                  <c:v>9.3032559999999993E-3</c:v>
                </c:pt>
                <c:pt idx="5">
                  <c:v>3.1826087000000003E-2</c:v>
                </c:pt>
                <c:pt idx="6">
                  <c:v>9.0633703999999995E-2</c:v>
                </c:pt>
                <c:pt idx="7">
                  <c:v>0.104635625</c:v>
                </c:pt>
                <c:pt idx="8">
                  <c:v>9.6561570999999999E-2</c:v>
                </c:pt>
                <c:pt idx="9">
                  <c:v>7.4382278999999996E-2</c:v>
                </c:pt>
                <c:pt idx="10">
                  <c:v>6.4167779999999994E-2</c:v>
                </c:pt>
                <c:pt idx="11">
                  <c:v>6.1189687E-2</c:v>
                </c:pt>
                <c:pt idx="12">
                  <c:v>5.7894769999999998E-2</c:v>
                </c:pt>
                <c:pt idx="13">
                  <c:v>5.1975215999999998E-2</c:v>
                </c:pt>
                <c:pt idx="14">
                  <c:v>5.1470246999999997E-2</c:v>
                </c:pt>
                <c:pt idx="15">
                  <c:v>5.2849314000000001E-2</c:v>
                </c:pt>
                <c:pt idx="16">
                  <c:v>5.2996128000000003E-2</c:v>
                </c:pt>
                <c:pt idx="17">
                  <c:v>5.398468E-2</c:v>
                </c:pt>
                <c:pt idx="18">
                  <c:v>4.6170152999999998E-2</c:v>
                </c:pt>
                <c:pt idx="19">
                  <c:v>3.1665604E-2</c:v>
                </c:pt>
                <c:pt idx="20">
                  <c:v>2.1046331000000001E-2</c:v>
                </c:pt>
                <c:pt idx="21">
                  <c:v>1.6878157000000001E-2</c:v>
                </c:pt>
                <c:pt idx="22">
                  <c:v>1.1786059999999999E-2</c:v>
                </c:pt>
                <c:pt idx="23">
                  <c:v>6.5702249999999999E-3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6C3-9E07-B2B6227FA7B0}"/>
            </c:ext>
          </c:extLst>
        </c:ser>
        <c:ser>
          <c:idx val="1"/>
          <c:order val="1"/>
          <c:tx>
            <c:v>Northbound</c:v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Hourly_Distribution!$A$2:$A$25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Hourly_Distribution!$C$2:$C$25</c:f>
              <c:numCache>
                <c:formatCode>General</c:formatCode>
                <c:ptCount val="24"/>
                <c:pt idx="0">
                  <c:v>1.0775498999999999E-2</c:v>
                </c:pt>
                <c:pt idx="1">
                  <c:v>5.890373E-3</c:v>
                </c:pt>
                <c:pt idx="2">
                  <c:v>3.8535169999999999E-3</c:v>
                </c:pt>
                <c:pt idx="3">
                  <c:v>3.4994549999999998E-3</c:v>
                </c:pt>
                <c:pt idx="4">
                  <c:v>3.8522109999999999E-3</c:v>
                </c:pt>
                <c:pt idx="5">
                  <c:v>7.2213080000000001E-3</c:v>
                </c:pt>
                <c:pt idx="6">
                  <c:v>1.9683599E-2</c:v>
                </c:pt>
                <c:pt idx="7">
                  <c:v>3.1622303999999997E-2</c:v>
                </c:pt>
                <c:pt idx="8">
                  <c:v>3.4008274999999998E-2</c:v>
                </c:pt>
                <c:pt idx="9">
                  <c:v>3.7594724000000003E-2</c:v>
                </c:pt>
                <c:pt idx="10">
                  <c:v>3.8167636999999997E-2</c:v>
                </c:pt>
                <c:pt idx="11">
                  <c:v>4.2753484000000001E-2</c:v>
                </c:pt>
                <c:pt idx="12">
                  <c:v>4.8322762999999998E-2</c:v>
                </c:pt>
                <c:pt idx="13">
                  <c:v>5.4718445999999997E-2</c:v>
                </c:pt>
                <c:pt idx="14">
                  <c:v>6.3818199000000006E-2</c:v>
                </c:pt>
                <c:pt idx="15">
                  <c:v>8.8184425999999996E-2</c:v>
                </c:pt>
                <c:pt idx="16">
                  <c:v>0.113628224</c:v>
                </c:pt>
                <c:pt idx="17">
                  <c:v>0.11172533</c:v>
                </c:pt>
                <c:pt idx="18">
                  <c:v>9.1227570999999993E-2</c:v>
                </c:pt>
                <c:pt idx="19">
                  <c:v>6.0225945000000003E-2</c:v>
                </c:pt>
                <c:pt idx="20">
                  <c:v>4.4802254E-2</c:v>
                </c:pt>
                <c:pt idx="21">
                  <c:v>3.6891502E-2</c:v>
                </c:pt>
                <c:pt idx="22">
                  <c:v>2.7675203999999998E-2</c:v>
                </c:pt>
                <c:pt idx="23">
                  <c:v>1.985775E-2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7-46C3-9E07-B2B6227FA7B0}"/>
            </c:ext>
          </c:extLst>
        </c:ser>
        <c:ser>
          <c:idx val="2"/>
          <c:order val="2"/>
          <c:tx>
            <c:strRef>
              <c:f>Hourly_Distribution!$D$1</c:f>
              <c:strCache>
                <c:ptCount val="1"/>
                <c:pt idx="0">
                  <c:v>SB - AAWDT</c:v>
                </c:pt>
              </c:strCache>
            </c:strRef>
          </c:tx>
          <c:spPr>
            <a:ln w="22225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Hourly_Distribution!$D$2:$D$25</c:f>
              <c:numCache>
                <c:formatCode>General</c:formatCode>
                <c:ptCount val="24"/>
                <c:pt idx="0">
                  <c:v>2.6599578239851103E-3</c:v>
                </c:pt>
                <c:pt idx="1">
                  <c:v>1.9318885759747602E-3</c:v>
                </c:pt>
                <c:pt idx="2">
                  <c:v>1.7794068988775888E-3</c:v>
                </c:pt>
                <c:pt idx="3">
                  <c:v>3.6115953537590988E-3</c:v>
                </c:pt>
                <c:pt idx="4">
                  <c:v>1.0023296294128972E-2</c:v>
                </c:pt>
                <c:pt idx="5">
                  <c:v>3.6732342406455343E-2</c:v>
                </c:pt>
                <c:pt idx="6">
                  <c:v>0.10853848685657363</c:v>
                </c:pt>
                <c:pt idx="7">
                  <c:v>0.12440002575308026</c:v>
                </c:pt>
                <c:pt idx="8">
                  <c:v>0.11015923929538271</c:v>
                </c:pt>
                <c:pt idx="9">
                  <c:v>7.7560481332808934E-2</c:v>
                </c:pt>
                <c:pt idx="10">
                  <c:v>6.0517572604874587E-2</c:v>
                </c:pt>
                <c:pt idx="11">
                  <c:v>5.3710135663914256E-2</c:v>
                </c:pt>
                <c:pt idx="12">
                  <c:v>4.9092485955086571E-2</c:v>
                </c:pt>
                <c:pt idx="13">
                  <c:v>4.537924248154114E-2</c:v>
                </c:pt>
                <c:pt idx="14">
                  <c:v>4.6893369370413274E-2</c:v>
                </c:pt>
                <c:pt idx="15">
                  <c:v>4.8342937562681862E-2</c:v>
                </c:pt>
                <c:pt idx="16">
                  <c:v>4.8383845535236641E-2</c:v>
                </c:pt>
                <c:pt idx="17">
                  <c:v>5.0559026424375368E-2</c:v>
                </c:pt>
                <c:pt idx="18">
                  <c:v>4.2552988692725051E-2</c:v>
                </c:pt>
                <c:pt idx="19">
                  <c:v>2.8419862416021218E-2</c:v>
                </c:pt>
                <c:pt idx="20">
                  <c:v>1.8669842712796016E-2</c:v>
                </c:pt>
                <c:pt idx="21">
                  <c:v>1.4626811691412014E-2</c:v>
                </c:pt>
                <c:pt idx="22">
                  <c:v>9.9328962989869499E-3</c:v>
                </c:pt>
                <c:pt idx="23">
                  <c:v>5.5222619989087288E-3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7-46C3-9E07-B2B6227FA7B0}"/>
            </c:ext>
          </c:extLst>
        </c:ser>
        <c:ser>
          <c:idx val="3"/>
          <c:order val="3"/>
          <c:tx>
            <c:strRef>
              <c:f>Hourly_Distribution!$E$1</c:f>
              <c:strCache>
                <c:ptCount val="1"/>
                <c:pt idx="0">
                  <c:v>NB - AAWDT</c:v>
                </c:pt>
              </c:strCache>
            </c:strRef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Hourly_Distribution!$E$2:$E$25</c:f>
              <c:numCache>
                <c:formatCode>General</c:formatCode>
                <c:ptCount val="24"/>
                <c:pt idx="0">
                  <c:v>8.1155603693228266E-3</c:v>
                </c:pt>
                <c:pt idx="1">
                  <c:v>4.1934008084615641E-3</c:v>
                </c:pt>
                <c:pt idx="2">
                  <c:v>2.592016735737081E-3</c:v>
                </c:pt>
                <c:pt idx="3">
                  <c:v>2.3503172903332741E-3</c:v>
                </c:pt>
                <c:pt idx="4">
                  <c:v>3.4940396605805538E-3</c:v>
                </c:pt>
                <c:pt idx="5">
                  <c:v>7.2973809697023046E-3</c:v>
                </c:pt>
                <c:pt idx="6">
                  <c:v>2.1132767894593538E-2</c:v>
                </c:pt>
                <c:pt idx="7">
                  <c:v>3.3713956626951959E-2</c:v>
                </c:pt>
                <c:pt idx="8">
                  <c:v>3.4927417127434732E-2</c:v>
                </c:pt>
                <c:pt idx="9">
                  <c:v>3.6643861843293712E-2</c:v>
                </c:pt>
                <c:pt idx="10">
                  <c:v>3.5373334947100279E-2</c:v>
                </c:pt>
                <c:pt idx="11">
                  <c:v>3.8638050602955366E-2</c:v>
                </c:pt>
                <c:pt idx="12">
                  <c:v>4.4768825474479544E-2</c:v>
                </c:pt>
                <c:pt idx="13">
                  <c:v>5.0585253265230501E-2</c:v>
                </c:pt>
                <c:pt idx="14">
                  <c:v>6.1866973520224966E-2</c:v>
                </c:pt>
                <c:pt idx="15">
                  <c:v>9.0575590590572019E-2</c:v>
                </c:pt>
                <c:pt idx="16">
                  <c:v>0.12347843708776486</c:v>
                </c:pt>
                <c:pt idx="17">
                  <c:v>0.12252996673779165</c:v>
                </c:pt>
                <c:pt idx="18">
                  <c:v>9.6337591310933668E-2</c:v>
                </c:pt>
                <c:pt idx="19">
                  <c:v>6.0174705578730614E-2</c:v>
                </c:pt>
                <c:pt idx="20">
                  <c:v>4.3090296327111755E-2</c:v>
                </c:pt>
                <c:pt idx="21">
                  <c:v>3.4998596953220218E-2</c:v>
                </c:pt>
                <c:pt idx="22">
                  <c:v>2.5192536562499958E-2</c:v>
                </c:pt>
                <c:pt idx="23">
                  <c:v>1.7929121714973052E-2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7-46C3-9E07-B2B6227F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20416"/>
        <c:axId val="820316496"/>
      </c:lineChart>
      <c:catAx>
        <c:axId val="82032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</a:t>
                </a:r>
              </a:p>
            </c:rich>
          </c:tx>
          <c:layout>
            <c:manualLayout>
              <c:xMode val="edge"/>
              <c:yMode val="edge"/>
              <c:x val="0.48533379473098998"/>
              <c:y val="0.7981283130049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6496"/>
        <c:crosses val="autoZero"/>
        <c:auto val="1"/>
        <c:lblAlgn val="ctr"/>
        <c:lblOffset val="100"/>
        <c:noMultiLvlLbl val="0"/>
      </c:catAx>
      <c:valAx>
        <c:axId val="82031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Distribution</a:t>
                </a:r>
              </a:p>
            </c:rich>
          </c:tx>
          <c:layout>
            <c:manualLayout>
              <c:xMode val="edge"/>
              <c:yMode val="edge"/>
              <c:x val="1.7267429107384633E-2"/>
              <c:y val="0.2572586974422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AADT Hourly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3525340089586"/>
          <c:y val="0.11763041338582678"/>
          <c:w val="0.81896186161087403"/>
          <c:h val="0.7250567311898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Hourly_Parameters!$B$1</c:f>
              <c:strCache>
                <c:ptCount val="1"/>
                <c:pt idx="0">
                  <c:v>Old Vets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Hourly_Parameters!$A$2:$A$25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Hourly_Parameters!$B$2:$B$25</c:f>
              <c:numCache>
                <c:formatCode>General</c:formatCode>
                <c:ptCount val="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-2.25</c:v>
                </c:pt>
                <c:pt idx="11">
                  <c:v>-2.25</c:v>
                </c:pt>
                <c:pt idx="12">
                  <c:v>-2.25</c:v>
                </c:pt>
                <c:pt idx="13">
                  <c:v>-2.25</c:v>
                </c:pt>
                <c:pt idx="14">
                  <c:v>-2.25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1-4A3E-9D71-68EBC5B2285A}"/>
            </c:ext>
          </c:extLst>
        </c:ser>
        <c:ser>
          <c:idx val="1"/>
          <c:order val="1"/>
          <c:tx>
            <c:strRef>
              <c:f>Hourly_Parameters!$C$1</c:f>
              <c:strCache>
                <c:ptCount val="1"/>
                <c:pt idx="0">
                  <c:v>HEFT v4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Hourly_Parameters!$A$2:$A$25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Hourly_Parameters!$C$2:$C$25</c:f>
              <c:numCache>
                <c:formatCode>General</c:formatCode>
                <c:ptCount val="24"/>
                <c:pt idx="0">
                  <c:v>-2.6807889839999999</c:v>
                </c:pt>
                <c:pt idx="1">
                  <c:v>-2.6807889839999999</c:v>
                </c:pt>
                <c:pt idx="2">
                  <c:v>-2.6807889839999999</c:v>
                </c:pt>
                <c:pt idx="3">
                  <c:v>-2.6807889839999999</c:v>
                </c:pt>
                <c:pt idx="4">
                  <c:v>-2.6807889839999999</c:v>
                </c:pt>
                <c:pt idx="5">
                  <c:v>-2.6807889839999999</c:v>
                </c:pt>
                <c:pt idx="6">
                  <c:v>-2.032730516</c:v>
                </c:pt>
                <c:pt idx="7">
                  <c:v>-1.1927305159999999</c:v>
                </c:pt>
                <c:pt idx="8">
                  <c:v>-1.1927305159999999</c:v>
                </c:pt>
                <c:pt idx="9">
                  <c:v>-1.1927305159999999</c:v>
                </c:pt>
                <c:pt idx="10">
                  <c:v>-2.032730516</c:v>
                </c:pt>
                <c:pt idx="11">
                  <c:v>-1.6407305160000001</c:v>
                </c:pt>
                <c:pt idx="12">
                  <c:v>-1.6407305160000001</c:v>
                </c:pt>
                <c:pt idx="13">
                  <c:v>-1.6407305160000001</c:v>
                </c:pt>
                <c:pt idx="14">
                  <c:v>-2.032730516</c:v>
                </c:pt>
                <c:pt idx="15">
                  <c:v>-1.1927305159999999</c:v>
                </c:pt>
                <c:pt idx="16">
                  <c:v>-1.1927305159999999</c:v>
                </c:pt>
                <c:pt idx="17">
                  <c:v>-1.1927305159999999</c:v>
                </c:pt>
                <c:pt idx="18">
                  <c:v>-2.032730516</c:v>
                </c:pt>
                <c:pt idx="19">
                  <c:v>-2.6807889839999999</c:v>
                </c:pt>
                <c:pt idx="20">
                  <c:v>-2.6807889839999999</c:v>
                </c:pt>
                <c:pt idx="21">
                  <c:v>-2.6807889839999999</c:v>
                </c:pt>
                <c:pt idx="22">
                  <c:v>-2.6807889839999999</c:v>
                </c:pt>
                <c:pt idx="23">
                  <c:v>-2.6807889839999999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1-4A3E-9D71-68EBC5B2285A}"/>
            </c:ext>
          </c:extLst>
        </c:ser>
        <c:ser>
          <c:idx val="2"/>
          <c:order val="2"/>
          <c:tx>
            <c:strRef>
              <c:f>Hourly_Parameters!$D$1</c:f>
              <c:strCache>
                <c:ptCount val="1"/>
                <c:pt idx="0">
                  <c:v>VETS v4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Hourly_Parameters!$D$2:$D$25</c:f>
              <c:numCache>
                <c:formatCode>General</c:formatCode>
                <c:ptCount val="24"/>
                <c:pt idx="0">
                  <c:v>-2.6807889839999999</c:v>
                </c:pt>
                <c:pt idx="1">
                  <c:v>-2.6807889839999999</c:v>
                </c:pt>
                <c:pt idx="2">
                  <c:v>-2.6807889839999999</c:v>
                </c:pt>
                <c:pt idx="3">
                  <c:v>-2.6807889839999999</c:v>
                </c:pt>
                <c:pt idx="4">
                  <c:v>-2.6807889839999999</c:v>
                </c:pt>
                <c:pt idx="5">
                  <c:v>-2.032730516</c:v>
                </c:pt>
                <c:pt idx="6">
                  <c:v>-1.1927305159999999</c:v>
                </c:pt>
                <c:pt idx="7">
                  <c:v>-1.1927305159999999</c:v>
                </c:pt>
                <c:pt idx="8">
                  <c:v>-1.1927305159999999</c:v>
                </c:pt>
                <c:pt idx="9">
                  <c:v>-2.032730516</c:v>
                </c:pt>
                <c:pt idx="10">
                  <c:v>-1.6407305160000001</c:v>
                </c:pt>
                <c:pt idx="11">
                  <c:v>-1.6407305160000001</c:v>
                </c:pt>
                <c:pt idx="12">
                  <c:v>-1.6407305160000001</c:v>
                </c:pt>
                <c:pt idx="13">
                  <c:v>-1.6407305160000001</c:v>
                </c:pt>
                <c:pt idx="14">
                  <c:v>-1.6407305160000001</c:v>
                </c:pt>
                <c:pt idx="15">
                  <c:v>-2.032730516</c:v>
                </c:pt>
                <c:pt idx="16">
                  <c:v>-1.1927305159999999</c:v>
                </c:pt>
                <c:pt idx="17">
                  <c:v>-1.1927305159999999</c:v>
                </c:pt>
                <c:pt idx="18">
                  <c:v>-1.1927305159999999</c:v>
                </c:pt>
                <c:pt idx="19">
                  <c:v>-2.032730516</c:v>
                </c:pt>
                <c:pt idx="20">
                  <c:v>-2.6807889839999999</c:v>
                </c:pt>
                <c:pt idx="21">
                  <c:v>-2.6807889839999999</c:v>
                </c:pt>
                <c:pt idx="22">
                  <c:v>-2.6807889839999999</c:v>
                </c:pt>
                <c:pt idx="23">
                  <c:v>-2.6807889839999999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1-4A3E-9D71-68EBC5B2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20319240"/>
        <c:axId val="820323944"/>
      </c:barChart>
      <c:catAx>
        <c:axId val="82031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37592330081281444"/>
              <c:y val="0.9138342826194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23944"/>
        <c:crossesAt val="-4"/>
        <c:auto val="1"/>
        <c:lblAlgn val="ctr"/>
        <c:lblOffset val="100"/>
        <c:noMultiLvlLbl val="0"/>
      </c:catAx>
      <c:valAx>
        <c:axId val="8203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54207106665829"/>
          <c:y val="0.22725111338483817"/>
          <c:w val="9.0480844766793939E-2"/>
          <c:h val="0.16908935982200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09626087315"/>
          <c:y val="0.21322188449848023"/>
          <c:w val="0.86867536518668154"/>
          <c:h val="0.592865120583331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Hourly_Parameters!$E$1</c:f>
              <c:strCache>
                <c:ptCount val="1"/>
                <c:pt idx="0">
                  <c:v>VETS v5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Hourly_Parameters!$A$2:$A$25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Hourly_Parameters!$E$2:$E$25</c:f>
              <c:numCache>
                <c:formatCode>General</c:formatCode>
                <c:ptCount val="24"/>
                <c:pt idx="0">
                  <c:v>-2.6807889839999999</c:v>
                </c:pt>
                <c:pt idx="1">
                  <c:v>-2.6807889839999999</c:v>
                </c:pt>
                <c:pt idx="2">
                  <c:v>-2.6807889839999999</c:v>
                </c:pt>
                <c:pt idx="3">
                  <c:v>-2.6807889839999999</c:v>
                </c:pt>
                <c:pt idx="4">
                  <c:v>-2.6807889839999999</c:v>
                </c:pt>
                <c:pt idx="5">
                  <c:v>-2.032730516</c:v>
                </c:pt>
                <c:pt idx="6">
                  <c:v>-1.1927305159999999</c:v>
                </c:pt>
                <c:pt idx="7">
                  <c:v>-1.1927305159999999</c:v>
                </c:pt>
                <c:pt idx="8">
                  <c:v>-1.1927305159999999</c:v>
                </c:pt>
                <c:pt idx="9">
                  <c:v>-1.1927305159999999</c:v>
                </c:pt>
                <c:pt idx="10">
                  <c:v>-1.6407305160000001</c:v>
                </c:pt>
                <c:pt idx="11">
                  <c:v>-1.6407305160000001</c:v>
                </c:pt>
                <c:pt idx="12">
                  <c:v>-1.6407305160000001</c:v>
                </c:pt>
                <c:pt idx="13">
                  <c:v>-1.6407305160000001</c:v>
                </c:pt>
                <c:pt idx="14">
                  <c:v>-1.6407305160000001</c:v>
                </c:pt>
                <c:pt idx="15">
                  <c:v>-1.1927305159999999</c:v>
                </c:pt>
                <c:pt idx="16">
                  <c:v>-1.1927305159999999</c:v>
                </c:pt>
                <c:pt idx="17">
                  <c:v>-1.1927305159999999</c:v>
                </c:pt>
                <c:pt idx="18">
                  <c:v>-1.1927305159999999</c:v>
                </c:pt>
                <c:pt idx="19">
                  <c:v>-2.032730516</c:v>
                </c:pt>
                <c:pt idx="20">
                  <c:v>-2.6807889839999999</c:v>
                </c:pt>
                <c:pt idx="21">
                  <c:v>-2.6807889839999999</c:v>
                </c:pt>
                <c:pt idx="22">
                  <c:v>-2.6807889839999999</c:v>
                </c:pt>
                <c:pt idx="23">
                  <c:v>-2.6807889839999999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4-4A03-88D6-AAD5470E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20024"/>
        <c:axId val="820325120"/>
      </c:barChart>
      <c:catAx>
        <c:axId val="8203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25120"/>
        <c:crossesAt val="-3.5"/>
        <c:auto val="1"/>
        <c:lblAlgn val="ctr"/>
        <c:lblOffset val="100"/>
        <c:noMultiLvlLbl val="0"/>
      </c:catAx>
      <c:valAx>
        <c:axId val="820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30349314974393"/>
          <c:y val="0.1343712355104548"/>
          <c:w val="8.8965933756550333E-2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20</xdr:row>
      <xdr:rowOff>38100</xdr:rowOff>
    </xdr:from>
    <xdr:to>
      <xdr:col>5</xdr:col>
      <xdr:colOff>161925</xdr:colOff>
      <xdr:row>20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427291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20</xdr:row>
      <xdr:rowOff>38100</xdr:rowOff>
    </xdr:from>
    <xdr:to>
      <xdr:col>6</xdr:col>
      <xdr:colOff>171450</xdr:colOff>
      <xdr:row>20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>
          <a:off x="452628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12</xdr:row>
      <xdr:rowOff>38100</xdr:rowOff>
    </xdr:from>
    <xdr:to>
      <xdr:col>5</xdr:col>
      <xdr:colOff>161925</xdr:colOff>
      <xdr:row>12</xdr:row>
      <xdr:rowOff>142875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7291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12</xdr:row>
      <xdr:rowOff>38100</xdr:rowOff>
    </xdr:from>
    <xdr:to>
      <xdr:col>6</xdr:col>
      <xdr:colOff>171450</xdr:colOff>
      <xdr:row>12</xdr:row>
      <xdr:rowOff>142875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452628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15</xdr:row>
      <xdr:rowOff>104775</xdr:rowOff>
    </xdr:from>
    <xdr:to>
      <xdr:col>7</xdr:col>
      <xdr:colOff>0</xdr:colOff>
      <xdr:row>15</xdr:row>
      <xdr:rowOff>104775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4215765" y="307657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23</xdr:row>
      <xdr:rowOff>38100</xdr:rowOff>
    </xdr:from>
    <xdr:to>
      <xdr:col>5</xdr:col>
      <xdr:colOff>161925</xdr:colOff>
      <xdr:row>23</xdr:row>
      <xdr:rowOff>142875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427291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23</xdr:row>
      <xdr:rowOff>38100</xdr:rowOff>
    </xdr:from>
    <xdr:to>
      <xdr:col>6</xdr:col>
      <xdr:colOff>171450</xdr:colOff>
      <xdr:row>23</xdr:row>
      <xdr:rowOff>142875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H="1">
          <a:off x="452628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27</xdr:row>
      <xdr:rowOff>117475</xdr:rowOff>
    </xdr:from>
    <xdr:to>
      <xdr:col>7</xdr:col>
      <xdr:colOff>0</xdr:colOff>
      <xdr:row>27</xdr:row>
      <xdr:rowOff>117475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4215765" y="546671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32</xdr:row>
      <xdr:rowOff>57150</xdr:rowOff>
    </xdr:from>
    <xdr:to>
      <xdr:col>6</xdr:col>
      <xdr:colOff>161925</xdr:colOff>
      <xdr:row>32</xdr:row>
      <xdr:rowOff>161925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451675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32</xdr:row>
      <xdr:rowOff>66675</xdr:rowOff>
    </xdr:from>
    <xdr:to>
      <xdr:col>5</xdr:col>
      <xdr:colOff>161925</xdr:colOff>
      <xdr:row>32</xdr:row>
      <xdr:rowOff>171450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H="1">
          <a:off x="427291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35</xdr:row>
      <xdr:rowOff>57150</xdr:rowOff>
    </xdr:from>
    <xdr:to>
      <xdr:col>6</xdr:col>
      <xdr:colOff>161925</xdr:colOff>
      <xdr:row>35</xdr:row>
      <xdr:rowOff>161925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451675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35</xdr:row>
      <xdr:rowOff>66675</xdr:rowOff>
    </xdr:from>
    <xdr:to>
      <xdr:col>5</xdr:col>
      <xdr:colOff>161925</xdr:colOff>
      <xdr:row>35</xdr:row>
      <xdr:rowOff>171450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H="1">
          <a:off x="427291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63500</xdr:colOff>
      <xdr:row>29</xdr:row>
      <xdr:rowOff>63500</xdr:rowOff>
    </xdr:from>
    <xdr:to>
      <xdr:col>5</xdr:col>
      <xdr:colOff>158750</xdr:colOff>
      <xdr:row>29</xdr:row>
      <xdr:rowOff>168275</xdr:rowOff>
    </xdr:to>
    <xdr:sp macro="" textlink="">
      <xdr:nvSpPr>
        <xdr:cNvPr id="26" name="Line 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 flipH="1">
          <a:off x="42697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29</xdr:row>
      <xdr:rowOff>63500</xdr:rowOff>
    </xdr:from>
    <xdr:to>
      <xdr:col>6</xdr:col>
      <xdr:colOff>171450</xdr:colOff>
      <xdr:row>29</xdr:row>
      <xdr:rowOff>168275</xdr:rowOff>
    </xdr:to>
    <xdr:sp macro="" textlink="">
      <xdr:nvSpPr>
        <xdr:cNvPr id="27" name="Lin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45262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20</xdr:row>
      <xdr:rowOff>38100</xdr:rowOff>
    </xdr:from>
    <xdr:to>
      <xdr:col>5</xdr:col>
      <xdr:colOff>161925</xdr:colOff>
      <xdr:row>20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427291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20</xdr:row>
      <xdr:rowOff>38100</xdr:rowOff>
    </xdr:from>
    <xdr:to>
      <xdr:col>6</xdr:col>
      <xdr:colOff>171450</xdr:colOff>
      <xdr:row>20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H="1">
          <a:off x="452628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12</xdr:row>
      <xdr:rowOff>38100</xdr:rowOff>
    </xdr:from>
    <xdr:to>
      <xdr:col>5</xdr:col>
      <xdr:colOff>161925</xdr:colOff>
      <xdr:row>12</xdr:row>
      <xdr:rowOff>142875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427291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12</xdr:row>
      <xdr:rowOff>38100</xdr:rowOff>
    </xdr:from>
    <xdr:to>
      <xdr:col>6</xdr:col>
      <xdr:colOff>171450</xdr:colOff>
      <xdr:row>12</xdr:row>
      <xdr:rowOff>142875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>
          <a:off x="452628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15</xdr:row>
      <xdr:rowOff>104775</xdr:rowOff>
    </xdr:from>
    <xdr:to>
      <xdr:col>7</xdr:col>
      <xdr:colOff>0</xdr:colOff>
      <xdr:row>15</xdr:row>
      <xdr:rowOff>104775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15765" y="307657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23</xdr:row>
      <xdr:rowOff>38100</xdr:rowOff>
    </xdr:from>
    <xdr:to>
      <xdr:col>5</xdr:col>
      <xdr:colOff>161925</xdr:colOff>
      <xdr:row>23</xdr:row>
      <xdr:rowOff>142875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427291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23</xdr:row>
      <xdr:rowOff>38100</xdr:rowOff>
    </xdr:from>
    <xdr:to>
      <xdr:col>6</xdr:col>
      <xdr:colOff>171450</xdr:colOff>
      <xdr:row>23</xdr:row>
      <xdr:rowOff>142875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>
          <a:off x="452628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27</xdr:row>
      <xdr:rowOff>117475</xdr:rowOff>
    </xdr:from>
    <xdr:to>
      <xdr:col>7</xdr:col>
      <xdr:colOff>0</xdr:colOff>
      <xdr:row>27</xdr:row>
      <xdr:rowOff>117475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15765" y="546671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32</xdr:row>
      <xdr:rowOff>57150</xdr:rowOff>
    </xdr:from>
    <xdr:to>
      <xdr:col>6</xdr:col>
      <xdr:colOff>161925</xdr:colOff>
      <xdr:row>32</xdr:row>
      <xdr:rowOff>161925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451675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32</xdr:row>
      <xdr:rowOff>66675</xdr:rowOff>
    </xdr:from>
    <xdr:to>
      <xdr:col>5</xdr:col>
      <xdr:colOff>161925</xdr:colOff>
      <xdr:row>32</xdr:row>
      <xdr:rowOff>171450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H="1">
          <a:off x="427291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35</xdr:row>
      <xdr:rowOff>57150</xdr:rowOff>
    </xdr:from>
    <xdr:to>
      <xdr:col>6</xdr:col>
      <xdr:colOff>161925</xdr:colOff>
      <xdr:row>35</xdr:row>
      <xdr:rowOff>161925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>
          <a:off x="451675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35</xdr:row>
      <xdr:rowOff>66675</xdr:rowOff>
    </xdr:from>
    <xdr:to>
      <xdr:col>5</xdr:col>
      <xdr:colOff>161925</xdr:colOff>
      <xdr:row>35</xdr:row>
      <xdr:rowOff>171450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H="1">
          <a:off x="427291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20</xdr:row>
      <xdr:rowOff>38100</xdr:rowOff>
    </xdr:from>
    <xdr:to>
      <xdr:col>17</xdr:col>
      <xdr:colOff>161925</xdr:colOff>
      <xdr:row>20</xdr:row>
      <xdr:rowOff>142875</xdr:rowOff>
    </xdr:to>
    <xdr:sp macro="" textlink="">
      <xdr:nvSpPr>
        <xdr:cNvPr id="14" name="Line 2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>
          <a:off x="1038415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20</xdr:row>
      <xdr:rowOff>38100</xdr:rowOff>
    </xdr:from>
    <xdr:to>
      <xdr:col>21</xdr:col>
      <xdr:colOff>171450</xdr:colOff>
      <xdr:row>20</xdr:row>
      <xdr:rowOff>142875</xdr:rowOff>
    </xdr:to>
    <xdr:sp macro="" textlink="">
      <xdr:nvSpPr>
        <xdr:cNvPr id="15" name="Line 2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 flipH="1">
          <a:off x="1063752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12</xdr:row>
      <xdr:rowOff>38100</xdr:rowOff>
    </xdr:from>
    <xdr:to>
      <xdr:col>17</xdr:col>
      <xdr:colOff>161925</xdr:colOff>
      <xdr:row>12</xdr:row>
      <xdr:rowOff>142875</xdr:rowOff>
    </xdr:to>
    <xdr:sp macro="" textlink="">
      <xdr:nvSpPr>
        <xdr:cNvPr id="16" name="Line 29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>
          <a:off x="1038415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12</xdr:row>
      <xdr:rowOff>38100</xdr:rowOff>
    </xdr:from>
    <xdr:to>
      <xdr:col>21</xdr:col>
      <xdr:colOff>171450</xdr:colOff>
      <xdr:row>12</xdr:row>
      <xdr:rowOff>142875</xdr:rowOff>
    </xdr:to>
    <xdr:sp macro="" textlink="">
      <xdr:nvSpPr>
        <xdr:cNvPr id="17" name="Line 3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 bwMode="auto">
        <a:xfrm flipH="1">
          <a:off x="1063752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72278</xdr:colOff>
      <xdr:row>16</xdr:row>
      <xdr:rowOff>50988</xdr:rowOff>
    </xdr:from>
    <xdr:to>
      <xdr:col>22</xdr:col>
      <xdr:colOff>0</xdr:colOff>
      <xdr:row>16</xdr:row>
      <xdr:rowOff>50988</xdr:rowOff>
    </xdr:to>
    <xdr:sp macro="" textlink="">
      <xdr:nvSpPr>
        <xdr:cNvPr id="18" name="Line 3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>
          <a:off x="6302749" y="3206564"/>
          <a:ext cx="1245533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23</xdr:row>
      <xdr:rowOff>38100</xdr:rowOff>
    </xdr:from>
    <xdr:to>
      <xdr:col>17</xdr:col>
      <xdr:colOff>161925</xdr:colOff>
      <xdr:row>23</xdr:row>
      <xdr:rowOff>142875</xdr:rowOff>
    </xdr:to>
    <xdr:sp macro="" textlink="">
      <xdr:nvSpPr>
        <xdr:cNvPr id="19" name="Line 3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>
          <a:off x="1038415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23</xdr:row>
      <xdr:rowOff>38100</xdr:rowOff>
    </xdr:from>
    <xdr:to>
      <xdr:col>21</xdr:col>
      <xdr:colOff>171450</xdr:colOff>
      <xdr:row>23</xdr:row>
      <xdr:rowOff>142875</xdr:rowOff>
    </xdr:to>
    <xdr:sp macro="" textlink="">
      <xdr:nvSpPr>
        <xdr:cNvPr id="20" name="Line 3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1063752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27454</xdr:colOff>
      <xdr:row>26</xdr:row>
      <xdr:rowOff>153334</xdr:rowOff>
    </xdr:from>
    <xdr:to>
      <xdr:col>22</xdr:col>
      <xdr:colOff>17929</xdr:colOff>
      <xdr:row>26</xdr:row>
      <xdr:rowOff>153334</xdr:rowOff>
    </xdr:to>
    <xdr:sp macro="" textlink="">
      <xdr:nvSpPr>
        <xdr:cNvPr id="21" name="Line 3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>
          <a:off x="6257925" y="5281146"/>
          <a:ext cx="1308286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32</xdr:row>
      <xdr:rowOff>57150</xdr:rowOff>
    </xdr:from>
    <xdr:to>
      <xdr:col>21</xdr:col>
      <xdr:colOff>161925</xdr:colOff>
      <xdr:row>32</xdr:row>
      <xdr:rowOff>161925</xdr:rowOff>
    </xdr:to>
    <xdr:sp macro="" textlink="">
      <xdr:nvSpPr>
        <xdr:cNvPr id="22" name="Line 3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 bwMode="auto">
        <a:xfrm>
          <a:off x="1062799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32</xdr:row>
      <xdr:rowOff>66675</xdr:rowOff>
    </xdr:from>
    <xdr:to>
      <xdr:col>17</xdr:col>
      <xdr:colOff>161925</xdr:colOff>
      <xdr:row>32</xdr:row>
      <xdr:rowOff>171450</xdr:rowOff>
    </xdr:to>
    <xdr:sp macro="" textlink="">
      <xdr:nvSpPr>
        <xdr:cNvPr id="23" name="Line 36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 flipH="1">
          <a:off x="1038415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35</xdr:row>
      <xdr:rowOff>57150</xdr:rowOff>
    </xdr:from>
    <xdr:to>
      <xdr:col>21</xdr:col>
      <xdr:colOff>161925</xdr:colOff>
      <xdr:row>35</xdr:row>
      <xdr:rowOff>161925</xdr:rowOff>
    </xdr:to>
    <xdr:sp macro="" textlink="">
      <xdr:nvSpPr>
        <xdr:cNvPr id="24" name="Line 37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1062799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35</xdr:row>
      <xdr:rowOff>66675</xdr:rowOff>
    </xdr:from>
    <xdr:to>
      <xdr:col>17</xdr:col>
      <xdr:colOff>161925</xdr:colOff>
      <xdr:row>35</xdr:row>
      <xdr:rowOff>171450</xdr:rowOff>
    </xdr:to>
    <xdr:sp macro="" textlink="">
      <xdr:nvSpPr>
        <xdr:cNvPr id="25" name="Line 38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H="1">
          <a:off x="1038415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63500</xdr:colOff>
      <xdr:row>29</xdr:row>
      <xdr:rowOff>63500</xdr:rowOff>
    </xdr:from>
    <xdr:to>
      <xdr:col>5</xdr:col>
      <xdr:colOff>158750</xdr:colOff>
      <xdr:row>29</xdr:row>
      <xdr:rowOff>168275</xdr:rowOff>
    </xdr:to>
    <xdr:sp macro="" textlink="">
      <xdr:nvSpPr>
        <xdr:cNvPr id="26" name="Line 1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 flipH="1">
          <a:off x="42697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29</xdr:row>
      <xdr:rowOff>63500</xdr:rowOff>
    </xdr:from>
    <xdr:to>
      <xdr:col>6</xdr:col>
      <xdr:colOff>171450</xdr:colOff>
      <xdr:row>29</xdr:row>
      <xdr:rowOff>168275</xdr:rowOff>
    </xdr:to>
    <xdr:sp macro="" textlink="">
      <xdr:nvSpPr>
        <xdr:cNvPr id="27" name="Line 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45262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29</xdr:row>
      <xdr:rowOff>63500</xdr:rowOff>
    </xdr:from>
    <xdr:to>
      <xdr:col>21</xdr:col>
      <xdr:colOff>171450</xdr:colOff>
      <xdr:row>29</xdr:row>
      <xdr:rowOff>168275</xdr:rowOff>
    </xdr:to>
    <xdr:sp macro="" textlink="">
      <xdr:nvSpPr>
        <xdr:cNvPr id="28" name="Line 9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1063752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63500</xdr:colOff>
      <xdr:row>29</xdr:row>
      <xdr:rowOff>63500</xdr:rowOff>
    </xdr:from>
    <xdr:to>
      <xdr:col>17</xdr:col>
      <xdr:colOff>158750</xdr:colOff>
      <xdr:row>29</xdr:row>
      <xdr:rowOff>168275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 flipH="1">
          <a:off x="103809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20</xdr:row>
      <xdr:rowOff>38100</xdr:rowOff>
    </xdr:from>
    <xdr:to>
      <xdr:col>17</xdr:col>
      <xdr:colOff>161925</xdr:colOff>
      <xdr:row>20</xdr:row>
      <xdr:rowOff>142875</xdr:rowOff>
    </xdr:to>
    <xdr:sp macro="" textlink="">
      <xdr:nvSpPr>
        <xdr:cNvPr id="30" name="Line 27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>
          <a:off x="300799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20</xdr:row>
      <xdr:rowOff>38100</xdr:rowOff>
    </xdr:from>
    <xdr:to>
      <xdr:col>21</xdr:col>
      <xdr:colOff>171450</xdr:colOff>
      <xdr:row>20</xdr:row>
      <xdr:rowOff>142875</xdr:rowOff>
    </xdr:to>
    <xdr:sp macro="" textlink="">
      <xdr:nvSpPr>
        <xdr:cNvPr id="31" name="Line 2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 flipH="1">
          <a:off x="403860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12</xdr:row>
      <xdr:rowOff>38100</xdr:rowOff>
    </xdr:from>
    <xdr:to>
      <xdr:col>17</xdr:col>
      <xdr:colOff>161925</xdr:colOff>
      <xdr:row>12</xdr:row>
      <xdr:rowOff>142875</xdr:rowOff>
    </xdr:to>
    <xdr:sp macro="" textlink="">
      <xdr:nvSpPr>
        <xdr:cNvPr id="32" name="Line 2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0799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12</xdr:row>
      <xdr:rowOff>38100</xdr:rowOff>
    </xdr:from>
    <xdr:to>
      <xdr:col>21</xdr:col>
      <xdr:colOff>171450</xdr:colOff>
      <xdr:row>12</xdr:row>
      <xdr:rowOff>142875</xdr:rowOff>
    </xdr:to>
    <xdr:sp macro="" textlink="">
      <xdr:nvSpPr>
        <xdr:cNvPr id="33" name="Line 30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403860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72278</xdr:colOff>
      <xdr:row>16</xdr:row>
      <xdr:rowOff>50988</xdr:rowOff>
    </xdr:from>
    <xdr:to>
      <xdr:col>22</xdr:col>
      <xdr:colOff>0</xdr:colOff>
      <xdr:row>16</xdr:row>
      <xdr:rowOff>50988</xdr:rowOff>
    </xdr:to>
    <xdr:sp macro="" textlink="">
      <xdr:nvSpPr>
        <xdr:cNvPr id="34" name="Line 3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3013598" y="3220908"/>
          <a:ext cx="1253602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23</xdr:row>
      <xdr:rowOff>38100</xdr:rowOff>
    </xdr:from>
    <xdr:to>
      <xdr:col>17</xdr:col>
      <xdr:colOff>161925</xdr:colOff>
      <xdr:row>23</xdr:row>
      <xdr:rowOff>142875</xdr:rowOff>
    </xdr:to>
    <xdr:sp macro="" textlink="">
      <xdr:nvSpPr>
        <xdr:cNvPr id="35" name="Line 3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>
          <a:off x="300799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23</xdr:row>
      <xdr:rowOff>38100</xdr:rowOff>
    </xdr:from>
    <xdr:to>
      <xdr:col>21</xdr:col>
      <xdr:colOff>171450</xdr:colOff>
      <xdr:row>23</xdr:row>
      <xdr:rowOff>142875</xdr:rowOff>
    </xdr:to>
    <xdr:sp macro="" textlink="">
      <xdr:nvSpPr>
        <xdr:cNvPr id="36" name="Line 33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 bwMode="auto">
        <a:xfrm flipH="1">
          <a:off x="403860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27454</xdr:colOff>
      <xdr:row>26</xdr:row>
      <xdr:rowOff>126440</xdr:rowOff>
    </xdr:from>
    <xdr:to>
      <xdr:col>22</xdr:col>
      <xdr:colOff>17929</xdr:colOff>
      <xdr:row>26</xdr:row>
      <xdr:rowOff>126440</xdr:rowOff>
    </xdr:to>
    <xdr:sp macro="" textlink="">
      <xdr:nvSpPr>
        <xdr:cNvPr id="37" name="Line 3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>
          <a:off x="2968774" y="5277560"/>
          <a:ext cx="13163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32</xdr:row>
      <xdr:rowOff>57150</xdr:rowOff>
    </xdr:from>
    <xdr:to>
      <xdr:col>21</xdr:col>
      <xdr:colOff>161925</xdr:colOff>
      <xdr:row>32</xdr:row>
      <xdr:rowOff>161925</xdr:rowOff>
    </xdr:to>
    <xdr:sp macro="" textlink="">
      <xdr:nvSpPr>
        <xdr:cNvPr id="38" name="Line 3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>
          <a:off x="402907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32</xdr:row>
      <xdr:rowOff>66675</xdr:rowOff>
    </xdr:from>
    <xdr:to>
      <xdr:col>17</xdr:col>
      <xdr:colOff>161925</xdr:colOff>
      <xdr:row>32</xdr:row>
      <xdr:rowOff>171450</xdr:rowOff>
    </xdr:to>
    <xdr:sp macro="" textlink="">
      <xdr:nvSpPr>
        <xdr:cNvPr id="39" name="Line 36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 bwMode="auto">
        <a:xfrm flipH="1">
          <a:off x="300799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35</xdr:row>
      <xdr:rowOff>57150</xdr:rowOff>
    </xdr:from>
    <xdr:to>
      <xdr:col>21</xdr:col>
      <xdr:colOff>161925</xdr:colOff>
      <xdr:row>35</xdr:row>
      <xdr:rowOff>161925</xdr:rowOff>
    </xdr:to>
    <xdr:sp macro="" textlink="">
      <xdr:nvSpPr>
        <xdr:cNvPr id="40" name="Line 37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 bwMode="auto">
        <a:xfrm>
          <a:off x="402907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35</xdr:row>
      <xdr:rowOff>66675</xdr:rowOff>
    </xdr:from>
    <xdr:to>
      <xdr:col>17</xdr:col>
      <xdr:colOff>161925</xdr:colOff>
      <xdr:row>35</xdr:row>
      <xdr:rowOff>171450</xdr:rowOff>
    </xdr:to>
    <xdr:sp macro="" textlink="">
      <xdr:nvSpPr>
        <xdr:cNvPr id="41" name="Line 38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ShapeType="1"/>
        </xdr:cNvSpPr>
      </xdr:nvSpPr>
      <xdr:spPr bwMode="auto">
        <a:xfrm flipH="1">
          <a:off x="300799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29</xdr:row>
      <xdr:rowOff>63500</xdr:rowOff>
    </xdr:from>
    <xdr:to>
      <xdr:col>21</xdr:col>
      <xdr:colOff>171450</xdr:colOff>
      <xdr:row>29</xdr:row>
      <xdr:rowOff>168275</xdr:rowOff>
    </xdr:to>
    <xdr:sp macro="" textlink="">
      <xdr:nvSpPr>
        <xdr:cNvPr id="42" name="Line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 bwMode="auto">
        <a:xfrm>
          <a:off x="403860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63500</xdr:colOff>
      <xdr:row>29</xdr:row>
      <xdr:rowOff>63500</xdr:rowOff>
    </xdr:from>
    <xdr:to>
      <xdr:col>17</xdr:col>
      <xdr:colOff>158750</xdr:colOff>
      <xdr:row>29</xdr:row>
      <xdr:rowOff>168275</xdr:rowOff>
    </xdr:to>
    <xdr:sp macro="" textlink="">
      <xdr:nvSpPr>
        <xdr:cNvPr id="43" name="Line 3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 bwMode="auto">
        <a:xfrm flipH="1">
          <a:off x="300482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20</xdr:row>
      <xdr:rowOff>38100</xdr:rowOff>
    </xdr:from>
    <xdr:to>
      <xdr:col>17</xdr:col>
      <xdr:colOff>161925</xdr:colOff>
      <xdr:row>20</xdr:row>
      <xdr:rowOff>142875</xdr:rowOff>
    </xdr:to>
    <xdr:sp macro="" textlink="">
      <xdr:nvSpPr>
        <xdr:cNvPr id="44" name="Line 27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ShapeType="1"/>
        </xdr:cNvSpPr>
      </xdr:nvSpPr>
      <xdr:spPr bwMode="auto">
        <a:xfrm>
          <a:off x="300799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20</xdr:row>
      <xdr:rowOff>38100</xdr:rowOff>
    </xdr:from>
    <xdr:to>
      <xdr:col>21</xdr:col>
      <xdr:colOff>171450</xdr:colOff>
      <xdr:row>20</xdr:row>
      <xdr:rowOff>142875</xdr:rowOff>
    </xdr:to>
    <xdr:sp macro="" textlink="">
      <xdr:nvSpPr>
        <xdr:cNvPr id="45" name="Line 28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 flipH="1">
          <a:off x="403860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12</xdr:row>
      <xdr:rowOff>38100</xdr:rowOff>
    </xdr:from>
    <xdr:to>
      <xdr:col>17</xdr:col>
      <xdr:colOff>161925</xdr:colOff>
      <xdr:row>12</xdr:row>
      <xdr:rowOff>142875</xdr:rowOff>
    </xdr:to>
    <xdr:sp macro="" textlink="">
      <xdr:nvSpPr>
        <xdr:cNvPr id="46" name="Line 29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00799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12</xdr:row>
      <xdr:rowOff>38100</xdr:rowOff>
    </xdr:from>
    <xdr:to>
      <xdr:col>21</xdr:col>
      <xdr:colOff>171450</xdr:colOff>
      <xdr:row>12</xdr:row>
      <xdr:rowOff>142875</xdr:rowOff>
    </xdr:to>
    <xdr:sp macro="" textlink="">
      <xdr:nvSpPr>
        <xdr:cNvPr id="47" name="Line 30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>
          <a:off x="403860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72278</xdr:colOff>
      <xdr:row>16</xdr:row>
      <xdr:rowOff>50988</xdr:rowOff>
    </xdr:from>
    <xdr:to>
      <xdr:col>22</xdr:col>
      <xdr:colOff>0</xdr:colOff>
      <xdr:row>16</xdr:row>
      <xdr:rowOff>50988</xdr:rowOff>
    </xdr:to>
    <xdr:sp macro="" textlink="">
      <xdr:nvSpPr>
        <xdr:cNvPr id="48" name="Line 3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>
          <a:off x="3013598" y="3220908"/>
          <a:ext cx="1253602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23</xdr:row>
      <xdr:rowOff>38100</xdr:rowOff>
    </xdr:from>
    <xdr:to>
      <xdr:col>17</xdr:col>
      <xdr:colOff>161925</xdr:colOff>
      <xdr:row>23</xdr:row>
      <xdr:rowOff>142875</xdr:rowOff>
    </xdr:to>
    <xdr:sp macro="" textlink="">
      <xdr:nvSpPr>
        <xdr:cNvPr id="49" name="Line 3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ShapeType="1"/>
        </xdr:cNvSpPr>
      </xdr:nvSpPr>
      <xdr:spPr bwMode="auto">
        <a:xfrm>
          <a:off x="300799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23</xdr:row>
      <xdr:rowOff>38100</xdr:rowOff>
    </xdr:from>
    <xdr:to>
      <xdr:col>21</xdr:col>
      <xdr:colOff>171450</xdr:colOff>
      <xdr:row>23</xdr:row>
      <xdr:rowOff>142875</xdr:rowOff>
    </xdr:to>
    <xdr:sp macro="" textlink="">
      <xdr:nvSpPr>
        <xdr:cNvPr id="50" name="Line 33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 bwMode="auto">
        <a:xfrm flipH="1">
          <a:off x="403860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27454</xdr:colOff>
      <xdr:row>26</xdr:row>
      <xdr:rowOff>126440</xdr:rowOff>
    </xdr:from>
    <xdr:to>
      <xdr:col>22</xdr:col>
      <xdr:colOff>17929</xdr:colOff>
      <xdr:row>26</xdr:row>
      <xdr:rowOff>126440</xdr:rowOff>
    </xdr:to>
    <xdr:sp macro="" textlink="">
      <xdr:nvSpPr>
        <xdr:cNvPr id="51" name="Line 3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 bwMode="auto">
        <a:xfrm>
          <a:off x="2968774" y="5277560"/>
          <a:ext cx="13163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32</xdr:row>
      <xdr:rowOff>57150</xdr:rowOff>
    </xdr:from>
    <xdr:to>
      <xdr:col>21</xdr:col>
      <xdr:colOff>161925</xdr:colOff>
      <xdr:row>32</xdr:row>
      <xdr:rowOff>161925</xdr:rowOff>
    </xdr:to>
    <xdr:sp macro="" textlink="">
      <xdr:nvSpPr>
        <xdr:cNvPr id="52" name="Line 35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ShapeType="1"/>
        </xdr:cNvSpPr>
      </xdr:nvSpPr>
      <xdr:spPr bwMode="auto">
        <a:xfrm>
          <a:off x="402907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32</xdr:row>
      <xdr:rowOff>66675</xdr:rowOff>
    </xdr:from>
    <xdr:to>
      <xdr:col>17</xdr:col>
      <xdr:colOff>161925</xdr:colOff>
      <xdr:row>32</xdr:row>
      <xdr:rowOff>171450</xdr:rowOff>
    </xdr:to>
    <xdr:sp macro="" textlink="">
      <xdr:nvSpPr>
        <xdr:cNvPr id="53" name="Line 36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H="1">
          <a:off x="300799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66675</xdr:colOff>
      <xdr:row>35</xdr:row>
      <xdr:rowOff>57150</xdr:rowOff>
    </xdr:from>
    <xdr:to>
      <xdr:col>21</xdr:col>
      <xdr:colOff>161925</xdr:colOff>
      <xdr:row>35</xdr:row>
      <xdr:rowOff>161925</xdr:rowOff>
    </xdr:to>
    <xdr:sp macro="" textlink="">
      <xdr:nvSpPr>
        <xdr:cNvPr id="54" name="Line 3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402907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35</xdr:row>
      <xdr:rowOff>66675</xdr:rowOff>
    </xdr:from>
    <xdr:to>
      <xdr:col>17</xdr:col>
      <xdr:colOff>161925</xdr:colOff>
      <xdr:row>35</xdr:row>
      <xdr:rowOff>171450</xdr:rowOff>
    </xdr:to>
    <xdr:sp macro="" textlink="">
      <xdr:nvSpPr>
        <xdr:cNvPr id="55" name="Line 38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H="1">
          <a:off x="300799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76200</xdr:colOff>
      <xdr:row>29</xdr:row>
      <xdr:rowOff>63500</xdr:rowOff>
    </xdr:from>
    <xdr:to>
      <xdr:col>21</xdr:col>
      <xdr:colOff>171450</xdr:colOff>
      <xdr:row>29</xdr:row>
      <xdr:rowOff>168275</xdr:rowOff>
    </xdr:to>
    <xdr:sp macro="" textlink="">
      <xdr:nvSpPr>
        <xdr:cNvPr id="56" name="Line 9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>
          <a:off x="403860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63500</xdr:colOff>
      <xdr:row>29</xdr:row>
      <xdr:rowOff>63500</xdr:rowOff>
    </xdr:from>
    <xdr:to>
      <xdr:col>17</xdr:col>
      <xdr:colOff>158750</xdr:colOff>
      <xdr:row>29</xdr:row>
      <xdr:rowOff>168275</xdr:rowOff>
    </xdr:to>
    <xdr:sp macro="" textlink="">
      <xdr:nvSpPr>
        <xdr:cNvPr id="57" name="Line 3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 flipH="1">
          <a:off x="300482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20</xdr:row>
      <xdr:rowOff>38100</xdr:rowOff>
    </xdr:from>
    <xdr:to>
      <xdr:col>4</xdr:col>
      <xdr:colOff>161925</xdr:colOff>
      <xdr:row>20</xdr:row>
      <xdr:rowOff>142875</xdr:rowOff>
    </xdr:to>
    <xdr:sp macro="" textlink="">
      <xdr:nvSpPr>
        <xdr:cNvPr id="14" name="Line 2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ShapeType="1"/>
        </xdr:cNvSpPr>
      </xdr:nvSpPr>
      <xdr:spPr bwMode="auto">
        <a:xfrm>
          <a:off x="629983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20</xdr:row>
      <xdr:rowOff>38100</xdr:rowOff>
    </xdr:from>
    <xdr:to>
      <xdr:col>8</xdr:col>
      <xdr:colOff>171450</xdr:colOff>
      <xdr:row>20</xdr:row>
      <xdr:rowOff>142875</xdr:rowOff>
    </xdr:to>
    <xdr:sp macro="" textlink="">
      <xdr:nvSpPr>
        <xdr:cNvPr id="15" name="Line 2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ShapeType="1"/>
        </xdr:cNvSpPr>
      </xdr:nvSpPr>
      <xdr:spPr bwMode="auto">
        <a:xfrm flipH="1">
          <a:off x="733044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12</xdr:row>
      <xdr:rowOff>38100</xdr:rowOff>
    </xdr:from>
    <xdr:to>
      <xdr:col>4</xdr:col>
      <xdr:colOff>161925</xdr:colOff>
      <xdr:row>12</xdr:row>
      <xdr:rowOff>142875</xdr:rowOff>
    </xdr:to>
    <xdr:sp macro="" textlink="">
      <xdr:nvSpPr>
        <xdr:cNvPr id="16" name="Line 29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ShapeType="1"/>
        </xdr:cNvSpPr>
      </xdr:nvSpPr>
      <xdr:spPr bwMode="auto">
        <a:xfrm>
          <a:off x="629983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171450</xdr:colOff>
      <xdr:row>12</xdr:row>
      <xdr:rowOff>142875</xdr:rowOff>
    </xdr:to>
    <xdr:sp macro="" textlink="">
      <xdr:nvSpPr>
        <xdr:cNvPr id="17" name="Line 3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733044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72278</xdr:colOff>
      <xdr:row>16</xdr:row>
      <xdr:rowOff>50988</xdr:rowOff>
    </xdr:from>
    <xdr:to>
      <xdr:col>9</xdr:col>
      <xdr:colOff>0</xdr:colOff>
      <xdr:row>16</xdr:row>
      <xdr:rowOff>50988</xdr:rowOff>
    </xdr:to>
    <xdr:sp macro="" textlink="">
      <xdr:nvSpPr>
        <xdr:cNvPr id="18" name="Line 3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ShapeType="1"/>
        </xdr:cNvSpPr>
      </xdr:nvSpPr>
      <xdr:spPr bwMode="auto">
        <a:xfrm>
          <a:off x="6305438" y="3220908"/>
          <a:ext cx="1253602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23</xdr:row>
      <xdr:rowOff>38100</xdr:rowOff>
    </xdr:from>
    <xdr:to>
      <xdr:col>4</xdr:col>
      <xdr:colOff>161925</xdr:colOff>
      <xdr:row>23</xdr:row>
      <xdr:rowOff>142875</xdr:rowOff>
    </xdr:to>
    <xdr:sp macro="" textlink="">
      <xdr:nvSpPr>
        <xdr:cNvPr id="19" name="Line 3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ShapeType="1"/>
        </xdr:cNvSpPr>
      </xdr:nvSpPr>
      <xdr:spPr bwMode="auto">
        <a:xfrm>
          <a:off x="629983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23</xdr:row>
      <xdr:rowOff>38100</xdr:rowOff>
    </xdr:from>
    <xdr:to>
      <xdr:col>8</xdr:col>
      <xdr:colOff>171450</xdr:colOff>
      <xdr:row>23</xdr:row>
      <xdr:rowOff>142875</xdr:rowOff>
    </xdr:to>
    <xdr:sp macro="" textlink="">
      <xdr:nvSpPr>
        <xdr:cNvPr id="20" name="Line 3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ShapeType="1"/>
        </xdr:cNvSpPr>
      </xdr:nvSpPr>
      <xdr:spPr bwMode="auto">
        <a:xfrm flipH="1">
          <a:off x="733044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27454</xdr:colOff>
      <xdr:row>26</xdr:row>
      <xdr:rowOff>126440</xdr:rowOff>
    </xdr:from>
    <xdr:to>
      <xdr:col>9</xdr:col>
      <xdr:colOff>17929</xdr:colOff>
      <xdr:row>26</xdr:row>
      <xdr:rowOff>126440</xdr:rowOff>
    </xdr:to>
    <xdr:sp macro="" textlink="">
      <xdr:nvSpPr>
        <xdr:cNvPr id="21" name="Line 3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>
          <a:off x="2976842" y="5254252"/>
          <a:ext cx="1308287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32</xdr:row>
      <xdr:rowOff>57150</xdr:rowOff>
    </xdr:from>
    <xdr:to>
      <xdr:col>8</xdr:col>
      <xdr:colOff>161925</xdr:colOff>
      <xdr:row>32</xdr:row>
      <xdr:rowOff>161925</xdr:rowOff>
    </xdr:to>
    <xdr:sp macro="" textlink="">
      <xdr:nvSpPr>
        <xdr:cNvPr id="22" name="Line 3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>
          <a:off x="732091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66675</xdr:rowOff>
    </xdr:from>
    <xdr:to>
      <xdr:col>4</xdr:col>
      <xdr:colOff>161925</xdr:colOff>
      <xdr:row>32</xdr:row>
      <xdr:rowOff>171450</xdr:rowOff>
    </xdr:to>
    <xdr:sp macro="" textlink="">
      <xdr:nvSpPr>
        <xdr:cNvPr id="23" name="Line 3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ShapeType="1"/>
        </xdr:cNvSpPr>
      </xdr:nvSpPr>
      <xdr:spPr bwMode="auto">
        <a:xfrm flipH="1">
          <a:off x="629983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35</xdr:row>
      <xdr:rowOff>57150</xdr:rowOff>
    </xdr:from>
    <xdr:to>
      <xdr:col>8</xdr:col>
      <xdr:colOff>161925</xdr:colOff>
      <xdr:row>35</xdr:row>
      <xdr:rowOff>161925</xdr:rowOff>
    </xdr:to>
    <xdr:sp macro="" textlink="">
      <xdr:nvSpPr>
        <xdr:cNvPr id="24" name="Line 3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ShapeType="1"/>
        </xdr:cNvSpPr>
      </xdr:nvSpPr>
      <xdr:spPr bwMode="auto">
        <a:xfrm>
          <a:off x="732091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66675</xdr:rowOff>
    </xdr:from>
    <xdr:to>
      <xdr:col>4</xdr:col>
      <xdr:colOff>161925</xdr:colOff>
      <xdr:row>35</xdr:row>
      <xdr:rowOff>171450</xdr:rowOff>
    </xdr:to>
    <xdr:sp macro="" textlink="">
      <xdr:nvSpPr>
        <xdr:cNvPr id="25" name="Line 3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H="1">
          <a:off x="629983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29</xdr:row>
      <xdr:rowOff>63500</xdr:rowOff>
    </xdr:from>
    <xdr:to>
      <xdr:col>8</xdr:col>
      <xdr:colOff>171450</xdr:colOff>
      <xdr:row>29</xdr:row>
      <xdr:rowOff>168275</xdr:rowOff>
    </xdr:to>
    <xdr:sp macro="" textlink="">
      <xdr:nvSpPr>
        <xdr:cNvPr id="28" name="Line 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>
          <a:off x="73304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63500</xdr:colOff>
      <xdr:row>29</xdr:row>
      <xdr:rowOff>63500</xdr:rowOff>
    </xdr:from>
    <xdr:to>
      <xdr:col>4</xdr:col>
      <xdr:colOff>158750</xdr:colOff>
      <xdr:row>29</xdr:row>
      <xdr:rowOff>168275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 flipH="1">
          <a:off x="629666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2529417</xdr:colOff>
      <xdr:row>28</xdr:row>
      <xdr:rowOff>63500</xdr:rowOff>
    </xdr:from>
    <xdr:to>
      <xdr:col>4</xdr:col>
      <xdr:colOff>275167</xdr:colOff>
      <xdr:row>32</xdr:row>
      <xdr:rowOff>21166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529417" y="5693833"/>
          <a:ext cx="603250" cy="762000"/>
        </a:xfrm>
        <a:custGeom>
          <a:avLst/>
          <a:gdLst>
            <a:gd name="connsiteX0" fmla="*/ 603250 w 603250"/>
            <a:gd name="connsiteY0" fmla="*/ 0 h 762000"/>
            <a:gd name="connsiteX1" fmla="*/ 560916 w 603250"/>
            <a:gd name="connsiteY1" fmla="*/ 52917 h 762000"/>
            <a:gd name="connsiteX2" fmla="*/ 518583 w 603250"/>
            <a:gd name="connsiteY2" fmla="*/ 116417 h 762000"/>
            <a:gd name="connsiteX3" fmla="*/ 476250 w 603250"/>
            <a:gd name="connsiteY3" fmla="*/ 179917 h 762000"/>
            <a:gd name="connsiteX4" fmla="*/ 455083 w 603250"/>
            <a:gd name="connsiteY4" fmla="*/ 222250 h 762000"/>
            <a:gd name="connsiteX5" fmla="*/ 391583 w 603250"/>
            <a:gd name="connsiteY5" fmla="*/ 317500 h 762000"/>
            <a:gd name="connsiteX6" fmla="*/ 370416 w 603250"/>
            <a:gd name="connsiteY6" fmla="*/ 349250 h 762000"/>
            <a:gd name="connsiteX7" fmla="*/ 349250 w 603250"/>
            <a:gd name="connsiteY7" fmla="*/ 381000 h 762000"/>
            <a:gd name="connsiteX8" fmla="*/ 317500 w 603250"/>
            <a:gd name="connsiteY8" fmla="*/ 402167 h 762000"/>
            <a:gd name="connsiteX9" fmla="*/ 243416 w 603250"/>
            <a:gd name="connsiteY9" fmla="*/ 497417 h 762000"/>
            <a:gd name="connsiteX10" fmla="*/ 211666 w 603250"/>
            <a:gd name="connsiteY10" fmla="*/ 529167 h 762000"/>
            <a:gd name="connsiteX11" fmla="*/ 190500 w 603250"/>
            <a:gd name="connsiteY11" fmla="*/ 560917 h 762000"/>
            <a:gd name="connsiteX12" fmla="*/ 127000 w 603250"/>
            <a:gd name="connsiteY12" fmla="*/ 624417 h 762000"/>
            <a:gd name="connsiteX13" fmla="*/ 84666 w 603250"/>
            <a:gd name="connsiteY13" fmla="*/ 687917 h 762000"/>
            <a:gd name="connsiteX14" fmla="*/ 63500 w 603250"/>
            <a:gd name="connsiteY14" fmla="*/ 719667 h 762000"/>
            <a:gd name="connsiteX15" fmla="*/ 0 w 603250"/>
            <a:gd name="connsiteY15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03250" h="762000">
              <a:moveTo>
                <a:pt x="603250" y="0"/>
              </a:moveTo>
              <a:cubicBezTo>
                <a:pt x="589139" y="17639"/>
                <a:pt x="574202" y="34648"/>
                <a:pt x="560916" y="52917"/>
              </a:cubicBezTo>
              <a:cubicBezTo>
                <a:pt x="545953" y="73491"/>
                <a:pt x="518583" y="116417"/>
                <a:pt x="518583" y="116417"/>
              </a:cubicBezTo>
              <a:cubicBezTo>
                <a:pt x="495882" y="184523"/>
                <a:pt x="525797" y="110552"/>
                <a:pt x="476250" y="179917"/>
              </a:cubicBezTo>
              <a:cubicBezTo>
                <a:pt x="467080" y="192755"/>
                <a:pt x="463200" y="208722"/>
                <a:pt x="455083" y="222250"/>
              </a:cubicBezTo>
              <a:cubicBezTo>
                <a:pt x="455073" y="222267"/>
                <a:pt x="402172" y="301617"/>
                <a:pt x="391583" y="317500"/>
              </a:cubicBezTo>
              <a:lnTo>
                <a:pt x="370416" y="349250"/>
              </a:lnTo>
              <a:cubicBezTo>
                <a:pt x="363361" y="359833"/>
                <a:pt x="359833" y="373944"/>
                <a:pt x="349250" y="381000"/>
              </a:cubicBezTo>
              <a:lnTo>
                <a:pt x="317500" y="402167"/>
              </a:lnTo>
              <a:cubicBezTo>
                <a:pt x="297449" y="462315"/>
                <a:pt x="314804" y="426029"/>
                <a:pt x="243416" y="497417"/>
              </a:cubicBezTo>
              <a:cubicBezTo>
                <a:pt x="232833" y="508000"/>
                <a:pt x="219968" y="516714"/>
                <a:pt x="211666" y="529167"/>
              </a:cubicBezTo>
              <a:cubicBezTo>
                <a:pt x="204611" y="539750"/>
                <a:pt x="198950" y="551410"/>
                <a:pt x="190500" y="560917"/>
              </a:cubicBezTo>
              <a:cubicBezTo>
                <a:pt x="170613" y="583290"/>
                <a:pt x="143605" y="599510"/>
                <a:pt x="127000" y="624417"/>
              </a:cubicBezTo>
              <a:lnTo>
                <a:pt x="84666" y="687917"/>
              </a:lnTo>
              <a:cubicBezTo>
                <a:pt x="77611" y="698500"/>
                <a:pt x="74083" y="712612"/>
                <a:pt x="63500" y="719667"/>
              </a:cubicBezTo>
              <a:lnTo>
                <a:pt x="0" y="762000"/>
              </a:lnTo>
            </a:path>
          </a:pathLst>
        </a:custGeom>
        <a:noFill/>
        <a:ln w="38100"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168275</xdr:colOff>
      <xdr:row>28</xdr:row>
      <xdr:rowOff>115357</xdr:rowOff>
    </xdr:from>
    <xdr:to>
      <xdr:col>10</xdr:col>
      <xdr:colOff>157691</xdr:colOff>
      <xdr:row>31</xdr:row>
      <xdr:rowOff>115357</xdr:rowOff>
    </xdr:to>
    <xdr:sp macro="" textlink="">
      <xdr:nvSpPr>
        <xdr:cNvPr id="42" name="Freeform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6332543">
          <a:off x="3877733" y="5666315"/>
          <a:ext cx="603250" cy="762000"/>
        </a:xfrm>
        <a:custGeom>
          <a:avLst/>
          <a:gdLst>
            <a:gd name="connsiteX0" fmla="*/ 603250 w 603250"/>
            <a:gd name="connsiteY0" fmla="*/ 0 h 762000"/>
            <a:gd name="connsiteX1" fmla="*/ 560916 w 603250"/>
            <a:gd name="connsiteY1" fmla="*/ 52917 h 762000"/>
            <a:gd name="connsiteX2" fmla="*/ 518583 w 603250"/>
            <a:gd name="connsiteY2" fmla="*/ 116417 h 762000"/>
            <a:gd name="connsiteX3" fmla="*/ 476250 w 603250"/>
            <a:gd name="connsiteY3" fmla="*/ 179917 h 762000"/>
            <a:gd name="connsiteX4" fmla="*/ 455083 w 603250"/>
            <a:gd name="connsiteY4" fmla="*/ 222250 h 762000"/>
            <a:gd name="connsiteX5" fmla="*/ 391583 w 603250"/>
            <a:gd name="connsiteY5" fmla="*/ 317500 h 762000"/>
            <a:gd name="connsiteX6" fmla="*/ 370416 w 603250"/>
            <a:gd name="connsiteY6" fmla="*/ 349250 h 762000"/>
            <a:gd name="connsiteX7" fmla="*/ 349250 w 603250"/>
            <a:gd name="connsiteY7" fmla="*/ 381000 h 762000"/>
            <a:gd name="connsiteX8" fmla="*/ 317500 w 603250"/>
            <a:gd name="connsiteY8" fmla="*/ 402167 h 762000"/>
            <a:gd name="connsiteX9" fmla="*/ 243416 w 603250"/>
            <a:gd name="connsiteY9" fmla="*/ 497417 h 762000"/>
            <a:gd name="connsiteX10" fmla="*/ 211666 w 603250"/>
            <a:gd name="connsiteY10" fmla="*/ 529167 h 762000"/>
            <a:gd name="connsiteX11" fmla="*/ 190500 w 603250"/>
            <a:gd name="connsiteY11" fmla="*/ 560917 h 762000"/>
            <a:gd name="connsiteX12" fmla="*/ 127000 w 603250"/>
            <a:gd name="connsiteY12" fmla="*/ 624417 h 762000"/>
            <a:gd name="connsiteX13" fmla="*/ 84666 w 603250"/>
            <a:gd name="connsiteY13" fmla="*/ 687917 h 762000"/>
            <a:gd name="connsiteX14" fmla="*/ 63500 w 603250"/>
            <a:gd name="connsiteY14" fmla="*/ 719667 h 762000"/>
            <a:gd name="connsiteX15" fmla="*/ 0 w 603250"/>
            <a:gd name="connsiteY15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03250" h="762000">
              <a:moveTo>
                <a:pt x="603250" y="0"/>
              </a:moveTo>
              <a:cubicBezTo>
                <a:pt x="589139" y="17639"/>
                <a:pt x="574202" y="34648"/>
                <a:pt x="560916" y="52917"/>
              </a:cubicBezTo>
              <a:cubicBezTo>
                <a:pt x="545953" y="73491"/>
                <a:pt x="518583" y="116417"/>
                <a:pt x="518583" y="116417"/>
              </a:cubicBezTo>
              <a:cubicBezTo>
                <a:pt x="495882" y="184523"/>
                <a:pt x="525797" y="110552"/>
                <a:pt x="476250" y="179917"/>
              </a:cubicBezTo>
              <a:cubicBezTo>
                <a:pt x="467080" y="192755"/>
                <a:pt x="463200" y="208722"/>
                <a:pt x="455083" y="222250"/>
              </a:cubicBezTo>
              <a:cubicBezTo>
                <a:pt x="455073" y="222267"/>
                <a:pt x="402172" y="301617"/>
                <a:pt x="391583" y="317500"/>
              </a:cubicBezTo>
              <a:lnTo>
                <a:pt x="370416" y="349250"/>
              </a:lnTo>
              <a:cubicBezTo>
                <a:pt x="363361" y="359833"/>
                <a:pt x="359833" y="373944"/>
                <a:pt x="349250" y="381000"/>
              </a:cubicBezTo>
              <a:lnTo>
                <a:pt x="317500" y="402167"/>
              </a:lnTo>
              <a:cubicBezTo>
                <a:pt x="297449" y="462315"/>
                <a:pt x="314804" y="426029"/>
                <a:pt x="243416" y="497417"/>
              </a:cubicBezTo>
              <a:cubicBezTo>
                <a:pt x="232833" y="508000"/>
                <a:pt x="219968" y="516714"/>
                <a:pt x="211666" y="529167"/>
              </a:cubicBezTo>
              <a:cubicBezTo>
                <a:pt x="204611" y="539750"/>
                <a:pt x="198950" y="551410"/>
                <a:pt x="190500" y="560917"/>
              </a:cubicBezTo>
              <a:cubicBezTo>
                <a:pt x="170613" y="583290"/>
                <a:pt x="143605" y="599510"/>
                <a:pt x="127000" y="624417"/>
              </a:cubicBezTo>
              <a:lnTo>
                <a:pt x="84666" y="687917"/>
              </a:lnTo>
              <a:cubicBezTo>
                <a:pt x="77611" y="698500"/>
                <a:pt x="74083" y="712612"/>
                <a:pt x="63500" y="719667"/>
              </a:cubicBezTo>
              <a:lnTo>
                <a:pt x="0" y="762000"/>
              </a:lnTo>
            </a:path>
          </a:pathLst>
        </a:custGeom>
        <a:noFill/>
        <a:ln w="38100"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20</xdr:row>
      <xdr:rowOff>38100</xdr:rowOff>
    </xdr:from>
    <xdr:to>
      <xdr:col>4</xdr:col>
      <xdr:colOff>161925</xdr:colOff>
      <xdr:row>20</xdr:row>
      <xdr:rowOff>142875</xdr:rowOff>
    </xdr:to>
    <xdr:sp macro="" textlink="">
      <xdr:nvSpPr>
        <xdr:cNvPr id="2" name="Line 27">
          <a:extLst>
            <a:ext uri="{FF2B5EF4-FFF2-40B4-BE49-F238E27FC236}">
              <a16:creationId xmlns:a16="http://schemas.microsoft.com/office/drawing/2014/main" id="{6B32927D-F686-4632-8AA9-2BAA434876C5}"/>
            </a:ext>
          </a:extLst>
        </xdr:cNvPr>
        <xdr:cNvSpPr>
          <a:spLocks noChangeShapeType="1"/>
        </xdr:cNvSpPr>
      </xdr:nvSpPr>
      <xdr:spPr bwMode="auto">
        <a:xfrm>
          <a:off x="292417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20</xdr:row>
      <xdr:rowOff>38100</xdr:rowOff>
    </xdr:from>
    <xdr:to>
      <xdr:col>8</xdr:col>
      <xdr:colOff>171450</xdr:colOff>
      <xdr:row>20</xdr:row>
      <xdr:rowOff>142875</xdr:rowOff>
    </xdr:to>
    <xdr:sp macro="" textlink="">
      <xdr:nvSpPr>
        <xdr:cNvPr id="3" name="Line 28">
          <a:extLst>
            <a:ext uri="{FF2B5EF4-FFF2-40B4-BE49-F238E27FC236}">
              <a16:creationId xmlns:a16="http://schemas.microsoft.com/office/drawing/2014/main" id="{143423C9-6C2E-4040-BF99-D09005372844}"/>
            </a:ext>
          </a:extLst>
        </xdr:cNvPr>
        <xdr:cNvSpPr>
          <a:spLocks noChangeShapeType="1"/>
        </xdr:cNvSpPr>
      </xdr:nvSpPr>
      <xdr:spPr bwMode="auto">
        <a:xfrm flipH="1">
          <a:off x="393382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12</xdr:row>
      <xdr:rowOff>38100</xdr:rowOff>
    </xdr:from>
    <xdr:to>
      <xdr:col>4</xdr:col>
      <xdr:colOff>161925</xdr:colOff>
      <xdr:row>12</xdr:row>
      <xdr:rowOff>142875</xdr:rowOff>
    </xdr:to>
    <xdr:sp macro="" textlink="">
      <xdr:nvSpPr>
        <xdr:cNvPr id="4" name="Line 29">
          <a:extLst>
            <a:ext uri="{FF2B5EF4-FFF2-40B4-BE49-F238E27FC236}">
              <a16:creationId xmlns:a16="http://schemas.microsoft.com/office/drawing/2014/main" id="{54E00877-84DD-4CE7-9BFD-392B8D5877CA}"/>
            </a:ext>
          </a:extLst>
        </xdr:cNvPr>
        <xdr:cNvSpPr>
          <a:spLocks noChangeShapeType="1"/>
        </xdr:cNvSpPr>
      </xdr:nvSpPr>
      <xdr:spPr bwMode="auto">
        <a:xfrm>
          <a:off x="292417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171450</xdr:colOff>
      <xdr:row>12</xdr:row>
      <xdr:rowOff>142875</xdr:rowOff>
    </xdr:to>
    <xdr:sp macro="" textlink="">
      <xdr:nvSpPr>
        <xdr:cNvPr id="5" name="Line 30">
          <a:extLst>
            <a:ext uri="{FF2B5EF4-FFF2-40B4-BE49-F238E27FC236}">
              <a16:creationId xmlns:a16="http://schemas.microsoft.com/office/drawing/2014/main" id="{06438155-25E9-42DE-9EA8-1928FC2D2AA9}"/>
            </a:ext>
          </a:extLst>
        </xdr:cNvPr>
        <xdr:cNvSpPr>
          <a:spLocks noChangeShapeType="1"/>
        </xdr:cNvSpPr>
      </xdr:nvSpPr>
      <xdr:spPr bwMode="auto">
        <a:xfrm flipH="1">
          <a:off x="393382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72278</xdr:colOff>
      <xdr:row>16</xdr:row>
      <xdr:rowOff>50988</xdr:rowOff>
    </xdr:from>
    <xdr:to>
      <xdr:col>9</xdr:col>
      <xdr:colOff>0</xdr:colOff>
      <xdr:row>16</xdr:row>
      <xdr:rowOff>50988</xdr:rowOff>
    </xdr:to>
    <xdr:sp macro="" textlink="">
      <xdr:nvSpPr>
        <xdr:cNvPr id="6" name="Line 31">
          <a:extLst>
            <a:ext uri="{FF2B5EF4-FFF2-40B4-BE49-F238E27FC236}">
              <a16:creationId xmlns:a16="http://schemas.microsoft.com/office/drawing/2014/main" id="{3D07C25C-CEC3-431D-ADC1-3400A28A2AD3}"/>
            </a:ext>
          </a:extLst>
        </xdr:cNvPr>
        <xdr:cNvSpPr>
          <a:spLocks noChangeShapeType="1"/>
        </xdr:cNvSpPr>
      </xdr:nvSpPr>
      <xdr:spPr bwMode="auto">
        <a:xfrm>
          <a:off x="2929778" y="3251388"/>
          <a:ext cx="1223122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23</xdr:row>
      <xdr:rowOff>38100</xdr:rowOff>
    </xdr:from>
    <xdr:to>
      <xdr:col>4</xdr:col>
      <xdr:colOff>161925</xdr:colOff>
      <xdr:row>23</xdr:row>
      <xdr:rowOff>142875</xdr:rowOff>
    </xdr:to>
    <xdr:sp macro="" textlink="">
      <xdr:nvSpPr>
        <xdr:cNvPr id="7" name="Line 32">
          <a:extLst>
            <a:ext uri="{FF2B5EF4-FFF2-40B4-BE49-F238E27FC236}">
              <a16:creationId xmlns:a16="http://schemas.microsoft.com/office/drawing/2014/main" id="{CD3960AD-C7BD-4383-B5BA-FB5FE4D12806}"/>
            </a:ext>
          </a:extLst>
        </xdr:cNvPr>
        <xdr:cNvSpPr>
          <a:spLocks noChangeShapeType="1"/>
        </xdr:cNvSpPr>
      </xdr:nvSpPr>
      <xdr:spPr bwMode="auto">
        <a:xfrm>
          <a:off x="292417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23</xdr:row>
      <xdr:rowOff>38100</xdr:rowOff>
    </xdr:from>
    <xdr:to>
      <xdr:col>8</xdr:col>
      <xdr:colOff>171450</xdr:colOff>
      <xdr:row>23</xdr:row>
      <xdr:rowOff>142875</xdr:rowOff>
    </xdr:to>
    <xdr:sp macro="" textlink="">
      <xdr:nvSpPr>
        <xdr:cNvPr id="8" name="Line 33">
          <a:extLst>
            <a:ext uri="{FF2B5EF4-FFF2-40B4-BE49-F238E27FC236}">
              <a16:creationId xmlns:a16="http://schemas.microsoft.com/office/drawing/2014/main" id="{3290DB56-FDFD-4AF2-B5C1-AEFF3B9A6DC4}"/>
            </a:ext>
          </a:extLst>
        </xdr:cNvPr>
        <xdr:cNvSpPr>
          <a:spLocks noChangeShapeType="1"/>
        </xdr:cNvSpPr>
      </xdr:nvSpPr>
      <xdr:spPr bwMode="auto">
        <a:xfrm flipH="1">
          <a:off x="393382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27454</xdr:colOff>
      <xdr:row>26</xdr:row>
      <xdr:rowOff>126440</xdr:rowOff>
    </xdr:from>
    <xdr:to>
      <xdr:col>9</xdr:col>
      <xdr:colOff>17929</xdr:colOff>
      <xdr:row>26</xdr:row>
      <xdr:rowOff>126440</xdr:rowOff>
    </xdr:to>
    <xdr:sp macro="" textlink="">
      <xdr:nvSpPr>
        <xdr:cNvPr id="9" name="Line 34">
          <a:extLst>
            <a:ext uri="{FF2B5EF4-FFF2-40B4-BE49-F238E27FC236}">
              <a16:creationId xmlns:a16="http://schemas.microsoft.com/office/drawing/2014/main" id="{63D8B1A9-20CC-4F8D-ABD5-0ABA0E262F79}"/>
            </a:ext>
          </a:extLst>
        </xdr:cNvPr>
        <xdr:cNvSpPr>
          <a:spLocks noChangeShapeType="1"/>
        </xdr:cNvSpPr>
      </xdr:nvSpPr>
      <xdr:spPr bwMode="auto">
        <a:xfrm>
          <a:off x="2884954" y="5327090"/>
          <a:ext cx="128587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32</xdr:row>
      <xdr:rowOff>57150</xdr:rowOff>
    </xdr:from>
    <xdr:to>
      <xdr:col>8</xdr:col>
      <xdr:colOff>161925</xdr:colOff>
      <xdr:row>32</xdr:row>
      <xdr:rowOff>161925</xdr:rowOff>
    </xdr:to>
    <xdr:sp macro="" textlink="">
      <xdr:nvSpPr>
        <xdr:cNvPr id="10" name="Line 35">
          <a:extLst>
            <a:ext uri="{FF2B5EF4-FFF2-40B4-BE49-F238E27FC236}">
              <a16:creationId xmlns:a16="http://schemas.microsoft.com/office/drawing/2014/main" id="{4301F220-4493-46EC-B9E2-FC7C9F5C5E6D}"/>
            </a:ext>
          </a:extLst>
        </xdr:cNvPr>
        <xdr:cNvSpPr>
          <a:spLocks noChangeShapeType="1"/>
        </xdr:cNvSpPr>
      </xdr:nvSpPr>
      <xdr:spPr bwMode="auto">
        <a:xfrm>
          <a:off x="3924300" y="6457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66675</xdr:rowOff>
    </xdr:from>
    <xdr:to>
      <xdr:col>4</xdr:col>
      <xdr:colOff>161925</xdr:colOff>
      <xdr:row>32</xdr:row>
      <xdr:rowOff>171450</xdr:rowOff>
    </xdr:to>
    <xdr:sp macro="" textlink="">
      <xdr:nvSpPr>
        <xdr:cNvPr id="11" name="Line 36">
          <a:extLst>
            <a:ext uri="{FF2B5EF4-FFF2-40B4-BE49-F238E27FC236}">
              <a16:creationId xmlns:a16="http://schemas.microsoft.com/office/drawing/2014/main" id="{23A25385-3F0B-4719-841F-DA907277D438}"/>
            </a:ext>
          </a:extLst>
        </xdr:cNvPr>
        <xdr:cNvSpPr>
          <a:spLocks noChangeShapeType="1"/>
        </xdr:cNvSpPr>
      </xdr:nvSpPr>
      <xdr:spPr bwMode="auto">
        <a:xfrm flipH="1">
          <a:off x="2924175" y="64674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35</xdr:row>
      <xdr:rowOff>57150</xdr:rowOff>
    </xdr:from>
    <xdr:to>
      <xdr:col>8</xdr:col>
      <xdr:colOff>161925</xdr:colOff>
      <xdr:row>35</xdr:row>
      <xdr:rowOff>161925</xdr:rowOff>
    </xdr:to>
    <xdr:sp macro="" textlink="">
      <xdr:nvSpPr>
        <xdr:cNvPr id="12" name="Line 37">
          <a:extLst>
            <a:ext uri="{FF2B5EF4-FFF2-40B4-BE49-F238E27FC236}">
              <a16:creationId xmlns:a16="http://schemas.microsoft.com/office/drawing/2014/main" id="{6EBC72AA-CDD6-472F-BA89-5952C2E82C1F}"/>
            </a:ext>
          </a:extLst>
        </xdr:cNvPr>
        <xdr:cNvSpPr>
          <a:spLocks noChangeShapeType="1"/>
        </xdr:cNvSpPr>
      </xdr:nvSpPr>
      <xdr:spPr bwMode="auto">
        <a:xfrm>
          <a:off x="3924300" y="70580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66675</xdr:rowOff>
    </xdr:from>
    <xdr:to>
      <xdr:col>4</xdr:col>
      <xdr:colOff>161925</xdr:colOff>
      <xdr:row>35</xdr:row>
      <xdr:rowOff>171450</xdr:rowOff>
    </xdr:to>
    <xdr:sp macro="" textlink="">
      <xdr:nvSpPr>
        <xdr:cNvPr id="13" name="Line 38">
          <a:extLst>
            <a:ext uri="{FF2B5EF4-FFF2-40B4-BE49-F238E27FC236}">
              <a16:creationId xmlns:a16="http://schemas.microsoft.com/office/drawing/2014/main" id="{E3F7B2FE-307E-479F-B7B0-0B563C6A1430}"/>
            </a:ext>
          </a:extLst>
        </xdr:cNvPr>
        <xdr:cNvSpPr>
          <a:spLocks noChangeShapeType="1"/>
        </xdr:cNvSpPr>
      </xdr:nvSpPr>
      <xdr:spPr bwMode="auto">
        <a:xfrm flipH="1">
          <a:off x="2924175" y="70675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29</xdr:row>
      <xdr:rowOff>63500</xdr:rowOff>
    </xdr:from>
    <xdr:to>
      <xdr:col>8</xdr:col>
      <xdr:colOff>171450</xdr:colOff>
      <xdr:row>29</xdr:row>
      <xdr:rowOff>168275</xdr:rowOff>
    </xdr:to>
    <xdr:sp macro="" textlink="">
      <xdr:nvSpPr>
        <xdr:cNvPr id="14" name="Line 9">
          <a:extLst>
            <a:ext uri="{FF2B5EF4-FFF2-40B4-BE49-F238E27FC236}">
              <a16:creationId xmlns:a16="http://schemas.microsoft.com/office/drawing/2014/main" id="{5C1BB814-4FB1-4E0B-BE56-4FF0DE459940}"/>
            </a:ext>
          </a:extLst>
        </xdr:cNvPr>
        <xdr:cNvSpPr>
          <a:spLocks noChangeShapeType="1"/>
        </xdr:cNvSpPr>
      </xdr:nvSpPr>
      <xdr:spPr bwMode="auto">
        <a:xfrm>
          <a:off x="3933825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63500</xdr:colOff>
      <xdr:row>29</xdr:row>
      <xdr:rowOff>63500</xdr:rowOff>
    </xdr:from>
    <xdr:to>
      <xdr:col>4</xdr:col>
      <xdr:colOff>158750</xdr:colOff>
      <xdr:row>29</xdr:row>
      <xdr:rowOff>168275</xdr:rowOff>
    </xdr:to>
    <xdr:sp macro="" textlink="">
      <xdr:nvSpPr>
        <xdr:cNvPr id="15" name="Line 36">
          <a:extLst>
            <a:ext uri="{FF2B5EF4-FFF2-40B4-BE49-F238E27FC236}">
              <a16:creationId xmlns:a16="http://schemas.microsoft.com/office/drawing/2014/main" id="{D80A2A3E-A158-4917-94F7-78E5CC134015}"/>
            </a:ext>
          </a:extLst>
        </xdr:cNvPr>
        <xdr:cNvSpPr>
          <a:spLocks noChangeShapeType="1"/>
        </xdr:cNvSpPr>
      </xdr:nvSpPr>
      <xdr:spPr bwMode="auto">
        <a:xfrm flipH="1">
          <a:off x="2921000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2529417</xdr:colOff>
      <xdr:row>27</xdr:row>
      <xdr:rowOff>109904</xdr:rowOff>
    </xdr:from>
    <xdr:to>
      <xdr:col>4</xdr:col>
      <xdr:colOff>278423</xdr:colOff>
      <xdr:row>32</xdr:row>
      <xdr:rowOff>21166</xdr:rowOff>
    </xdr:to>
    <xdr:sp macro="" textlink="">
      <xdr:nvSpPr>
        <xdr:cNvPr id="16" name="Freeform 1">
          <a:extLst>
            <a:ext uri="{FF2B5EF4-FFF2-40B4-BE49-F238E27FC236}">
              <a16:creationId xmlns:a16="http://schemas.microsoft.com/office/drawing/2014/main" id="{8D25F19D-CE23-4E2B-A9EB-38056F5F3669}"/>
            </a:ext>
          </a:extLst>
        </xdr:cNvPr>
        <xdr:cNvSpPr/>
      </xdr:nvSpPr>
      <xdr:spPr>
        <a:xfrm>
          <a:off x="2529417" y="5451231"/>
          <a:ext cx="606506" cy="900397"/>
        </a:xfrm>
        <a:custGeom>
          <a:avLst/>
          <a:gdLst>
            <a:gd name="connsiteX0" fmla="*/ 603250 w 603250"/>
            <a:gd name="connsiteY0" fmla="*/ 0 h 762000"/>
            <a:gd name="connsiteX1" fmla="*/ 560916 w 603250"/>
            <a:gd name="connsiteY1" fmla="*/ 52917 h 762000"/>
            <a:gd name="connsiteX2" fmla="*/ 518583 w 603250"/>
            <a:gd name="connsiteY2" fmla="*/ 116417 h 762000"/>
            <a:gd name="connsiteX3" fmla="*/ 476250 w 603250"/>
            <a:gd name="connsiteY3" fmla="*/ 179917 h 762000"/>
            <a:gd name="connsiteX4" fmla="*/ 455083 w 603250"/>
            <a:gd name="connsiteY4" fmla="*/ 222250 h 762000"/>
            <a:gd name="connsiteX5" fmla="*/ 391583 w 603250"/>
            <a:gd name="connsiteY5" fmla="*/ 317500 h 762000"/>
            <a:gd name="connsiteX6" fmla="*/ 370416 w 603250"/>
            <a:gd name="connsiteY6" fmla="*/ 349250 h 762000"/>
            <a:gd name="connsiteX7" fmla="*/ 349250 w 603250"/>
            <a:gd name="connsiteY7" fmla="*/ 381000 h 762000"/>
            <a:gd name="connsiteX8" fmla="*/ 317500 w 603250"/>
            <a:gd name="connsiteY8" fmla="*/ 402167 h 762000"/>
            <a:gd name="connsiteX9" fmla="*/ 243416 w 603250"/>
            <a:gd name="connsiteY9" fmla="*/ 497417 h 762000"/>
            <a:gd name="connsiteX10" fmla="*/ 211666 w 603250"/>
            <a:gd name="connsiteY10" fmla="*/ 529167 h 762000"/>
            <a:gd name="connsiteX11" fmla="*/ 190500 w 603250"/>
            <a:gd name="connsiteY11" fmla="*/ 560917 h 762000"/>
            <a:gd name="connsiteX12" fmla="*/ 127000 w 603250"/>
            <a:gd name="connsiteY12" fmla="*/ 624417 h 762000"/>
            <a:gd name="connsiteX13" fmla="*/ 84666 w 603250"/>
            <a:gd name="connsiteY13" fmla="*/ 687917 h 762000"/>
            <a:gd name="connsiteX14" fmla="*/ 63500 w 603250"/>
            <a:gd name="connsiteY14" fmla="*/ 719667 h 762000"/>
            <a:gd name="connsiteX15" fmla="*/ 0 w 603250"/>
            <a:gd name="connsiteY15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03250" h="762000">
              <a:moveTo>
                <a:pt x="603250" y="0"/>
              </a:moveTo>
              <a:cubicBezTo>
                <a:pt x="589139" y="17639"/>
                <a:pt x="574202" y="34648"/>
                <a:pt x="560916" y="52917"/>
              </a:cubicBezTo>
              <a:cubicBezTo>
                <a:pt x="545953" y="73491"/>
                <a:pt x="518583" y="116417"/>
                <a:pt x="518583" y="116417"/>
              </a:cubicBezTo>
              <a:cubicBezTo>
                <a:pt x="495882" y="184523"/>
                <a:pt x="525797" y="110552"/>
                <a:pt x="476250" y="179917"/>
              </a:cubicBezTo>
              <a:cubicBezTo>
                <a:pt x="467080" y="192755"/>
                <a:pt x="463200" y="208722"/>
                <a:pt x="455083" y="222250"/>
              </a:cubicBezTo>
              <a:cubicBezTo>
                <a:pt x="455073" y="222267"/>
                <a:pt x="402172" y="301617"/>
                <a:pt x="391583" y="317500"/>
              </a:cubicBezTo>
              <a:lnTo>
                <a:pt x="370416" y="349250"/>
              </a:lnTo>
              <a:cubicBezTo>
                <a:pt x="363361" y="359833"/>
                <a:pt x="359833" y="373944"/>
                <a:pt x="349250" y="381000"/>
              </a:cubicBezTo>
              <a:lnTo>
                <a:pt x="317500" y="402167"/>
              </a:lnTo>
              <a:cubicBezTo>
                <a:pt x="297449" y="462315"/>
                <a:pt x="314804" y="426029"/>
                <a:pt x="243416" y="497417"/>
              </a:cubicBezTo>
              <a:cubicBezTo>
                <a:pt x="232833" y="508000"/>
                <a:pt x="219968" y="516714"/>
                <a:pt x="211666" y="529167"/>
              </a:cubicBezTo>
              <a:cubicBezTo>
                <a:pt x="204611" y="539750"/>
                <a:pt x="198950" y="551410"/>
                <a:pt x="190500" y="560917"/>
              </a:cubicBezTo>
              <a:cubicBezTo>
                <a:pt x="170613" y="583290"/>
                <a:pt x="143605" y="599510"/>
                <a:pt x="127000" y="624417"/>
              </a:cubicBezTo>
              <a:lnTo>
                <a:pt x="84666" y="687917"/>
              </a:lnTo>
              <a:cubicBezTo>
                <a:pt x="77611" y="698500"/>
                <a:pt x="74083" y="712612"/>
                <a:pt x="63500" y="719667"/>
              </a:cubicBezTo>
              <a:lnTo>
                <a:pt x="0" y="762000"/>
              </a:lnTo>
            </a:path>
          </a:pathLst>
        </a:custGeom>
        <a:noFill/>
        <a:ln w="38100"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158542</xdr:colOff>
      <xdr:row>27</xdr:row>
      <xdr:rowOff>171744</xdr:rowOff>
    </xdr:from>
    <xdr:to>
      <xdr:col>10</xdr:col>
      <xdr:colOff>176992</xdr:colOff>
      <xdr:row>31</xdr:row>
      <xdr:rowOff>114029</xdr:rowOff>
    </xdr:to>
    <xdr:sp macro="" textlink="">
      <xdr:nvSpPr>
        <xdr:cNvPr id="17" name="Freeform 41">
          <a:extLst>
            <a:ext uri="{FF2B5EF4-FFF2-40B4-BE49-F238E27FC236}">
              <a16:creationId xmlns:a16="http://schemas.microsoft.com/office/drawing/2014/main" id="{3695A9B0-4FA3-408D-AAB2-0E0C9FDB8844}"/>
            </a:ext>
          </a:extLst>
        </xdr:cNvPr>
        <xdr:cNvSpPr/>
      </xdr:nvSpPr>
      <xdr:spPr>
        <a:xfrm rot="6332543">
          <a:off x="3808797" y="5489643"/>
          <a:ext cx="733593" cy="780450"/>
        </a:xfrm>
        <a:custGeom>
          <a:avLst/>
          <a:gdLst>
            <a:gd name="connsiteX0" fmla="*/ 603250 w 603250"/>
            <a:gd name="connsiteY0" fmla="*/ 0 h 762000"/>
            <a:gd name="connsiteX1" fmla="*/ 560916 w 603250"/>
            <a:gd name="connsiteY1" fmla="*/ 52917 h 762000"/>
            <a:gd name="connsiteX2" fmla="*/ 518583 w 603250"/>
            <a:gd name="connsiteY2" fmla="*/ 116417 h 762000"/>
            <a:gd name="connsiteX3" fmla="*/ 476250 w 603250"/>
            <a:gd name="connsiteY3" fmla="*/ 179917 h 762000"/>
            <a:gd name="connsiteX4" fmla="*/ 455083 w 603250"/>
            <a:gd name="connsiteY4" fmla="*/ 222250 h 762000"/>
            <a:gd name="connsiteX5" fmla="*/ 391583 w 603250"/>
            <a:gd name="connsiteY5" fmla="*/ 317500 h 762000"/>
            <a:gd name="connsiteX6" fmla="*/ 370416 w 603250"/>
            <a:gd name="connsiteY6" fmla="*/ 349250 h 762000"/>
            <a:gd name="connsiteX7" fmla="*/ 349250 w 603250"/>
            <a:gd name="connsiteY7" fmla="*/ 381000 h 762000"/>
            <a:gd name="connsiteX8" fmla="*/ 317500 w 603250"/>
            <a:gd name="connsiteY8" fmla="*/ 402167 h 762000"/>
            <a:gd name="connsiteX9" fmla="*/ 243416 w 603250"/>
            <a:gd name="connsiteY9" fmla="*/ 497417 h 762000"/>
            <a:gd name="connsiteX10" fmla="*/ 211666 w 603250"/>
            <a:gd name="connsiteY10" fmla="*/ 529167 h 762000"/>
            <a:gd name="connsiteX11" fmla="*/ 190500 w 603250"/>
            <a:gd name="connsiteY11" fmla="*/ 560917 h 762000"/>
            <a:gd name="connsiteX12" fmla="*/ 127000 w 603250"/>
            <a:gd name="connsiteY12" fmla="*/ 624417 h 762000"/>
            <a:gd name="connsiteX13" fmla="*/ 84666 w 603250"/>
            <a:gd name="connsiteY13" fmla="*/ 687917 h 762000"/>
            <a:gd name="connsiteX14" fmla="*/ 63500 w 603250"/>
            <a:gd name="connsiteY14" fmla="*/ 719667 h 762000"/>
            <a:gd name="connsiteX15" fmla="*/ 0 w 603250"/>
            <a:gd name="connsiteY15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03250" h="762000">
              <a:moveTo>
                <a:pt x="603250" y="0"/>
              </a:moveTo>
              <a:cubicBezTo>
                <a:pt x="589139" y="17639"/>
                <a:pt x="574202" y="34648"/>
                <a:pt x="560916" y="52917"/>
              </a:cubicBezTo>
              <a:cubicBezTo>
                <a:pt x="545953" y="73491"/>
                <a:pt x="518583" y="116417"/>
                <a:pt x="518583" y="116417"/>
              </a:cubicBezTo>
              <a:cubicBezTo>
                <a:pt x="495882" y="184523"/>
                <a:pt x="525797" y="110552"/>
                <a:pt x="476250" y="179917"/>
              </a:cubicBezTo>
              <a:cubicBezTo>
                <a:pt x="467080" y="192755"/>
                <a:pt x="463200" y="208722"/>
                <a:pt x="455083" y="222250"/>
              </a:cubicBezTo>
              <a:cubicBezTo>
                <a:pt x="455073" y="222267"/>
                <a:pt x="402172" y="301617"/>
                <a:pt x="391583" y="317500"/>
              </a:cubicBezTo>
              <a:lnTo>
                <a:pt x="370416" y="349250"/>
              </a:lnTo>
              <a:cubicBezTo>
                <a:pt x="363361" y="359833"/>
                <a:pt x="359833" y="373944"/>
                <a:pt x="349250" y="381000"/>
              </a:cubicBezTo>
              <a:lnTo>
                <a:pt x="317500" y="402167"/>
              </a:lnTo>
              <a:cubicBezTo>
                <a:pt x="297449" y="462315"/>
                <a:pt x="314804" y="426029"/>
                <a:pt x="243416" y="497417"/>
              </a:cubicBezTo>
              <a:cubicBezTo>
                <a:pt x="232833" y="508000"/>
                <a:pt x="219968" y="516714"/>
                <a:pt x="211666" y="529167"/>
              </a:cubicBezTo>
              <a:cubicBezTo>
                <a:pt x="204611" y="539750"/>
                <a:pt x="198950" y="551410"/>
                <a:pt x="190500" y="560917"/>
              </a:cubicBezTo>
              <a:cubicBezTo>
                <a:pt x="170613" y="583290"/>
                <a:pt x="143605" y="599510"/>
                <a:pt x="127000" y="624417"/>
              </a:cubicBezTo>
              <a:lnTo>
                <a:pt x="84666" y="687917"/>
              </a:lnTo>
              <a:cubicBezTo>
                <a:pt x="77611" y="698500"/>
                <a:pt x="74083" y="712612"/>
                <a:pt x="63500" y="719667"/>
              </a:cubicBezTo>
              <a:lnTo>
                <a:pt x="0" y="762000"/>
              </a:lnTo>
            </a:path>
          </a:pathLst>
        </a:custGeom>
        <a:noFill/>
        <a:ln w="38100"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0</xdr:row>
      <xdr:rowOff>160020</xdr:rowOff>
    </xdr:from>
    <xdr:to>
      <xdr:col>20</xdr:col>
      <xdr:colOff>510540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160020</xdr:rowOff>
    </xdr:from>
    <xdr:to>
      <xdr:col>18</xdr:col>
      <xdr:colOff>441960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23</xdr:row>
      <xdr:rowOff>175260</xdr:rowOff>
    </xdr:from>
    <xdr:to>
      <xdr:col>18</xdr:col>
      <xdr:colOff>556260</xdr:colOff>
      <xdr:row>42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0"/>
  <sheetViews>
    <sheetView topLeftCell="B1" zoomScaleNormal="100" workbookViewId="0">
      <selection activeCell="D1" sqref="D1:D1048576"/>
    </sheetView>
  </sheetViews>
  <sheetFormatPr defaultColWidth="12.5703125" defaultRowHeight="15" x14ac:dyDescent="0.25"/>
  <cols>
    <col min="1" max="1" width="39.5703125" customWidth="1"/>
    <col min="2" max="2" width="8.5703125" customWidth="1"/>
    <col min="3" max="3" width="9.7109375" customWidth="1"/>
    <col min="4" max="4" width="4.7109375" style="395" customWidth="1"/>
    <col min="5" max="8" width="3.5703125" style="10" customWidth="1"/>
    <col min="9" max="13" width="12.5703125" customWidth="1"/>
    <col min="14" max="14" width="12.140625" style="10" customWidth="1"/>
    <col min="15" max="20" width="12.5703125" style="10" customWidth="1"/>
  </cols>
  <sheetData>
    <row r="1" spans="1:22" ht="15.95" customHeight="1" x14ac:dyDescent="0.25">
      <c r="A1" s="1" t="s">
        <v>0</v>
      </c>
      <c r="B1" s="2"/>
      <c r="C1" s="2"/>
      <c r="D1" s="382"/>
      <c r="E1" s="3"/>
      <c r="F1" s="3"/>
      <c r="G1" s="3"/>
      <c r="H1" s="3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4"/>
      <c r="V1" s="4"/>
    </row>
    <row r="2" spans="1:22" ht="15.95" hidden="1" customHeight="1" x14ac:dyDescent="0.25">
      <c r="A2" s="1"/>
      <c r="B2" s="2"/>
      <c r="C2" s="2"/>
      <c r="D2" s="382"/>
      <c r="E2" s="3"/>
      <c r="F2" s="3"/>
      <c r="G2" s="3"/>
      <c r="H2" s="3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4"/>
      <c r="V2" s="4"/>
    </row>
    <row r="3" spans="1:22" ht="15.95" hidden="1" customHeight="1" x14ac:dyDescent="0.25">
      <c r="A3" s="1"/>
      <c r="B3" s="6" t="s">
        <v>1</v>
      </c>
      <c r="C3" s="6"/>
      <c r="D3" s="383"/>
      <c r="E3" s="7"/>
      <c r="F3" s="3"/>
      <c r="G3" s="3"/>
      <c r="H3" s="3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4"/>
      <c r="V3" s="4"/>
    </row>
    <row r="4" spans="1:22" ht="15.95" hidden="1" customHeight="1" x14ac:dyDescent="0.25">
      <c r="B4" s="8" t="s">
        <v>2</v>
      </c>
      <c r="C4" s="9"/>
      <c r="D4" s="384"/>
      <c r="R4" s="5"/>
      <c r="S4" s="5"/>
      <c r="T4" s="5"/>
      <c r="U4" s="4"/>
      <c r="V4" s="4"/>
    </row>
    <row r="5" spans="1:22" ht="15.95" customHeight="1" x14ac:dyDescent="0.25">
      <c r="A5" s="11"/>
      <c r="B5" s="12" t="s">
        <v>3</v>
      </c>
      <c r="C5" s="8"/>
      <c r="D5" s="385">
        <v>0</v>
      </c>
      <c r="E5" s="13"/>
      <c r="F5" s="13"/>
      <c r="G5" s="13"/>
      <c r="H5" s="13"/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5" t="s">
        <v>4</v>
      </c>
      <c r="O5" s="15" t="s">
        <v>4</v>
      </c>
      <c r="P5" s="15" t="s">
        <v>4</v>
      </c>
      <c r="Q5" s="15" t="s">
        <v>4</v>
      </c>
      <c r="R5" s="15" t="s">
        <v>4</v>
      </c>
      <c r="S5" s="15" t="s">
        <v>4</v>
      </c>
      <c r="T5" s="15" t="s">
        <v>4</v>
      </c>
      <c r="U5" s="4"/>
      <c r="V5" s="4"/>
    </row>
    <row r="6" spans="1:22" ht="15.95" customHeight="1" thickBot="1" x14ac:dyDescent="0.3">
      <c r="A6" s="16" t="s">
        <v>5</v>
      </c>
      <c r="B6" s="17" t="s">
        <v>6</v>
      </c>
      <c r="C6" s="18" t="s">
        <v>7</v>
      </c>
      <c r="D6" s="386">
        <v>0</v>
      </c>
      <c r="E6" s="19"/>
      <c r="F6" s="19"/>
      <c r="G6" s="20"/>
      <c r="H6" s="20"/>
      <c r="I6" s="21">
        <v>2016</v>
      </c>
      <c r="J6" s="21">
        <f t="shared" ref="J6:T6" si="0">I6+1</f>
        <v>2017</v>
      </c>
      <c r="K6" s="21">
        <f t="shared" si="0"/>
        <v>2018</v>
      </c>
      <c r="L6" s="21">
        <f t="shared" si="0"/>
        <v>2019</v>
      </c>
      <c r="M6" s="21">
        <f t="shared" si="0"/>
        <v>2020</v>
      </c>
      <c r="N6" s="22">
        <f t="shared" si="0"/>
        <v>2021</v>
      </c>
      <c r="O6" s="22">
        <f t="shared" si="0"/>
        <v>2022</v>
      </c>
      <c r="P6" s="22">
        <f t="shared" si="0"/>
        <v>2023</v>
      </c>
      <c r="Q6" s="22">
        <f t="shared" si="0"/>
        <v>2024</v>
      </c>
      <c r="R6" s="22">
        <f t="shared" si="0"/>
        <v>2025</v>
      </c>
      <c r="S6" s="22">
        <f t="shared" si="0"/>
        <v>2026</v>
      </c>
      <c r="T6" s="22">
        <f t="shared" si="0"/>
        <v>2027</v>
      </c>
      <c r="U6" s="4"/>
      <c r="V6" s="4"/>
    </row>
    <row r="7" spans="1:22" ht="15.95" hidden="1" customHeight="1" thickTop="1" x14ac:dyDescent="0.25">
      <c r="A7" s="23"/>
      <c r="B7" s="23"/>
      <c r="C7" s="23"/>
      <c r="D7" s="387"/>
      <c r="E7" s="24"/>
      <c r="F7" s="24"/>
      <c r="G7" s="24"/>
      <c r="H7" s="24"/>
      <c r="I7" s="23"/>
      <c r="J7" s="23"/>
      <c r="K7" s="23"/>
      <c r="L7" s="23"/>
      <c r="M7" s="23"/>
      <c r="N7" s="24"/>
      <c r="O7" s="24"/>
      <c r="P7" s="24"/>
      <c r="Q7" s="24"/>
      <c r="R7" s="5"/>
      <c r="S7" s="5"/>
      <c r="T7" s="5"/>
      <c r="U7" s="4"/>
      <c r="V7" s="4"/>
    </row>
    <row r="8" spans="1:22" ht="15.95" hidden="1" customHeight="1" thickBot="1" x14ac:dyDescent="0.25">
      <c r="A8" s="4"/>
      <c r="B8" s="4"/>
      <c r="C8" s="4"/>
      <c r="D8" s="388"/>
      <c r="E8" s="25"/>
      <c r="F8" s="25"/>
      <c r="G8" s="25"/>
      <c r="H8" s="25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4"/>
      <c r="V8" s="4"/>
    </row>
    <row r="9" spans="1:22" ht="15.95" hidden="1" customHeight="1" thickTop="1" x14ac:dyDescent="0.25">
      <c r="A9" s="4" t="s">
        <v>8</v>
      </c>
      <c r="B9" s="26"/>
      <c r="C9" s="26"/>
      <c r="D9" s="389"/>
      <c r="E9" s="27"/>
      <c r="F9" s="28"/>
      <c r="G9" s="29"/>
      <c r="H9" s="30"/>
      <c r="I9" s="31">
        <v>10700</v>
      </c>
      <c r="J9" s="31">
        <v>11100</v>
      </c>
      <c r="K9" s="31">
        <v>12600</v>
      </c>
      <c r="L9" s="31">
        <v>12900</v>
      </c>
      <c r="M9" s="31">
        <v>13200</v>
      </c>
      <c r="N9" s="31">
        <v>13600</v>
      </c>
      <c r="O9" s="32">
        <v>13900</v>
      </c>
      <c r="P9" s="32">
        <v>14300</v>
      </c>
      <c r="Q9" s="32">
        <v>14700</v>
      </c>
      <c r="R9" s="32">
        <v>15100</v>
      </c>
      <c r="S9" s="32">
        <v>15500</v>
      </c>
      <c r="T9" s="32">
        <v>15900</v>
      </c>
      <c r="U9" s="4"/>
      <c r="V9" s="4"/>
    </row>
    <row r="10" spans="1:22" ht="15.95" hidden="1" customHeight="1" thickBot="1" x14ac:dyDescent="0.25">
      <c r="B10" s="33"/>
      <c r="C10" s="33"/>
      <c r="D10" s="390"/>
      <c r="E10" s="34"/>
      <c r="F10" s="35"/>
      <c r="G10" s="34"/>
      <c r="H10" s="34"/>
      <c r="I10" s="36"/>
      <c r="J10" s="36"/>
      <c r="K10" s="36"/>
      <c r="L10" s="36"/>
      <c r="M10" s="36"/>
      <c r="N10" s="5"/>
      <c r="O10" s="5"/>
      <c r="P10" s="5"/>
      <c r="Q10" s="5"/>
      <c r="R10" s="5"/>
      <c r="U10" s="4"/>
      <c r="V10" s="4"/>
    </row>
    <row r="11" spans="1:22" ht="15.95" hidden="1" customHeight="1" thickTop="1" x14ac:dyDescent="0.25">
      <c r="A11" s="4" t="s">
        <v>9</v>
      </c>
      <c r="B11" s="37"/>
      <c r="C11" s="37"/>
      <c r="D11" s="391"/>
      <c r="E11" s="27"/>
      <c r="F11" s="38"/>
      <c r="G11" s="39"/>
      <c r="H11" s="30"/>
      <c r="I11" s="40">
        <v>40000</v>
      </c>
      <c r="J11" s="40">
        <v>40900</v>
      </c>
      <c r="K11" s="40">
        <v>43100</v>
      </c>
      <c r="L11" s="40">
        <v>44200</v>
      </c>
      <c r="M11" s="40">
        <v>45200</v>
      </c>
      <c r="N11" s="41">
        <v>46100</v>
      </c>
      <c r="O11" s="41">
        <v>47200</v>
      </c>
      <c r="P11" s="41">
        <v>48100</v>
      </c>
      <c r="Q11" s="41">
        <v>49100</v>
      </c>
      <c r="R11" s="41">
        <v>50100</v>
      </c>
      <c r="S11" s="41">
        <v>51100</v>
      </c>
      <c r="T11" s="41">
        <v>52100</v>
      </c>
      <c r="U11" s="4"/>
      <c r="V11" s="4"/>
    </row>
    <row r="12" spans="1:22" ht="15.95" hidden="1" customHeight="1" x14ac:dyDescent="0.25">
      <c r="A12" s="42"/>
      <c r="B12" s="37"/>
      <c r="C12" s="37"/>
      <c r="D12" s="391"/>
      <c r="E12" s="24"/>
      <c r="F12" s="43"/>
      <c r="G12" s="5"/>
      <c r="H12" s="5"/>
      <c r="I12" s="31">
        <v>50700</v>
      </c>
      <c r="J12" s="31">
        <v>52000</v>
      </c>
      <c r="K12" s="44">
        <v>55700</v>
      </c>
      <c r="L12" s="44">
        <v>57100</v>
      </c>
      <c r="M12" s="44">
        <v>58400</v>
      </c>
      <c r="N12" s="44">
        <v>59700</v>
      </c>
      <c r="O12" s="44">
        <v>61100</v>
      </c>
      <c r="P12" s="44">
        <v>62400</v>
      </c>
      <c r="Q12" s="44">
        <v>63800</v>
      </c>
      <c r="R12" s="44">
        <v>65200</v>
      </c>
      <c r="S12" s="44">
        <v>66600</v>
      </c>
      <c r="T12" s="44">
        <v>68000</v>
      </c>
      <c r="U12" s="4"/>
      <c r="V12" s="4"/>
    </row>
    <row r="13" spans="1:22" ht="15.95" hidden="1" customHeight="1" thickBot="1" x14ac:dyDescent="0.3">
      <c r="A13" s="4" t="s">
        <v>10</v>
      </c>
      <c r="B13" s="45">
        <v>0.53</v>
      </c>
      <c r="C13" s="45">
        <v>0.79</v>
      </c>
      <c r="D13" s="392"/>
      <c r="E13" s="46"/>
      <c r="F13" s="47"/>
      <c r="G13" s="48"/>
      <c r="H13" s="49"/>
      <c r="I13" s="40">
        <v>4500</v>
      </c>
      <c r="J13" s="40">
        <v>4600</v>
      </c>
      <c r="K13" s="40">
        <v>5200</v>
      </c>
      <c r="L13" s="40">
        <v>5300</v>
      </c>
      <c r="M13" s="40">
        <v>5400</v>
      </c>
      <c r="N13" s="50">
        <v>5500</v>
      </c>
      <c r="O13" s="50">
        <v>5600</v>
      </c>
      <c r="P13" s="50">
        <v>5700</v>
      </c>
      <c r="Q13" s="50">
        <v>5800</v>
      </c>
      <c r="R13" s="50">
        <v>5900</v>
      </c>
      <c r="S13" s="50">
        <v>6000</v>
      </c>
      <c r="T13" s="50">
        <v>6100</v>
      </c>
      <c r="U13" s="4"/>
      <c r="V13" s="4"/>
    </row>
    <row r="14" spans="1:22" ht="15.95" hidden="1" customHeight="1" thickTop="1" x14ac:dyDescent="0.25">
      <c r="A14" s="4"/>
      <c r="B14" s="45"/>
      <c r="C14" s="45"/>
      <c r="D14" s="392"/>
      <c r="E14" s="51"/>
      <c r="F14" s="38"/>
      <c r="G14" s="39"/>
      <c r="H14" s="52"/>
      <c r="I14" s="40">
        <v>3300</v>
      </c>
      <c r="J14" s="40">
        <v>3400</v>
      </c>
      <c r="K14" s="40">
        <v>3800</v>
      </c>
      <c r="L14" s="40">
        <v>3900</v>
      </c>
      <c r="M14" s="40">
        <v>4000</v>
      </c>
      <c r="N14" s="50">
        <v>4100</v>
      </c>
      <c r="O14" s="50">
        <v>4200</v>
      </c>
      <c r="P14" s="50">
        <v>4300</v>
      </c>
      <c r="Q14" s="50">
        <v>4400</v>
      </c>
      <c r="R14" s="50">
        <v>4500</v>
      </c>
      <c r="S14" s="50">
        <v>4600</v>
      </c>
      <c r="T14" s="50">
        <v>4700</v>
      </c>
      <c r="U14" s="4"/>
      <c r="V14" s="4"/>
    </row>
    <row r="15" spans="1:22" ht="15.95" hidden="1" customHeight="1" x14ac:dyDescent="0.25">
      <c r="A15" s="4"/>
      <c r="B15" s="45"/>
      <c r="C15" s="45"/>
      <c r="D15" s="392"/>
      <c r="E15" s="24"/>
      <c r="F15" s="43"/>
      <c r="G15" s="5"/>
      <c r="H15" s="5"/>
      <c r="I15" s="53"/>
      <c r="J15" s="53"/>
      <c r="K15" s="53"/>
      <c r="L15" s="53"/>
      <c r="M15" s="53"/>
      <c r="N15" s="54"/>
      <c r="O15" s="54"/>
      <c r="P15" s="50"/>
      <c r="Q15" s="50"/>
      <c r="R15" s="5"/>
      <c r="S15" s="50"/>
      <c r="T15" s="50"/>
      <c r="U15" s="4"/>
      <c r="V15" s="4"/>
    </row>
    <row r="16" spans="1:22" ht="15.95" customHeight="1" thickTop="1" x14ac:dyDescent="0.25">
      <c r="A16" s="4" t="s">
        <v>11</v>
      </c>
      <c r="B16" s="45">
        <v>0.79</v>
      </c>
      <c r="C16" s="45">
        <v>1.06</v>
      </c>
      <c r="D16" s="392">
        <v>1</v>
      </c>
      <c r="E16" s="51"/>
      <c r="F16" s="55"/>
      <c r="G16" s="56"/>
      <c r="H16" s="56"/>
      <c r="I16" s="31">
        <v>49500</v>
      </c>
      <c r="J16" s="31">
        <v>50800</v>
      </c>
      <c r="K16" s="44">
        <v>54300</v>
      </c>
      <c r="L16" s="44">
        <v>55700</v>
      </c>
      <c r="M16" s="44">
        <v>57000</v>
      </c>
      <c r="N16" s="44">
        <v>58300</v>
      </c>
      <c r="O16" s="44">
        <v>59700</v>
      </c>
      <c r="P16" s="44">
        <v>61000</v>
      </c>
      <c r="Q16" s="44">
        <v>62400</v>
      </c>
      <c r="R16" s="44">
        <v>63800</v>
      </c>
      <c r="S16" s="44">
        <v>65200</v>
      </c>
      <c r="T16" s="44">
        <v>66600</v>
      </c>
      <c r="U16" s="4"/>
      <c r="V16" s="4"/>
    </row>
    <row r="17" spans="1:22" ht="15.95" hidden="1" customHeight="1" x14ac:dyDescent="0.25">
      <c r="A17" s="4"/>
      <c r="B17" s="45"/>
      <c r="C17" s="45"/>
      <c r="D17" s="392"/>
      <c r="E17" s="51"/>
      <c r="F17" s="55"/>
      <c r="G17" s="56"/>
      <c r="H17" s="56"/>
      <c r="I17" s="53"/>
      <c r="J17" s="53"/>
      <c r="K17" s="53"/>
      <c r="L17" s="53"/>
      <c r="M17" s="53"/>
      <c r="N17" s="54"/>
      <c r="O17" s="54"/>
      <c r="P17" s="50"/>
      <c r="Q17" s="50"/>
      <c r="R17" s="5"/>
      <c r="S17" s="50"/>
      <c r="T17" s="50"/>
      <c r="U17" s="4"/>
      <c r="V17" s="4"/>
    </row>
    <row r="18" spans="1:22" ht="15.95" hidden="1" customHeight="1" thickBot="1" x14ac:dyDescent="0.3">
      <c r="A18" s="4" t="s">
        <v>12</v>
      </c>
      <c r="B18" s="45"/>
      <c r="C18" s="45"/>
      <c r="D18" s="392"/>
      <c r="E18" s="46"/>
      <c r="F18" s="47"/>
      <c r="G18" s="48"/>
      <c r="H18" s="49"/>
      <c r="I18" s="40">
        <v>4400</v>
      </c>
      <c r="J18" s="40">
        <v>4500</v>
      </c>
      <c r="K18" s="40">
        <v>5100</v>
      </c>
      <c r="L18" s="40">
        <v>5200</v>
      </c>
      <c r="M18" s="40">
        <v>5300</v>
      </c>
      <c r="N18" s="50">
        <v>5400</v>
      </c>
      <c r="O18" s="50">
        <v>5500</v>
      </c>
      <c r="P18" s="50">
        <v>5600</v>
      </c>
      <c r="Q18" s="50">
        <v>5700</v>
      </c>
      <c r="R18" s="50">
        <v>5800</v>
      </c>
      <c r="S18" s="50">
        <v>5900</v>
      </c>
      <c r="T18" s="50">
        <v>6000</v>
      </c>
      <c r="U18" s="4"/>
      <c r="V18" s="4"/>
    </row>
    <row r="19" spans="1:22" ht="15.95" hidden="1" customHeight="1" thickTop="1" x14ac:dyDescent="0.25">
      <c r="A19" s="4"/>
      <c r="B19" s="45"/>
      <c r="C19" s="45"/>
      <c r="D19" s="392"/>
      <c r="E19" s="51"/>
      <c r="F19" s="38"/>
      <c r="G19" s="39"/>
      <c r="H19" s="52"/>
      <c r="I19" s="40">
        <v>9600</v>
      </c>
      <c r="J19" s="40">
        <v>10000</v>
      </c>
      <c r="K19" s="40">
        <v>11300</v>
      </c>
      <c r="L19" s="40">
        <v>11600</v>
      </c>
      <c r="M19" s="40">
        <v>11900</v>
      </c>
      <c r="N19" s="50">
        <v>12200</v>
      </c>
      <c r="O19" s="50">
        <v>12500</v>
      </c>
      <c r="P19" s="50">
        <v>12900</v>
      </c>
      <c r="Q19" s="50">
        <v>13300</v>
      </c>
      <c r="R19" s="50">
        <v>13700</v>
      </c>
      <c r="S19" s="50">
        <v>14100</v>
      </c>
      <c r="T19" s="50">
        <v>14500</v>
      </c>
      <c r="U19" s="4"/>
      <c r="V19" s="4"/>
    </row>
    <row r="20" spans="1:22" ht="15.95" hidden="1" customHeight="1" x14ac:dyDescent="0.25">
      <c r="A20" s="4"/>
      <c r="B20" s="45"/>
      <c r="C20" s="45"/>
      <c r="D20" s="392"/>
      <c r="E20" s="24"/>
      <c r="F20" s="43"/>
      <c r="G20" s="5"/>
      <c r="H20" s="5"/>
      <c r="I20" s="31">
        <v>54700</v>
      </c>
      <c r="J20" s="31">
        <v>56300</v>
      </c>
      <c r="K20" s="44">
        <v>60500</v>
      </c>
      <c r="L20" s="44">
        <v>62100</v>
      </c>
      <c r="M20" s="44">
        <v>63600</v>
      </c>
      <c r="N20" s="44">
        <v>65100</v>
      </c>
      <c r="O20" s="44">
        <v>66700</v>
      </c>
      <c r="P20" s="44">
        <v>68300</v>
      </c>
      <c r="Q20" s="44">
        <v>70000</v>
      </c>
      <c r="R20" s="44">
        <v>71700</v>
      </c>
      <c r="S20" s="44">
        <v>73400</v>
      </c>
      <c r="T20" s="44">
        <v>75100</v>
      </c>
      <c r="U20" s="4"/>
      <c r="V20" s="4"/>
    </row>
    <row r="21" spans="1:22" ht="15.95" hidden="1" customHeight="1" thickBot="1" x14ac:dyDescent="0.3">
      <c r="A21" s="4" t="s">
        <v>13</v>
      </c>
      <c r="B21" s="45">
        <v>0.26</v>
      </c>
      <c r="C21" s="45">
        <v>0.53</v>
      </c>
      <c r="D21" s="392"/>
      <c r="E21" s="46"/>
      <c r="F21" s="47"/>
      <c r="G21" s="48"/>
      <c r="H21" s="49"/>
      <c r="I21" s="40">
        <v>7100</v>
      </c>
      <c r="J21" s="40">
        <v>7300</v>
      </c>
      <c r="K21" s="40">
        <v>8200</v>
      </c>
      <c r="L21" s="40">
        <v>8400</v>
      </c>
      <c r="M21" s="40">
        <v>8600</v>
      </c>
      <c r="N21" s="50">
        <v>8800</v>
      </c>
      <c r="O21" s="50">
        <v>9000</v>
      </c>
      <c r="P21" s="50">
        <v>9200</v>
      </c>
      <c r="Q21" s="50">
        <v>9400</v>
      </c>
      <c r="R21" s="50">
        <v>9600</v>
      </c>
      <c r="S21" s="50">
        <v>9800</v>
      </c>
      <c r="T21" s="50">
        <v>10000</v>
      </c>
      <c r="U21" s="4"/>
      <c r="V21" s="4"/>
    </row>
    <row r="22" spans="1:22" ht="15.95" hidden="1" customHeight="1" thickTop="1" x14ac:dyDescent="0.25">
      <c r="A22" s="4"/>
      <c r="B22" s="45"/>
      <c r="C22" s="45"/>
      <c r="D22" s="392"/>
      <c r="E22" s="51"/>
      <c r="F22" s="38"/>
      <c r="G22" s="39"/>
      <c r="H22" s="52"/>
      <c r="I22" s="40">
        <v>6600</v>
      </c>
      <c r="J22" s="40">
        <v>6900</v>
      </c>
      <c r="K22" s="40">
        <v>7800</v>
      </c>
      <c r="L22" s="40">
        <v>8000</v>
      </c>
      <c r="M22" s="40">
        <v>8200</v>
      </c>
      <c r="N22" s="50">
        <v>8400</v>
      </c>
      <c r="O22" s="50">
        <v>8600</v>
      </c>
      <c r="P22" s="50">
        <v>8800</v>
      </c>
      <c r="Q22" s="50">
        <v>9000</v>
      </c>
      <c r="R22" s="50">
        <v>9200</v>
      </c>
      <c r="S22" s="50">
        <v>9400</v>
      </c>
      <c r="T22" s="50">
        <v>9700</v>
      </c>
      <c r="U22" s="4"/>
      <c r="V22" s="4"/>
    </row>
    <row r="23" spans="1:22" ht="15.95" hidden="1" customHeight="1" x14ac:dyDescent="0.25">
      <c r="A23" s="4"/>
      <c r="B23" s="45"/>
      <c r="C23" s="45"/>
      <c r="D23" s="392"/>
      <c r="E23" s="24"/>
      <c r="F23" s="43"/>
      <c r="G23" s="5"/>
      <c r="H23" s="5"/>
      <c r="I23" s="31">
        <v>54200</v>
      </c>
      <c r="J23" s="31">
        <v>55900</v>
      </c>
      <c r="K23" s="44">
        <v>60100</v>
      </c>
      <c r="L23" s="44">
        <v>61700</v>
      </c>
      <c r="M23" s="44">
        <v>63200</v>
      </c>
      <c r="N23" s="44">
        <v>64700</v>
      </c>
      <c r="O23" s="44">
        <v>66300</v>
      </c>
      <c r="P23" s="44">
        <v>67900</v>
      </c>
      <c r="Q23" s="44">
        <v>69600</v>
      </c>
      <c r="R23" s="44">
        <v>71300</v>
      </c>
      <c r="S23" s="44">
        <v>73000</v>
      </c>
      <c r="T23" s="44">
        <v>74800</v>
      </c>
      <c r="U23" s="4"/>
      <c r="V23" s="4"/>
    </row>
    <row r="24" spans="1:22" ht="15.95" hidden="1" customHeight="1" thickBot="1" x14ac:dyDescent="0.3">
      <c r="A24" s="4" t="s">
        <v>14</v>
      </c>
      <c r="B24" s="45">
        <v>0.53</v>
      </c>
      <c r="C24" s="45">
        <v>0.79</v>
      </c>
      <c r="D24" s="392"/>
      <c r="E24" s="46"/>
      <c r="F24" s="47"/>
      <c r="G24" s="48"/>
      <c r="H24" s="49"/>
      <c r="I24" s="40">
        <v>5000</v>
      </c>
      <c r="J24" s="40">
        <v>5100</v>
      </c>
      <c r="K24" s="40">
        <v>5800</v>
      </c>
      <c r="L24" s="40">
        <v>6000</v>
      </c>
      <c r="M24" s="50">
        <v>6100</v>
      </c>
      <c r="N24" s="50">
        <v>6200</v>
      </c>
      <c r="O24" s="50">
        <v>6300</v>
      </c>
      <c r="P24" s="50">
        <v>6400</v>
      </c>
      <c r="Q24" s="50">
        <v>6500</v>
      </c>
      <c r="R24" s="50">
        <v>6600</v>
      </c>
      <c r="S24" s="50">
        <v>6700</v>
      </c>
      <c r="T24" s="50">
        <v>6800</v>
      </c>
      <c r="U24" s="4"/>
      <c r="V24" s="4"/>
    </row>
    <row r="25" spans="1:22" ht="15.95" hidden="1" customHeight="1" thickTop="1" thickBot="1" x14ac:dyDescent="0.25">
      <c r="A25" s="4"/>
      <c r="B25" s="45"/>
      <c r="C25" s="45"/>
      <c r="D25" s="392"/>
      <c r="E25" s="59"/>
      <c r="F25" s="60"/>
      <c r="G25" s="59"/>
      <c r="H25" s="59"/>
      <c r="I25" s="53"/>
      <c r="J25" s="53"/>
      <c r="K25" s="53"/>
      <c r="L25" s="53"/>
      <c r="M25" s="54"/>
      <c r="N25" s="54"/>
      <c r="O25" s="54"/>
      <c r="P25" s="54"/>
      <c r="Q25" s="54"/>
      <c r="R25" s="54"/>
      <c r="S25" s="54"/>
      <c r="T25" s="54"/>
      <c r="U25" s="4"/>
      <c r="V25" s="4"/>
    </row>
    <row r="26" spans="1:22" ht="15.95" hidden="1" customHeight="1" thickTop="1" x14ac:dyDescent="0.25">
      <c r="A26" s="4" t="s">
        <v>15</v>
      </c>
      <c r="B26" s="45"/>
      <c r="C26" s="45"/>
      <c r="D26" s="392"/>
      <c r="E26" s="27"/>
      <c r="F26" s="38"/>
      <c r="G26" s="39"/>
      <c r="H26" s="30"/>
      <c r="I26" s="40">
        <v>9000</v>
      </c>
      <c r="J26" s="40">
        <v>9400</v>
      </c>
      <c r="K26" s="40">
        <v>10600</v>
      </c>
      <c r="L26" s="40">
        <v>10900</v>
      </c>
      <c r="M26" s="50">
        <v>11200</v>
      </c>
      <c r="N26" s="50">
        <v>11500</v>
      </c>
      <c r="O26" s="50">
        <v>11800</v>
      </c>
      <c r="P26" s="50">
        <v>12100</v>
      </c>
      <c r="Q26" s="50">
        <v>12400</v>
      </c>
      <c r="R26" s="50">
        <v>12700</v>
      </c>
      <c r="S26" s="50">
        <v>13000</v>
      </c>
      <c r="T26" s="50">
        <v>13400</v>
      </c>
      <c r="U26" s="4"/>
      <c r="V26" s="4"/>
    </row>
    <row r="27" spans="1:22" ht="15.95" hidden="1" customHeight="1" x14ac:dyDescent="0.25">
      <c r="A27" s="4"/>
      <c r="B27" s="45"/>
      <c r="C27" s="45"/>
      <c r="D27" s="392"/>
      <c r="E27" s="51"/>
      <c r="F27" s="55"/>
      <c r="G27" s="56"/>
      <c r="H27" s="56"/>
      <c r="I27" s="40"/>
      <c r="J27" s="40"/>
      <c r="K27" s="40"/>
      <c r="L27" s="40"/>
      <c r="M27" s="50"/>
      <c r="N27" s="50"/>
      <c r="O27" s="50"/>
      <c r="P27" s="50"/>
      <c r="Q27" s="50"/>
      <c r="R27" s="50"/>
      <c r="S27" s="50"/>
      <c r="T27" s="50"/>
      <c r="U27" s="4"/>
      <c r="V27" s="4"/>
    </row>
    <row r="28" spans="1:22" ht="15.95" customHeight="1" x14ac:dyDescent="0.25">
      <c r="A28" s="4" t="s">
        <v>16</v>
      </c>
      <c r="B28" s="45">
        <v>1.06</v>
      </c>
      <c r="C28" s="45">
        <v>1.32</v>
      </c>
      <c r="D28" s="392">
        <v>2</v>
      </c>
      <c r="E28" s="24"/>
      <c r="F28" s="43"/>
      <c r="G28" s="5"/>
      <c r="H28" s="5"/>
      <c r="I28" s="32">
        <v>58200</v>
      </c>
      <c r="J28" s="31">
        <v>60200</v>
      </c>
      <c r="K28" s="44">
        <v>64900</v>
      </c>
      <c r="L28" s="44">
        <v>66600</v>
      </c>
      <c r="M28" s="44">
        <v>68300</v>
      </c>
      <c r="N28" s="44">
        <v>70000</v>
      </c>
      <c r="O28" s="44">
        <v>71800</v>
      </c>
      <c r="P28" s="44">
        <v>73600</v>
      </c>
      <c r="Q28" s="44">
        <v>75500</v>
      </c>
      <c r="R28" s="44">
        <v>77400</v>
      </c>
      <c r="S28" s="44">
        <v>79300</v>
      </c>
      <c r="T28" s="44">
        <v>81400</v>
      </c>
      <c r="U28" s="4"/>
      <c r="V28" s="4"/>
    </row>
    <row r="29" spans="1:22" ht="15.95" hidden="1" customHeight="1" thickBot="1" x14ac:dyDescent="0.25">
      <c r="A29" s="4"/>
      <c r="B29" s="45"/>
      <c r="C29" s="45"/>
      <c r="D29" s="392"/>
      <c r="E29" s="24"/>
      <c r="F29" s="43"/>
      <c r="G29" s="5"/>
      <c r="H29" s="5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4"/>
      <c r="V29" s="4"/>
    </row>
    <row r="30" spans="1:22" ht="15.95" hidden="1" customHeight="1" thickTop="1" x14ac:dyDescent="0.25">
      <c r="A30" s="4" t="s">
        <v>17</v>
      </c>
      <c r="B30" s="45">
        <v>1.06</v>
      </c>
      <c r="C30" s="45">
        <v>1.32</v>
      </c>
      <c r="D30" s="392"/>
      <c r="E30" s="27"/>
      <c r="F30" s="38"/>
      <c r="G30" s="39"/>
      <c r="H30" s="30"/>
      <c r="I30" s="63">
        <v>4700</v>
      </c>
      <c r="J30" s="64">
        <v>5000</v>
      </c>
      <c r="K30" s="64">
        <v>5700</v>
      </c>
      <c r="L30" s="64">
        <v>5900</v>
      </c>
      <c r="M30" s="65">
        <v>6100</v>
      </c>
      <c r="N30" s="65">
        <v>6300</v>
      </c>
      <c r="O30" s="65">
        <v>6500</v>
      </c>
      <c r="P30" s="65">
        <v>6700</v>
      </c>
      <c r="Q30" s="65">
        <v>6900</v>
      </c>
      <c r="R30" s="65">
        <v>7100</v>
      </c>
      <c r="S30" s="65">
        <v>7300</v>
      </c>
      <c r="T30" s="65">
        <v>7500</v>
      </c>
      <c r="U30" s="4"/>
      <c r="V30" s="4"/>
    </row>
    <row r="31" spans="1:22" ht="15.95" hidden="1" customHeight="1" x14ac:dyDescent="0.25">
      <c r="B31" s="45"/>
      <c r="C31" s="45"/>
      <c r="D31" s="392"/>
      <c r="E31" s="51"/>
      <c r="F31" s="55"/>
      <c r="G31" s="56"/>
      <c r="H31" s="56"/>
      <c r="I31" s="32">
        <v>62900</v>
      </c>
      <c r="J31" s="31">
        <v>65200</v>
      </c>
      <c r="K31" s="44">
        <v>70600</v>
      </c>
      <c r="L31" s="44">
        <v>72500</v>
      </c>
      <c r="M31" s="44">
        <v>74400</v>
      </c>
      <c r="N31" s="44">
        <v>76300</v>
      </c>
      <c r="O31" s="44">
        <v>78300</v>
      </c>
      <c r="P31" s="44">
        <v>80300</v>
      </c>
      <c r="Q31" s="44">
        <v>82400</v>
      </c>
      <c r="R31" s="44">
        <v>84500</v>
      </c>
      <c r="S31" s="44">
        <v>86600</v>
      </c>
      <c r="T31" s="44">
        <v>88900</v>
      </c>
      <c r="U31" s="4"/>
      <c r="V31" s="4"/>
    </row>
    <row r="32" spans="1:22" ht="15.95" hidden="1" customHeight="1" thickBot="1" x14ac:dyDescent="0.3">
      <c r="A32" s="4" t="s">
        <v>18</v>
      </c>
      <c r="B32" s="45"/>
      <c r="C32" s="45"/>
      <c r="D32" s="392"/>
      <c r="E32" s="46"/>
      <c r="F32" s="47"/>
      <c r="G32" s="48"/>
      <c r="H32" s="49"/>
      <c r="I32" s="64">
        <v>6200</v>
      </c>
      <c r="J32" s="64">
        <v>6300</v>
      </c>
      <c r="K32" s="64">
        <v>7100</v>
      </c>
      <c r="L32" s="64">
        <v>7300</v>
      </c>
      <c r="M32" s="65">
        <v>7500</v>
      </c>
      <c r="N32" s="65">
        <v>7700</v>
      </c>
      <c r="O32" s="65">
        <v>7900</v>
      </c>
      <c r="P32" s="65">
        <v>8100</v>
      </c>
      <c r="Q32" s="65">
        <v>8300</v>
      </c>
      <c r="R32" s="65">
        <v>8500</v>
      </c>
      <c r="S32" s="65">
        <v>8700</v>
      </c>
      <c r="T32" s="65">
        <v>8900</v>
      </c>
      <c r="U32" s="4"/>
      <c r="V32" s="4"/>
    </row>
    <row r="33" spans="1:22" ht="15.95" hidden="1" customHeight="1" thickTop="1" x14ac:dyDescent="0.25">
      <c r="A33" s="4"/>
      <c r="B33" s="45">
        <v>0.53</v>
      </c>
      <c r="C33" s="45">
        <v>0.79</v>
      </c>
      <c r="D33" s="392"/>
      <c r="E33" s="51"/>
      <c r="F33" s="38"/>
      <c r="G33" s="39"/>
      <c r="H33" s="52"/>
      <c r="I33" s="64">
        <v>14800</v>
      </c>
      <c r="J33" s="64">
        <v>15400</v>
      </c>
      <c r="K33" s="64">
        <v>17400</v>
      </c>
      <c r="L33" s="64">
        <v>17900</v>
      </c>
      <c r="M33" s="65">
        <v>18400</v>
      </c>
      <c r="N33" s="65">
        <v>18900</v>
      </c>
      <c r="O33" s="65">
        <v>19400</v>
      </c>
      <c r="P33" s="65">
        <v>19900</v>
      </c>
      <c r="Q33" s="65">
        <v>20500</v>
      </c>
      <c r="R33" s="65">
        <v>21100</v>
      </c>
      <c r="S33" s="65">
        <v>21700</v>
      </c>
      <c r="T33" s="65">
        <v>22300</v>
      </c>
      <c r="U33" s="4"/>
      <c r="V33" s="4"/>
    </row>
    <row r="34" spans="1:22" ht="15.95" hidden="1" customHeight="1" x14ac:dyDescent="0.25">
      <c r="A34" s="4"/>
      <c r="B34" s="45"/>
      <c r="C34" s="45"/>
      <c r="D34" s="392"/>
      <c r="E34" s="24"/>
      <c r="F34" s="43"/>
      <c r="G34" s="5"/>
      <c r="H34" s="5"/>
      <c r="I34" s="32">
        <v>71500</v>
      </c>
      <c r="J34" s="31">
        <v>74300</v>
      </c>
      <c r="K34" s="44">
        <v>80900</v>
      </c>
      <c r="L34" s="44">
        <v>83100</v>
      </c>
      <c r="M34" s="44">
        <v>85300</v>
      </c>
      <c r="N34" s="44">
        <v>87500</v>
      </c>
      <c r="O34" s="44">
        <v>89800</v>
      </c>
      <c r="P34" s="44">
        <v>92100</v>
      </c>
      <c r="Q34" s="44">
        <v>94600</v>
      </c>
      <c r="R34" s="44">
        <v>97100</v>
      </c>
      <c r="S34" s="44">
        <v>99600</v>
      </c>
      <c r="T34" s="44">
        <v>102300</v>
      </c>
      <c r="U34" s="4"/>
      <c r="V34" s="4"/>
    </row>
    <row r="35" spans="1:22" ht="15.95" hidden="1" customHeight="1" thickBot="1" x14ac:dyDescent="0.3">
      <c r="A35" s="4" t="s">
        <v>19</v>
      </c>
      <c r="B35" s="45"/>
      <c r="C35" s="45"/>
      <c r="D35" s="392"/>
      <c r="E35" s="46"/>
      <c r="F35" s="47"/>
      <c r="G35" s="48"/>
      <c r="H35" s="49"/>
      <c r="I35" s="64">
        <v>8800</v>
      </c>
      <c r="J35" s="64">
        <v>9000</v>
      </c>
      <c r="K35" s="64">
        <v>10200</v>
      </c>
      <c r="L35" s="64">
        <v>10500</v>
      </c>
      <c r="M35" s="65">
        <v>10700</v>
      </c>
      <c r="N35" s="65">
        <v>10900</v>
      </c>
      <c r="O35" s="65">
        <v>11200</v>
      </c>
      <c r="P35" s="65">
        <v>11400</v>
      </c>
      <c r="Q35" s="65">
        <v>11600</v>
      </c>
      <c r="R35" s="65">
        <v>11800</v>
      </c>
      <c r="S35" s="65">
        <v>12000</v>
      </c>
      <c r="T35" s="65">
        <v>12200</v>
      </c>
      <c r="U35" s="4"/>
      <c r="V35" s="4"/>
    </row>
    <row r="36" spans="1:22" ht="15.95" hidden="1" customHeight="1" thickTop="1" x14ac:dyDescent="0.25">
      <c r="A36" s="4"/>
      <c r="B36" s="45">
        <v>0.26</v>
      </c>
      <c r="C36" s="45">
        <v>0.53</v>
      </c>
      <c r="D36" s="392"/>
      <c r="E36" s="51"/>
      <c r="F36" s="38"/>
      <c r="G36" s="39"/>
      <c r="H36" s="52"/>
      <c r="I36" s="64">
        <v>7300</v>
      </c>
      <c r="J36" s="64">
        <v>7600</v>
      </c>
      <c r="K36" s="64">
        <v>8600</v>
      </c>
      <c r="L36" s="64">
        <v>8800</v>
      </c>
      <c r="M36" s="65">
        <v>9000</v>
      </c>
      <c r="N36" s="65">
        <v>9200</v>
      </c>
      <c r="O36" s="65">
        <v>9400</v>
      </c>
      <c r="P36" s="65">
        <v>9700</v>
      </c>
      <c r="Q36" s="65">
        <v>9900</v>
      </c>
      <c r="R36" s="65">
        <v>10200</v>
      </c>
      <c r="S36" s="65">
        <v>10500</v>
      </c>
      <c r="T36" s="65">
        <v>10800</v>
      </c>
      <c r="U36" s="4"/>
      <c r="V36" s="4"/>
    </row>
    <row r="37" spans="1:22" ht="15.95" hidden="1" customHeight="1" x14ac:dyDescent="0.25">
      <c r="A37" s="4"/>
      <c r="B37" s="13"/>
      <c r="C37" s="13"/>
      <c r="D37" s="393"/>
      <c r="E37" s="24"/>
      <c r="F37" s="43"/>
      <c r="G37" s="5"/>
      <c r="H37" s="5"/>
      <c r="I37" s="32">
        <v>70000</v>
      </c>
      <c r="J37" s="31">
        <v>72900</v>
      </c>
      <c r="K37" s="44">
        <v>79300</v>
      </c>
      <c r="L37" s="44">
        <v>81400</v>
      </c>
      <c r="M37" s="44">
        <v>83600</v>
      </c>
      <c r="N37" s="44">
        <v>85800</v>
      </c>
      <c r="O37" s="44">
        <v>88000</v>
      </c>
      <c r="P37" s="44">
        <v>90400</v>
      </c>
      <c r="Q37" s="44">
        <v>92900</v>
      </c>
      <c r="R37" s="44">
        <v>95500</v>
      </c>
      <c r="S37" s="44">
        <v>98100</v>
      </c>
      <c r="T37" s="44">
        <v>100900</v>
      </c>
      <c r="U37" s="4"/>
      <c r="V37" s="4"/>
    </row>
    <row r="38" spans="1:22" ht="15.95" hidden="1" customHeight="1" thickBot="1" x14ac:dyDescent="0.3">
      <c r="A38" s="4" t="s">
        <v>20</v>
      </c>
      <c r="B38" s="33"/>
      <c r="C38" s="33"/>
      <c r="D38" s="390"/>
      <c r="E38" s="46"/>
      <c r="F38" s="47"/>
      <c r="G38" s="48"/>
      <c r="H38" s="49"/>
      <c r="I38" s="64">
        <v>3000</v>
      </c>
      <c r="J38" s="64">
        <v>3100</v>
      </c>
      <c r="K38" s="64">
        <v>3500</v>
      </c>
      <c r="L38" s="64">
        <v>3600</v>
      </c>
      <c r="M38" s="65">
        <v>3700</v>
      </c>
      <c r="N38" s="65">
        <v>3800</v>
      </c>
      <c r="O38" s="65">
        <v>3900</v>
      </c>
      <c r="P38" s="65">
        <v>4000</v>
      </c>
      <c r="Q38" s="65">
        <v>4100</v>
      </c>
      <c r="R38" s="65">
        <v>4200</v>
      </c>
      <c r="S38" s="65">
        <v>4300</v>
      </c>
      <c r="T38" s="65">
        <v>4400</v>
      </c>
      <c r="U38" s="4"/>
      <c r="V38" s="4"/>
    </row>
    <row r="39" spans="1:22" ht="15.95" hidden="1" customHeight="1" thickTop="1" x14ac:dyDescent="0.25">
      <c r="A39" s="4"/>
      <c r="B39" s="33"/>
      <c r="C39" s="33"/>
      <c r="D39" s="390"/>
      <c r="E39" s="24"/>
      <c r="F39" s="43"/>
      <c r="G39" s="5"/>
      <c r="H39" s="5"/>
      <c r="I39" s="32">
        <v>67000</v>
      </c>
      <c r="J39" s="31">
        <v>69800</v>
      </c>
      <c r="K39" s="44">
        <v>75800</v>
      </c>
      <c r="L39" s="44">
        <v>77800</v>
      </c>
      <c r="M39" s="44">
        <v>79900</v>
      </c>
      <c r="N39" s="44">
        <v>82000</v>
      </c>
      <c r="O39" s="44">
        <v>84100</v>
      </c>
      <c r="P39" s="44">
        <v>86400</v>
      </c>
      <c r="Q39" s="44">
        <v>88800</v>
      </c>
      <c r="R39" s="44">
        <v>91300</v>
      </c>
      <c r="S39" s="44">
        <v>93800</v>
      </c>
      <c r="T39" s="44">
        <v>96500</v>
      </c>
      <c r="U39" s="4"/>
      <c r="V39" s="4"/>
    </row>
    <row r="40" spans="1:22" ht="15.95" hidden="1" customHeight="1" x14ac:dyDescent="0.25">
      <c r="A40" s="4"/>
      <c r="B40" s="4"/>
      <c r="C40" s="4"/>
      <c r="D40" s="388"/>
      <c r="E40" s="66" t="s">
        <v>21</v>
      </c>
      <c r="F40" s="66"/>
      <c r="G40" s="66"/>
      <c r="H40" s="66"/>
      <c r="I40" s="67"/>
      <c r="J40" s="68"/>
      <c r="K40" s="68"/>
      <c r="L40" s="69"/>
      <c r="M40" s="4"/>
      <c r="N40" s="70"/>
      <c r="O40" s="5"/>
      <c r="P40" s="5"/>
      <c r="Q40" s="5"/>
      <c r="R40" s="5"/>
      <c r="S40" s="5"/>
      <c r="T40" s="5"/>
      <c r="U40" s="4"/>
      <c r="V40" s="4"/>
    </row>
    <row r="41" spans="1:22" ht="15.95" hidden="1" customHeight="1" x14ac:dyDescent="0.25">
      <c r="A41" s="4"/>
      <c r="B41" s="4"/>
      <c r="C41" s="4"/>
      <c r="D41" s="388"/>
      <c r="E41" s="66" t="s">
        <v>22</v>
      </c>
      <c r="F41" s="66"/>
      <c r="G41" s="66"/>
      <c r="H41" s="66"/>
      <c r="I41" s="69"/>
      <c r="J41" s="68"/>
      <c r="K41" s="4"/>
      <c r="L41" s="4"/>
      <c r="M41" s="4"/>
      <c r="N41" s="70"/>
      <c r="O41" s="5"/>
      <c r="P41" s="5"/>
      <c r="Q41" s="5"/>
      <c r="R41" s="5"/>
      <c r="S41" s="5"/>
      <c r="T41" s="5"/>
      <c r="U41" s="4"/>
      <c r="V41" s="4"/>
    </row>
    <row r="42" spans="1:22" ht="15.95" hidden="1" customHeight="1" x14ac:dyDescent="0.25">
      <c r="A42" s="4"/>
      <c r="B42" s="4"/>
      <c r="C42" s="4"/>
      <c r="D42" s="388"/>
      <c r="E42" s="66"/>
      <c r="F42" s="66"/>
      <c r="G42" s="66"/>
      <c r="H42" s="66"/>
      <c r="I42" s="69"/>
      <c r="J42" s="68"/>
      <c r="K42" s="4"/>
      <c r="L42" s="4"/>
      <c r="M42" s="4"/>
      <c r="N42" s="70"/>
      <c r="O42" s="5"/>
      <c r="P42" s="5"/>
      <c r="Q42" s="5"/>
      <c r="R42" s="5"/>
      <c r="S42" s="5"/>
      <c r="T42" s="5"/>
      <c r="U42" s="4"/>
      <c r="V42" s="4"/>
    </row>
    <row r="43" spans="1:22" ht="15.95" hidden="1" customHeight="1" x14ac:dyDescent="0.25">
      <c r="A43" s="71" t="s">
        <v>23</v>
      </c>
      <c r="B43" s="4"/>
      <c r="C43" s="4"/>
      <c r="D43" s="388"/>
      <c r="E43" s="72"/>
      <c r="F43" s="25"/>
      <c r="G43" s="25"/>
      <c r="H43" s="25"/>
      <c r="I43" s="4"/>
      <c r="J43" s="4"/>
      <c r="K43" s="4"/>
      <c r="L43" s="4"/>
      <c r="M43" s="4"/>
      <c r="N43" s="73"/>
      <c r="O43" s="5"/>
      <c r="P43" s="5"/>
      <c r="Q43" s="5"/>
      <c r="R43" s="5"/>
      <c r="S43" s="5"/>
      <c r="T43" s="5"/>
      <c r="U43" s="4"/>
      <c r="V43" s="4"/>
    </row>
    <row r="44" spans="1:22" ht="15.95" hidden="1" customHeight="1" x14ac:dyDescent="0.25">
      <c r="A44" s="74" t="s">
        <v>24</v>
      </c>
      <c r="B44" s="75"/>
      <c r="C44" s="75"/>
      <c r="D44" s="394"/>
      <c r="E44" s="76"/>
      <c r="F44" s="76"/>
      <c r="G44" s="77"/>
      <c r="H44" s="77"/>
      <c r="I44" s="57"/>
      <c r="J44" s="57"/>
      <c r="K44" s="57"/>
      <c r="L44" s="57"/>
      <c r="M44" s="57"/>
      <c r="N44" s="54"/>
      <c r="O44" s="54"/>
      <c r="P44" s="54"/>
      <c r="Q44" s="54"/>
      <c r="R44" s="54"/>
      <c r="S44" s="54"/>
      <c r="T44" s="54"/>
    </row>
    <row r="45" spans="1:22" ht="15.95" hidden="1" customHeight="1" x14ac:dyDescent="0.25">
      <c r="A45" s="78" t="s">
        <v>25</v>
      </c>
      <c r="S45" s="5"/>
      <c r="T45" s="5"/>
      <c r="U45" s="4"/>
      <c r="V45" s="4"/>
    </row>
    <row r="46" spans="1:22" ht="15.95" hidden="1" customHeight="1" x14ac:dyDescent="0.25">
      <c r="S46" s="5"/>
      <c r="T46" s="5"/>
      <c r="U46" s="4"/>
      <c r="V46" s="4"/>
    </row>
    <row r="47" spans="1:22" ht="15.95" hidden="1" customHeight="1" x14ac:dyDescent="0.25">
      <c r="S47" s="5"/>
      <c r="T47" s="5"/>
      <c r="U47" s="4"/>
      <c r="V47" s="4"/>
    </row>
    <row r="48" spans="1:22" ht="15.95" hidden="1" customHeight="1" x14ac:dyDescent="0.25">
      <c r="S48" s="5"/>
      <c r="T48" s="5"/>
      <c r="U48" s="4"/>
      <c r="V48" s="4"/>
    </row>
    <row r="49" spans="19:22" ht="15.95" hidden="1" customHeight="1" x14ac:dyDescent="0.25">
      <c r="S49" s="5"/>
      <c r="T49" s="5"/>
      <c r="U49" s="4"/>
      <c r="V49" s="4"/>
    </row>
    <row r="50" spans="19:22" ht="15.95" hidden="1" customHeight="1" x14ac:dyDescent="0.25">
      <c r="S50" s="5"/>
      <c r="T50" s="5"/>
      <c r="U50" s="4"/>
      <c r="V50" s="4"/>
    </row>
    <row r="51" spans="19:22" ht="15.95" hidden="1" customHeight="1" x14ac:dyDescent="0.25">
      <c r="S51" s="5"/>
      <c r="T51" s="5"/>
      <c r="U51" s="4"/>
      <c r="V51" s="4"/>
    </row>
    <row r="52" spans="19:22" ht="15.95" hidden="1" customHeight="1" x14ac:dyDescent="0.25">
      <c r="S52" s="5"/>
      <c r="T52" s="5"/>
      <c r="U52" s="4"/>
      <c r="V52" s="4"/>
    </row>
    <row r="53" spans="19:22" ht="15.95" hidden="1" customHeight="1" x14ac:dyDescent="0.25">
      <c r="S53" s="5"/>
      <c r="T53" s="5"/>
      <c r="U53" s="4"/>
      <c r="V53" s="4"/>
    </row>
    <row r="54" spans="19:22" ht="15.95" hidden="1" customHeight="1" x14ac:dyDescent="0.25">
      <c r="S54" s="5"/>
      <c r="T54" s="5"/>
      <c r="U54" s="4"/>
      <c r="V54" s="4"/>
    </row>
    <row r="55" spans="19:22" ht="15.95" hidden="1" customHeight="1" x14ac:dyDescent="0.25">
      <c r="S55" s="5"/>
      <c r="T55" s="5"/>
      <c r="U55" s="4"/>
      <c r="V55" s="4"/>
    </row>
    <row r="56" spans="19:22" ht="15.95" hidden="1" customHeight="1" x14ac:dyDescent="0.25">
      <c r="S56" s="13"/>
      <c r="T56" s="13"/>
      <c r="U56" s="33"/>
      <c r="V56" s="4"/>
    </row>
    <row r="57" spans="19:22" ht="15.95" hidden="1" customHeight="1" x14ac:dyDescent="0.25">
      <c r="S57" s="5"/>
      <c r="T57" s="5"/>
      <c r="U57" s="4"/>
      <c r="V57" s="69"/>
    </row>
    <row r="58" spans="19:22" ht="15.95" hidden="1" customHeight="1" x14ac:dyDescent="0.25">
      <c r="S58" s="5"/>
      <c r="T58" s="5"/>
      <c r="U58" s="4"/>
      <c r="V58" s="69"/>
    </row>
    <row r="59" spans="19:22" ht="15.95" hidden="1" customHeight="1" x14ac:dyDescent="0.25">
      <c r="S59" s="5"/>
      <c r="T59" s="5"/>
      <c r="U59" s="4"/>
      <c r="V59" s="69"/>
    </row>
    <row r="60" spans="19:22" ht="15.95" hidden="1" customHeight="1" x14ac:dyDescent="0.25">
      <c r="S60" s="5"/>
      <c r="T60" s="5"/>
      <c r="U60" s="4"/>
      <c r="V60" s="4"/>
    </row>
    <row r="61" spans="19:22" ht="15.95" hidden="1" customHeight="1" x14ac:dyDescent="0.25">
      <c r="S61" s="5"/>
      <c r="T61" s="5"/>
      <c r="U61" s="4"/>
      <c r="V61" s="4"/>
    </row>
    <row r="62" spans="19:22" ht="15.95" hidden="1" customHeight="1" x14ac:dyDescent="0.25">
      <c r="S62" s="5"/>
      <c r="T62" s="5"/>
      <c r="U62" s="4"/>
      <c r="V62" s="4"/>
    </row>
    <row r="63" spans="19:22" ht="15.95" hidden="1" customHeight="1" x14ac:dyDescent="0.25">
      <c r="S63" s="5"/>
      <c r="T63" s="5"/>
      <c r="U63" s="4"/>
      <c r="V63" s="4"/>
    </row>
    <row r="64" spans="19:22" ht="15.95" hidden="1" customHeight="1" x14ac:dyDescent="0.25">
      <c r="S64" s="5"/>
      <c r="T64" s="5"/>
      <c r="U64" s="4"/>
      <c r="V64" s="4"/>
    </row>
    <row r="65" spans="19:22" ht="15.95" hidden="1" customHeight="1" x14ac:dyDescent="0.25">
      <c r="S65" s="5"/>
      <c r="T65" s="5"/>
      <c r="U65" s="4"/>
      <c r="V65" s="4"/>
    </row>
    <row r="66" spans="19:22" ht="15.95" hidden="1" customHeight="1" x14ac:dyDescent="0.25">
      <c r="S66" s="5"/>
      <c r="T66" s="5"/>
      <c r="U66" s="4"/>
      <c r="V66" s="4"/>
    </row>
    <row r="67" spans="19:22" ht="15.95" hidden="1" customHeight="1" x14ac:dyDescent="0.25">
      <c r="S67" s="5"/>
      <c r="T67" s="5"/>
      <c r="U67" s="4"/>
      <c r="V67" s="4"/>
    </row>
    <row r="68" spans="19:22" ht="15.95" hidden="1" customHeight="1" x14ac:dyDescent="0.25">
      <c r="S68" s="5"/>
      <c r="T68" s="5"/>
      <c r="U68" s="4"/>
      <c r="V68" s="4"/>
    </row>
    <row r="69" spans="19:22" ht="15.95" hidden="1" customHeight="1" x14ac:dyDescent="0.25">
      <c r="S69" s="5"/>
      <c r="T69" s="5"/>
      <c r="U69" s="4"/>
      <c r="V69" s="4"/>
    </row>
    <row r="70" spans="19:22" ht="15.95" hidden="1" customHeight="1" x14ac:dyDescent="0.25">
      <c r="S70" s="5"/>
      <c r="T70" s="5"/>
      <c r="U70" s="4"/>
      <c r="V70" s="4"/>
    </row>
    <row r="71" spans="19:22" ht="15.95" hidden="1" customHeight="1" x14ac:dyDescent="0.25">
      <c r="S71" s="5"/>
      <c r="T71" s="5"/>
      <c r="U71" s="4"/>
      <c r="V71" s="4"/>
    </row>
    <row r="72" spans="19:22" ht="15.95" hidden="1" customHeight="1" x14ac:dyDescent="0.25">
      <c r="S72" s="5"/>
      <c r="T72" s="5"/>
      <c r="U72" s="4"/>
      <c r="V72" s="4"/>
    </row>
    <row r="73" spans="19:22" ht="15.95" hidden="1" customHeight="1" x14ac:dyDescent="0.25">
      <c r="S73" s="5"/>
      <c r="T73" s="5"/>
      <c r="U73" s="4"/>
      <c r="V73" s="4"/>
    </row>
    <row r="74" spans="19:22" ht="15.95" hidden="1" customHeight="1" x14ac:dyDescent="0.25">
      <c r="S74" s="5"/>
      <c r="T74" s="5"/>
      <c r="U74" s="4"/>
      <c r="V74" s="4"/>
    </row>
    <row r="75" spans="19:22" ht="15.95" hidden="1" customHeight="1" x14ac:dyDescent="0.25">
      <c r="S75" s="5"/>
      <c r="T75" s="5"/>
      <c r="U75" s="4"/>
      <c r="V75" s="4"/>
    </row>
    <row r="76" spans="19:22" ht="15.95" hidden="1" customHeight="1" x14ac:dyDescent="0.25">
      <c r="S76" s="5"/>
      <c r="T76" s="5"/>
      <c r="U76" s="4"/>
      <c r="V76" s="4"/>
    </row>
    <row r="77" spans="19:22" ht="15.95" hidden="1" customHeight="1" x14ac:dyDescent="0.25">
      <c r="S77" s="5"/>
      <c r="T77" s="5"/>
      <c r="U77" s="4"/>
      <c r="V77" s="4"/>
    </row>
    <row r="78" spans="19:22" ht="15.95" hidden="1" customHeight="1" x14ac:dyDescent="0.25">
      <c r="S78" s="5"/>
      <c r="T78" s="5"/>
      <c r="U78" s="4"/>
      <c r="V78" s="4"/>
    </row>
    <row r="79" spans="19:22" ht="15.95" hidden="1" customHeight="1" x14ac:dyDescent="0.25">
      <c r="S79" s="5"/>
      <c r="T79" s="5"/>
      <c r="U79" s="4"/>
      <c r="V79" s="4"/>
    </row>
    <row r="80" spans="19:22" ht="15.95" hidden="1" customHeight="1" x14ac:dyDescent="0.25">
      <c r="S80" s="5"/>
      <c r="T80" s="5"/>
      <c r="U80" s="4"/>
      <c r="V80" s="4"/>
    </row>
    <row r="81" spans="19:22" ht="15.95" hidden="1" customHeight="1" x14ac:dyDescent="0.25">
      <c r="S81" s="5"/>
      <c r="T81" s="5"/>
      <c r="U81" s="4"/>
      <c r="V81" s="4"/>
    </row>
    <row r="82" spans="19:22" ht="15.95" hidden="1" customHeight="1" x14ac:dyDescent="0.25">
      <c r="S82" s="5"/>
      <c r="T82" s="5"/>
      <c r="U82" s="4"/>
      <c r="V82" s="4"/>
    </row>
    <row r="83" spans="19:22" ht="15.95" hidden="1" customHeight="1" x14ac:dyDescent="0.25">
      <c r="S83" s="5"/>
      <c r="T83" s="5"/>
      <c r="U83" s="4"/>
      <c r="V83" s="4"/>
    </row>
    <row r="84" spans="19:22" ht="15.95" hidden="1" customHeight="1" x14ac:dyDescent="0.25">
      <c r="S84" s="5"/>
      <c r="T84" s="5"/>
      <c r="U84" s="4"/>
      <c r="V84" s="4"/>
    </row>
    <row r="85" spans="19:22" ht="15.95" hidden="1" customHeight="1" x14ac:dyDescent="0.25">
      <c r="S85" s="5"/>
      <c r="T85" s="5"/>
      <c r="U85" s="4"/>
      <c r="V85" s="4"/>
    </row>
    <row r="86" spans="19:22" ht="15.95" hidden="1" customHeight="1" x14ac:dyDescent="0.25">
      <c r="S86" s="5"/>
      <c r="T86" s="5"/>
      <c r="U86" s="4"/>
      <c r="V86" s="4"/>
    </row>
    <row r="87" spans="19:22" ht="15.95" hidden="1" customHeight="1" x14ac:dyDescent="0.25">
      <c r="S87" s="5"/>
      <c r="T87" s="5"/>
      <c r="U87" s="4"/>
      <c r="V87" s="4"/>
    </row>
    <row r="88" spans="19:22" ht="15.95" hidden="1" customHeight="1" x14ac:dyDescent="0.25">
      <c r="S88" s="5"/>
      <c r="T88" s="5"/>
      <c r="U88" s="4"/>
      <c r="V88" s="4"/>
    </row>
    <row r="89" spans="19:22" ht="15.95" hidden="1" customHeight="1" x14ac:dyDescent="0.25">
      <c r="S89" s="5"/>
      <c r="T89" s="5"/>
      <c r="U89" s="4"/>
      <c r="V89" s="4"/>
    </row>
    <row r="90" spans="19:22" ht="15.95" hidden="1" customHeight="1" x14ac:dyDescent="0.25">
      <c r="S90" s="5"/>
      <c r="T90" s="5"/>
      <c r="U90" s="4"/>
      <c r="V90" s="4"/>
    </row>
    <row r="91" spans="19:22" ht="15.95" hidden="1" customHeight="1" x14ac:dyDescent="0.25">
      <c r="S91" s="5"/>
      <c r="T91" s="5"/>
      <c r="U91" s="4"/>
      <c r="V91" s="4"/>
    </row>
    <row r="92" spans="19:22" ht="15.95" hidden="1" customHeight="1" x14ac:dyDescent="0.25">
      <c r="S92" s="5"/>
      <c r="T92" s="5"/>
      <c r="U92" s="4"/>
      <c r="V92" s="4"/>
    </row>
    <row r="93" spans="19:22" ht="15.95" hidden="1" customHeight="1" x14ac:dyDescent="0.25">
      <c r="S93" s="5"/>
      <c r="T93" s="5"/>
      <c r="U93" s="4"/>
      <c r="V93" s="4"/>
    </row>
    <row r="94" spans="19:22" ht="15.95" hidden="1" customHeight="1" x14ac:dyDescent="0.25">
      <c r="S94" s="5"/>
      <c r="T94" s="5"/>
      <c r="U94" s="4"/>
      <c r="V94" s="4"/>
    </row>
    <row r="95" spans="19:22" ht="15.95" hidden="1" customHeight="1" x14ac:dyDescent="0.25">
      <c r="S95" s="5"/>
      <c r="T95" s="5"/>
      <c r="U95" s="4"/>
      <c r="V95" s="4"/>
    </row>
    <row r="96" spans="19:22" ht="15.95" hidden="1" customHeight="1" x14ac:dyDescent="0.25">
      <c r="S96" s="5"/>
      <c r="T96" s="5"/>
      <c r="U96" s="4"/>
      <c r="V96" s="4"/>
    </row>
    <row r="97" spans="18:22" ht="15.95" hidden="1" customHeight="1" x14ac:dyDescent="0.25">
      <c r="S97" s="5"/>
      <c r="T97" s="5"/>
      <c r="U97" s="4"/>
      <c r="V97" s="4"/>
    </row>
    <row r="98" spans="18:22" ht="15.95" hidden="1" customHeight="1" x14ac:dyDescent="0.25">
      <c r="S98" s="5"/>
      <c r="T98" s="5"/>
      <c r="U98" s="4"/>
      <c r="V98" s="4"/>
    </row>
    <row r="99" spans="18:22" ht="15.95" hidden="1" customHeight="1" x14ac:dyDescent="0.25">
      <c r="S99" s="5"/>
      <c r="T99" s="5"/>
      <c r="U99" s="4"/>
      <c r="V99" s="4"/>
    </row>
    <row r="100" spans="18:22" ht="15.95" hidden="1" customHeight="1" x14ac:dyDescent="0.25">
      <c r="R100" s="5"/>
      <c r="S100" s="5"/>
      <c r="T100" s="5"/>
      <c r="U100" s="4"/>
      <c r="V100" s="4"/>
    </row>
    <row r="101" spans="18:22" ht="15.95" hidden="1" customHeight="1" x14ac:dyDescent="0.25">
      <c r="R101" s="5"/>
      <c r="S101" s="5"/>
      <c r="T101" s="5"/>
      <c r="U101" s="4"/>
      <c r="V101" s="4"/>
    </row>
    <row r="102" spans="18:22" ht="15.95" hidden="1" customHeight="1" x14ac:dyDescent="0.25">
      <c r="R102" s="5"/>
      <c r="S102" s="5"/>
      <c r="T102" s="5"/>
      <c r="U102" s="4"/>
      <c r="V102" s="4"/>
    </row>
    <row r="103" spans="18:22" ht="15.95" hidden="1" customHeight="1" x14ac:dyDescent="0.25">
      <c r="R103" s="5"/>
      <c r="S103" s="5"/>
      <c r="T103" s="5"/>
      <c r="U103" s="4"/>
      <c r="V103" s="4"/>
    </row>
    <row r="104" spans="18:22" ht="15.95" hidden="1" customHeight="1" x14ac:dyDescent="0.25">
      <c r="R104" s="5"/>
      <c r="S104" s="5"/>
      <c r="T104" s="5"/>
      <c r="U104" s="4"/>
      <c r="V104" s="4"/>
    </row>
    <row r="105" spans="18:22" ht="15.95" hidden="1" customHeight="1" x14ac:dyDescent="0.25">
      <c r="R105" s="5"/>
      <c r="S105" s="5"/>
      <c r="T105" s="5"/>
      <c r="U105" s="4"/>
      <c r="V105" s="4"/>
    </row>
    <row r="106" spans="18:22" ht="15.95" hidden="1" customHeight="1" x14ac:dyDescent="0.25">
      <c r="R106" s="5"/>
      <c r="S106" s="5"/>
      <c r="T106" s="5"/>
      <c r="U106" s="4"/>
      <c r="V106" s="4"/>
    </row>
    <row r="107" spans="18:22" ht="15.95" hidden="1" customHeight="1" x14ac:dyDescent="0.25">
      <c r="R107" s="5"/>
      <c r="S107" s="5"/>
      <c r="T107" s="5"/>
      <c r="U107" s="4"/>
      <c r="V107" s="4"/>
    </row>
    <row r="108" spans="18:22" ht="15.95" hidden="1" customHeight="1" x14ac:dyDescent="0.25">
      <c r="R108" s="5"/>
      <c r="S108" s="5"/>
      <c r="T108" s="5"/>
      <c r="U108" s="4"/>
      <c r="V108" s="4"/>
    </row>
    <row r="109" spans="18:22" ht="15.95" hidden="1" customHeight="1" x14ac:dyDescent="0.25">
      <c r="R109" s="5"/>
      <c r="S109" s="5"/>
      <c r="T109" s="5"/>
      <c r="U109" s="4"/>
      <c r="V109" s="4"/>
    </row>
    <row r="110" spans="18:22" ht="15.95" hidden="1" customHeight="1" x14ac:dyDescent="0.25">
      <c r="R110" s="5"/>
      <c r="S110" s="5"/>
      <c r="T110" s="5"/>
      <c r="U110" s="4"/>
      <c r="V110" s="4"/>
    </row>
    <row r="111" spans="18:22" ht="15.95" hidden="1" customHeight="1" x14ac:dyDescent="0.25">
      <c r="R111" s="5"/>
      <c r="S111" s="5"/>
      <c r="T111" s="5"/>
      <c r="U111" s="4"/>
      <c r="V111" s="4"/>
    </row>
    <row r="112" spans="18:22" ht="15.95" hidden="1" customHeight="1" x14ac:dyDescent="0.25">
      <c r="R112" s="5"/>
      <c r="S112" s="5"/>
      <c r="T112" s="5"/>
      <c r="U112" s="4"/>
      <c r="V112" s="4"/>
    </row>
    <row r="113" spans="18:22" ht="15.95" hidden="1" customHeight="1" x14ac:dyDescent="0.25">
      <c r="R113" s="5"/>
      <c r="S113" s="5"/>
      <c r="T113" s="5"/>
      <c r="U113" s="4"/>
      <c r="V113" s="4"/>
    </row>
    <row r="114" spans="18:22" ht="15.95" hidden="1" customHeight="1" x14ac:dyDescent="0.25">
      <c r="R114" s="5"/>
      <c r="S114" s="5"/>
      <c r="T114" s="5"/>
      <c r="U114" s="4"/>
      <c r="V114" s="4"/>
    </row>
    <row r="115" spans="18:22" ht="15.95" hidden="1" customHeight="1" x14ac:dyDescent="0.25">
      <c r="R115" s="5"/>
      <c r="S115" s="5"/>
      <c r="T115" s="5"/>
      <c r="U115" s="4"/>
      <c r="V115" s="4"/>
    </row>
    <row r="116" spans="18:22" ht="15.95" hidden="1" customHeight="1" x14ac:dyDescent="0.25">
      <c r="R116" s="5"/>
      <c r="S116" s="5"/>
      <c r="T116" s="5"/>
      <c r="U116" s="4"/>
      <c r="V116" s="4"/>
    </row>
    <row r="117" spans="18:22" ht="15.95" hidden="1" customHeight="1" x14ac:dyDescent="0.25">
      <c r="R117" s="5"/>
      <c r="S117" s="5"/>
      <c r="T117" s="5"/>
      <c r="U117" s="4"/>
      <c r="V117" s="4"/>
    </row>
    <row r="118" spans="18:22" ht="15.95" hidden="1" customHeight="1" x14ac:dyDescent="0.25">
      <c r="R118" s="5"/>
      <c r="S118" s="5"/>
      <c r="T118" s="5"/>
      <c r="U118" s="4"/>
      <c r="V118" s="4"/>
    </row>
    <row r="119" spans="18:22" ht="15.95" hidden="1" customHeight="1" x14ac:dyDescent="0.25">
      <c r="R119" s="5"/>
      <c r="S119" s="5"/>
      <c r="T119" s="5"/>
      <c r="U119" s="4"/>
      <c r="V119" s="4"/>
    </row>
    <row r="120" spans="18:22" ht="15.95" hidden="1" customHeight="1" x14ac:dyDescent="0.25">
      <c r="R120" s="5"/>
      <c r="S120" s="5"/>
      <c r="T120" s="5"/>
      <c r="U120" s="4"/>
      <c r="V120" s="4"/>
    </row>
    <row r="121" spans="18:22" ht="15.95" hidden="1" customHeight="1" x14ac:dyDescent="0.25">
      <c r="R121" s="5"/>
      <c r="S121" s="5"/>
      <c r="T121" s="5"/>
      <c r="U121" s="4"/>
      <c r="V121" s="4"/>
    </row>
    <row r="122" spans="18:22" ht="15.95" hidden="1" customHeight="1" x14ac:dyDescent="0.25">
      <c r="R122" s="5"/>
      <c r="S122" s="5"/>
      <c r="T122" s="5"/>
      <c r="U122" s="4"/>
      <c r="V122" s="4"/>
    </row>
    <row r="123" spans="18:22" ht="15.95" hidden="1" customHeight="1" x14ac:dyDescent="0.25">
      <c r="R123" s="5"/>
      <c r="S123" s="5"/>
      <c r="T123" s="5"/>
      <c r="U123" s="4"/>
      <c r="V123" s="4"/>
    </row>
    <row r="124" spans="18:22" ht="15.95" hidden="1" customHeight="1" x14ac:dyDescent="0.25">
      <c r="R124" s="5"/>
      <c r="S124" s="5"/>
      <c r="T124" s="5"/>
      <c r="U124" s="4"/>
      <c r="V124" s="4"/>
    </row>
    <row r="125" spans="18:22" ht="15.95" hidden="1" customHeight="1" x14ac:dyDescent="0.25">
      <c r="R125" s="5"/>
      <c r="S125" s="5"/>
      <c r="T125" s="5"/>
      <c r="U125" s="4"/>
      <c r="V125" s="4"/>
    </row>
    <row r="126" spans="18:22" ht="15.95" hidden="1" customHeight="1" x14ac:dyDescent="0.25">
      <c r="R126" s="5"/>
      <c r="S126" s="5"/>
      <c r="T126" s="5"/>
      <c r="U126" s="4"/>
      <c r="V126" s="4"/>
    </row>
    <row r="127" spans="18:22" ht="15.95" hidden="1" customHeight="1" x14ac:dyDescent="0.25">
      <c r="R127" s="5"/>
      <c r="S127" s="5"/>
      <c r="T127" s="5"/>
      <c r="U127" s="4"/>
      <c r="V127" s="4"/>
    </row>
    <row r="128" spans="18:22" ht="15.95" hidden="1" customHeight="1" x14ac:dyDescent="0.25">
      <c r="R128" s="5"/>
      <c r="S128" s="5"/>
      <c r="T128" s="5"/>
      <c r="U128" s="4"/>
      <c r="V128" s="4"/>
    </row>
    <row r="129" spans="18:22" ht="15.95" hidden="1" customHeight="1" x14ac:dyDescent="0.25">
      <c r="R129" s="5"/>
      <c r="S129" s="5"/>
      <c r="T129" s="5"/>
      <c r="U129" s="4"/>
      <c r="V129" s="4"/>
    </row>
    <row r="130" spans="18:22" ht="15.95" hidden="1" customHeight="1" x14ac:dyDescent="0.25">
      <c r="R130" s="5"/>
      <c r="S130" s="5"/>
      <c r="T130" s="5"/>
      <c r="U130" s="4"/>
      <c r="V130" s="4"/>
    </row>
    <row r="131" spans="18:22" ht="15.95" hidden="1" customHeight="1" x14ac:dyDescent="0.25">
      <c r="R131" s="5"/>
      <c r="S131" s="5"/>
      <c r="T131" s="5"/>
      <c r="U131" s="4"/>
      <c r="V131" s="4"/>
    </row>
    <row r="132" spans="18:22" ht="15.95" hidden="1" customHeight="1" x14ac:dyDescent="0.25">
      <c r="R132" s="5"/>
      <c r="S132" s="5"/>
      <c r="T132" s="5"/>
      <c r="U132" s="4"/>
      <c r="V132" s="4"/>
    </row>
    <row r="133" spans="18:22" ht="15.95" hidden="1" customHeight="1" x14ac:dyDescent="0.25">
      <c r="R133" s="5"/>
      <c r="S133" s="5"/>
      <c r="T133" s="5"/>
      <c r="U133" s="4"/>
      <c r="V133" s="4"/>
    </row>
    <row r="134" spans="18:22" ht="15.95" hidden="1" customHeight="1" x14ac:dyDescent="0.25">
      <c r="R134" s="5"/>
      <c r="S134" s="5"/>
      <c r="T134" s="5"/>
      <c r="U134" s="4"/>
      <c r="V134" s="4"/>
    </row>
    <row r="135" spans="18:22" ht="15.95" hidden="1" customHeight="1" x14ac:dyDescent="0.25">
      <c r="R135" s="5"/>
      <c r="S135" s="5"/>
      <c r="T135" s="5"/>
      <c r="U135" s="4"/>
      <c r="V135" s="4"/>
    </row>
    <row r="136" spans="18:22" ht="15.95" hidden="1" customHeight="1" x14ac:dyDescent="0.25">
      <c r="R136" s="5"/>
      <c r="S136" s="5"/>
      <c r="T136" s="5"/>
      <c r="U136" s="4"/>
      <c r="V136" s="4"/>
    </row>
    <row r="137" spans="18:22" ht="15.95" hidden="1" customHeight="1" x14ac:dyDescent="0.25">
      <c r="R137" s="5"/>
      <c r="S137" s="5"/>
      <c r="T137" s="5"/>
      <c r="U137" s="4"/>
      <c r="V137" s="4"/>
    </row>
    <row r="138" spans="18:22" ht="15.95" hidden="1" customHeight="1" x14ac:dyDescent="0.25">
      <c r="R138" s="5"/>
      <c r="S138" s="5"/>
      <c r="T138" s="5"/>
      <c r="U138" s="4"/>
      <c r="V138" s="4"/>
    </row>
    <row r="139" spans="18:22" ht="15.95" hidden="1" customHeight="1" x14ac:dyDescent="0.25">
      <c r="R139" s="5"/>
      <c r="S139" s="5"/>
      <c r="T139" s="5"/>
      <c r="U139" s="4"/>
      <c r="V139" s="4"/>
    </row>
    <row r="140" spans="18:22" ht="15.95" hidden="1" customHeight="1" x14ac:dyDescent="0.25">
      <c r="R140" s="5"/>
      <c r="S140" s="5"/>
      <c r="T140" s="5"/>
      <c r="U140" s="4"/>
      <c r="V140" s="4"/>
    </row>
  </sheetData>
  <autoFilter ref="D1:D140" xr:uid="{00000000-0009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9"/>
  <sheetViews>
    <sheetView zoomScale="85" zoomScaleNormal="85" workbookViewId="0">
      <selection activeCell="I32" sqref="I2:I32"/>
    </sheetView>
  </sheetViews>
  <sheetFormatPr defaultRowHeight="15" x14ac:dyDescent="0.25"/>
  <cols>
    <col min="4" max="4" width="11.140625" style="214" customWidth="1"/>
    <col min="5" max="5" width="10.42578125" style="214" customWidth="1"/>
    <col min="6" max="6" width="10.42578125" customWidth="1"/>
    <col min="7" max="7" width="3.85546875" customWidth="1"/>
    <col min="8" max="8" width="8.85546875" style="187"/>
    <col min="11" max="11" width="8.85546875" style="187"/>
    <col min="12" max="12" width="7.85546875" customWidth="1"/>
    <col min="15" max="16" width="10.140625" style="96" bestFit="1" customWidth="1"/>
  </cols>
  <sheetData>
    <row r="1" spans="1:21" ht="15.75" thickBot="1" x14ac:dyDescent="0.3">
      <c r="A1" s="215" t="s">
        <v>43</v>
      </c>
      <c r="B1" s="220" t="s">
        <v>44</v>
      </c>
      <c r="C1" s="220" t="s">
        <v>45</v>
      </c>
      <c r="D1" s="214" t="s">
        <v>46</v>
      </c>
      <c r="E1" s="214" t="s">
        <v>47</v>
      </c>
      <c r="H1" s="204" t="s">
        <v>49</v>
      </c>
      <c r="I1" s="205">
        <v>2020</v>
      </c>
      <c r="J1" s="205">
        <v>2040</v>
      </c>
      <c r="K1" s="206" t="s">
        <v>50</v>
      </c>
      <c r="L1" s="210" t="s">
        <v>48</v>
      </c>
      <c r="M1" s="207" t="s">
        <v>51</v>
      </c>
      <c r="N1" s="208" t="s">
        <v>52</v>
      </c>
      <c r="O1" s="209" t="s">
        <v>53</v>
      </c>
      <c r="P1" s="208" t="s">
        <v>54</v>
      </c>
    </row>
    <row r="2" spans="1:21" x14ac:dyDescent="0.25">
      <c r="A2" s="215">
        <v>1</v>
      </c>
      <c r="B2" s="220">
        <v>39</v>
      </c>
      <c r="C2" s="220">
        <v>235</v>
      </c>
      <c r="D2" s="214">
        <f t="shared" ref="D2:D49" si="0">IFERROR(VLOOKUP($A2,$H$2:$N$32,6,FALSE),IFERROR(VLOOKUP($A2,$K$2:$M$32,3,FALSE),0))</f>
        <v>6600</v>
      </c>
      <c r="E2" s="214">
        <f t="shared" ref="E2:E49" si="1">IFERROR(VLOOKUP($A2,$H$2:$P$32,8,FALSE),IFERROR(VLOOKUP($A2,$K$2:$O$32,5,FALSE),0))</f>
        <v>11100</v>
      </c>
      <c r="H2" s="200">
        <f>IF('Profile - ODME'!P9=0,Profile!R9,Profile!Q9)</f>
        <v>1</v>
      </c>
      <c r="I2" s="191">
        <f>Profile!N9</f>
        <v>13200</v>
      </c>
      <c r="J2" s="191">
        <f>Profile!AE9</f>
        <v>22200</v>
      </c>
      <c r="K2" s="202">
        <f>IF(Profile!W9=0,Profile!V9,Profile!W9)</f>
        <v>2</v>
      </c>
      <c r="L2" s="211">
        <v>0.5</v>
      </c>
      <c r="M2" s="183">
        <f>L2*I2</f>
        <v>6600</v>
      </c>
      <c r="N2" s="193">
        <f>I2-M2</f>
        <v>6600</v>
      </c>
      <c r="O2" s="196">
        <f>L2*J2</f>
        <v>11100</v>
      </c>
      <c r="P2" s="197">
        <f>J2-O2</f>
        <v>11100</v>
      </c>
    </row>
    <row r="3" spans="1:21" x14ac:dyDescent="0.25">
      <c r="A3" s="215">
        <v>2</v>
      </c>
      <c r="B3" s="220">
        <v>236</v>
      </c>
      <c r="C3" s="220">
        <v>38</v>
      </c>
      <c r="D3" s="214">
        <f t="shared" si="0"/>
        <v>6600</v>
      </c>
      <c r="E3" s="214">
        <f t="shared" si="1"/>
        <v>11100</v>
      </c>
      <c r="H3" s="200">
        <f>IF(Profile!Q10=0,Profile!R10,Profile!Q10)</f>
        <v>0</v>
      </c>
      <c r="I3" s="191">
        <f>Profile!N10</f>
        <v>0</v>
      </c>
      <c r="J3" s="191"/>
      <c r="K3" s="202">
        <f>IF(Profile!W10=0,Profile!V10,Profile!W10)</f>
        <v>0</v>
      </c>
      <c r="L3" s="212">
        <v>0.5</v>
      </c>
      <c r="M3" s="190">
        <f t="shared" ref="M3:M32" si="2">L3*I3</f>
        <v>0</v>
      </c>
      <c r="N3" s="194">
        <f t="shared" ref="N3:N32" si="3">I3-M3</f>
        <v>0</v>
      </c>
      <c r="O3" s="196">
        <f t="shared" ref="O3:O32" si="4">L3*J3</f>
        <v>0</v>
      </c>
      <c r="P3" s="197">
        <f t="shared" ref="P3:P32" si="5">J3-O3</f>
        <v>0</v>
      </c>
      <c r="U3" s="125" t="s">
        <v>77</v>
      </c>
    </row>
    <row r="4" spans="1:21" x14ac:dyDescent="0.25">
      <c r="A4" s="215">
        <v>3</v>
      </c>
      <c r="B4" s="220">
        <v>224</v>
      </c>
      <c r="C4" s="220">
        <v>222</v>
      </c>
      <c r="D4" s="214">
        <f t="shared" si="0"/>
        <v>22600</v>
      </c>
      <c r="E4" s="214">
        <f t="shared" si="1"/>
        <v>38400</v>
      </c>
      <c r="H4" s="200">
        <f>IF(Profile!Q11=0,Profile!R11,Profile!Q11)</f>
        <v>3</v>
      </c>
      <c r="I4" s="191">
        <f>Profile!N11</f>
        <v>45200</v>
      </c>
      <c r="J4" s="191">
        <f>Profile!AE11</f>
        <v>76800</v>
      </c>
      <c r="K4" s="202">
        <f>IF(Profile!W11=0,Profile!V11,Profile!W11)</f>
        <v>4</v>
      </c>
      <c r="L4" s="212">
        <v>0.5</v>
      </c>
      <c r="M4" s="190">
        <f t="shared" si="2"/>
        <v>22600</v>
      </c>
      <c r="N4" s="194">
        <f t="shared" si="3"/>
        <v>22600</v>
      </c>
      <c r="O4" s="196">
        <f t="shared" si="4"/>
        <v>38400</v>
      </c>
      <c r="P4" s="197">
        <f t="shared" si="5"/>
        <v>38400</v>
      </c>
      <c r="U4" t="s">
        <v>78</v>
      </c>
    </row>
    <row r="5" spans="1:21" x14ac:dyDescent="0.25">
      <c r="A5" s="215">
        <v>4</v>
      </c>
      <c r="B5" s="220">
        <v>223</v>
      </c>
      <c r="C5" s="220">
        <v>225</v>
      </c>
      <c r="D5" s="214">
        <f t="shared" si="0"/>
        <v>22600</v>
      </c>
      <c r="E5" s="214">
        <f t="shared" si="1"/>
        <v>38400</v>
      </c>
      <c r="H5" s="200">
        <f>IF(Profile!Q12=0,Profile!R12,Profile!Q12)</f>
        <v>0</v>
      </c>
      <c r="I5" s="191">
        <f>Profile!N12</f>
        <v>58400</v>
      </c>
      <c r="J5" s="191">
        <f>Profile!AE12</f>
        <v>94116.844154840481</v>
      </c>
      <c r="K5" s="202">
        <f>IF(Profile!W12=0,Profile!V12,Profile!W12)</f>
        <v>0</v>
      </c>
      <c r="L5" s="212">
        <v>0.5</v>
      </c>
      <c r="M5" s="190">
        <f t="shared" si="2"/>
        <v>29200</v>
      </c>
      <c r="N5" s="194">
        <f t="shared" si="3"/>
        <v>29200</v>
      </c>
      <c r="O5" s="196">
        <f t="shared" si="4"/>
        <v>47058.42207742024</v>
      </c>
      <c r="P5" s="197">
        <f t="shared" si="5"/>
        <v>47058.42207742024</v>
      </c>
      <c r="U5" t="s">
        <v>79</v>
      </c>
    </row>
    <row r="6" spans="1:21" x14ac:dyDescent="0.25">
      <c r="A6" s="215">
        <v>5</v>
      </c>
      <c r="B6" s="220">
        <v>220</v>
      </c>
      <c r="C6" s="220">
        <v>218</v>
      </c>
      <c r="D6" s="214">
        <f t="shared" si="0"/>
        <v>2700</v>
      </c>
      <c r="E6" s="214">
        <f t="shared" si="1"/>
        <v>5100</v>
      </c>
      <c r="H6" s="200">
        <f>IF(Profile!Q13=0,Profile!R13,Profile!Q13)</f>
        <v>5</v>
      </c>
      <c r="I6" s="191">
        <f>Profile!N13</f>
        <v>5400</v>
      </c>
      <c r="J6" s="191">
        <f>Profile!AE13</f>
        <v>10200</v>
      </c>
      <c r="K6" s="202">
        <f>IF(Profile!W13=0,Profile!V13,Profile!W13)</f>
        <v>6</v>
      </c>
      <c r="L6" s="212">
        <v>0.5</v>
      </c>
      <c r="M6" s="190">
        <f t="shared" si="2"/>
        <v>2700</v>
      </c>
      <c r="N6" s="194">
        <f t="shared" si="3"/>
        <v>2700</v>
      </c>
      <c r="O6" s="196">
        <f t="shared" si="4"/>
        <v>5100</v>
      </c>
      <c r="P6" s="197">
        <f t="shared" si="5"/>
        <v>5100</v>
      </c>
      <c r="U6" t="s">
        <v>80</v>
      </c>
    </row>
    <row r="7" spans="1:21" x14ac:dyDescent="0.25">
      <c r="A7" s="215">
        <v>6</v>
      </c>
      <c r="B7" s="220">
        <v>216</v>
      </c>
      <c r="C7" s="220">
        <v>219</v>
      </c>
      <c r="D7" s="214">
        <f t="shared" si="0"/>
        <v>2700</v>
      </c>
      <c r="E7" s="214">
        <f t="shared" si="1"/>
        <v>5100</v>
      </c>
      <c r="H7" s="200">
        <f>IF(Profile!Q14=0,Profile!R14,Profile!Q14)</f>
        <v>7</v>
      </c>
      <c r="I7" s="191">
        <f>Profile!N14</f>
        <v>4000</v>
      </c>
      <c r="J7" s="191">
        <f>Profile!AE14</f>
        <v>8700</v>
      </c>
      <c r="K7" s="202">
        <f>IF(Profile!W14=0,Profile!V14,Profile!W14)</f>
        <v>8</v>
      </c>
      <c r="L7" s="212">
        <v>0.5</v>
      </c>
      <c r="M7" s="190">
        <f t="shared" si="2"/>
        <v>2000</v>
      </c>
      <c r="N7" s="194">
        <f t="shared" si="3"/>
        <v>2000</v>
      </c>
      <c r="O7" s="196">
        <f t="shared" si="4"/>
        <v>4350</v>
      </c>
      <c r="P7" s="197">
        <f t="shared" si="5"/>
        <v>4350</v>
      </c>
      <c r="U7" t="s">
        <v>81</v>
      </c>
    </row>
    <row r="8" spans="1:21" x14ac:dyDescent="0.25">
      <c r="A8" s="215">
        <v>7</v>
      </c>
      <c r="B8" s="220">
        <v>213</v>
      </c>
      <c r="C8" s="220">
        <v>207</v>
      </c>
      <c r="D8" s="214">
        <f t="shared" si="0"/>
        <v>2000</v>
      </c>
      <c r="E8" s="214">
        <f t="shared" si="1"/>
        <v>4350</v>
      </c>
      <c r="H8" s="200">
        <f>IF(Profile!Q15=0,Profile!R15,Profile!Q15)</f>
        <v>0</v>
      </c>
      <c r="I8" s="191">
        <f>Profile!N15</f>
        <v>0</v>
      </c>
      <c r="J8" s="191">
        <f>Profile!AE15</f>
        <v>0</v>
      </c>
      <c r="K8" s="202">
        <f>IF(Profile!W15=0,Profile!V15,Profile!W15)</f>
        <v>0</v>
      </c>
      <c r="L8" s="212">
        <v>0.5</v>
      </c>
      <c r="M8" s="190">
        <f t="shared" si="2"/>
        <v>0</v>
      </c>
      <c r="N8" s="194">
        <f t="shared" si="3"/>
        <v>0</v>
      </c>
      <c r="O8" s="196">
        <f t="shared" si="4"/>
        <v>0</v>
      </c>
      <c r="P8" s="197">
        <f t="shared" si="5"/>
        <v>0</v>
      </c>
      <c r="U8" t="s">
        <v>82</v>
      </c>
    </row>
    <row r="9" spans="1:21" x14ac:dyDescent="0.25">
      <c r="A9" s="215">
        <v>8</v>
      </c>
      <c r="B9" s="220">
        <v>206</v>
      </c>
      <c r="C9" s="220">
        <v>209</v>
      </c>
      <c r="D9" s="214">
        <f t="shared" si="0"/>
        <v>2000</v>
      </c>
      <c r="E9" s="214">
        <f t="shared" si="1"/>
        <v>4350</v>
      </c>
      <c r="H9" s="200">
        <f>IF(Profile!Q16=0,Profile!R16,Profile!Q16)</f>
        <v>9</v>
      </c>
      <c r="I9" s="191">
        <f>Profile!N16</f>
        <v>57000</v>
      </c>
      <c r="J9" s="191">
        <f>Profile!AE16</f>
        <v>92616.844154840481</v>
      </c>
      <c r="K9" s="202">
        <f>IF(Profile!W16=0,Profile!V16,Profile!W16)</f>
        <v>10</v>
      </c>
      <c r="L9" s="212">
        <v>0.5</v>
      </c>
      <c r="M9" s="190">
        <f t="shared" si="2"/>
        <v>28500</v>
      </c>
      <c r="N9" s="194">
        <f t="shared" si="3"/>
        <v>28500</v>
      </c>
      <c r="O9" s="196">
        <f t="shared" si="4"/>
        <v>46308.42207742024</v>
      </c>
      <c r="P9" s="197">
        <f t="shared" si="5"/>
        <v>46308.42207742024</v>
      </c>
      <c r="U9" t="s">
        <v>83</v>
      </c>
    </row>
    <row r="10" spans="1:21" x14ac:dyDescent="0.25">
      <c r="A10" s="215">
        <v>9</v>
      </c>
      <c r="B10" s="220">
        <v>203</v>
      </c>
      <c r="C10" s="220">
        <v>201</v>
      </c>
      <c r="D10" s="214">
        <f t="shared" si="0"/>
        <v>28500</v>
      </c>
      <c r="E10" s="214">
        <f t="shared" si="1"/>
        <v>46308.42207742024</v>
      </c>
      <c r="H10" s="200">
        <f>IF(Profile!Q17=0,Profile!R17,Profile!Q17)</f>
        <v>0</v>
      </c>
      <c r="I10" s="191">
        <f>Profile!N17</f>
        <v>0</v>
      </c>
      <c r="J10" s="191">
        <f>Profile!AE17</f>
        <v>0</v>
      </c>
      <c r="K10" s="202">
        <f>IF(Profile!W17=0,Profile!V17,Profile!W17)</f>
        <v>0</v>
      </c>
      <c r="L10" s="212">
        <v>0.5</v>
      </c>
      <c r="M10" s="190">
        <f t="shared" si="2"/>
        <v>0</v>
      </c>
      <c r="N10" s="194">
        <f t="shared" si="3"/>
        <v>0</v>
      </c>
      <c r="O10" s="196">
        <f t="shared" si="4"/>
        <v>0</v>
      </c>
      <c r="P10" s="197">
        <f t="shared" si="5"/>
        <v>0</v>
      </c>
      <c r="U10" t="s">
        <v>84</v>
      </c>
    </row>
    <row r="11" spans="1:21" x14ac:dyDescent="0.25">
      <c r="A11" s="215">
        <v>10</v>
      </c>
      <c r="B11" s="220">
        <v>200</v>
      </c>
      <c r="C11" s="220">
        <v>202</v>
      </c>
      <c r="D11" s="214">
        <f t="shared" si="0"/>
        <v>28500</v>
      </c>
      <c r="E11" s="214">
        <f t="shared" si="1"/>
        <v>46308.42207742024</v>
      </c>
      <c r="H11" s="200">
        <f>IF(Profile!Q18=0,Profile!R18,Profile!Q18)</f>
        <v>11</v>
      </c>
      <c r="I11" s="191">
        <f>Profile!N18</f>
        <v>5300</v>
      </c>
      <c r="J11" s="191">
        <f>Profile!AE18</f>
        <v>8000</v>
      </c>
      <c r="K11" s="202">
        <f>IF(Profile!W18=0,Profile!V18,Profile!W18)</f>
        <v>12</v>
      </c>
      <c r="L11" s="212">
        <v>0.5</v>
      </c>
      <c r="M11" s="190">
        <f t="shared" si="2"/>
        <v>2650</v>
      </c>
      <c r="N11" s="194">
        <f t="shared" si="3"/>
        <v>2650</v>
      </c>
      <c r="O11" s="196">
        <f t="shared" si="4"/>
        <v>4000</v>
      </c>
      <c r="P11" s="197">
        <f t="shared" si="5"/>
        <v>4000</v>
      </c>
      <c r="U11" t="s">
        <v>85</v>
      </c>
    </row>
    <row r="12" spans="1:21" x14ac:dyDescent="0.25">
      <c r="A12" s="215">
        <v>11</v>
      </c>
      <c r="B12" s="220">
        <v>196</v>
      </c>
      <c r="C12" s="220">
        <v>192</v>
      </c>
      <c r="D12" s="214">
        <f t="shared" si="0"/>
        <v>2650</v>
      </c>
      <c r="E12" s="214">
        <f t="shared" si="1"/>
        <v>4000</v>
      </c>
      <c r="H12" s="200">
        <f>IF(Profile!Q19=0,Profile!R19,Profile!Q19)</f>
        <v>13</v>
      </c>
      <c r="I12" s="191">
        <f>Profile!N19</f>
        <v>11900</v>
      </c>
      <c r="J12" s="191">
        <f>Profile!AE19</f>
        <v>17000</v>
      </c>
      <c r="K12" s="202">
        <f>IF(Profile!W19=0,Profile!V19,Profile!W19)</f>
        <v>14</v>
      </c>
      <c r="L12" s="212">
        <v>0.5</v>
      </c>
      <c r="M12" s="190">
        <f t="shared" si="2"/>
        <v>5950</v>
      </c>
      <c r="N12" s="194">
        <f t="shared" si="3"/>
        <v>5950</v>
      </c>
      <c r="O12" s="196">
        <f t="shared" si="4"/>
        <v>8500</v>
      </c>
      <c r="P12" s="197">
        <f t="shared" si="5"/>
        <v>8500</v>
      </c>
    </row>
    <row r="13" spans="1:21" x14ac:dyDescent="0.25">
      <c r="A13" s="215">
        <v>12</v>
      </c>
      <c r="B13" s="220">
        <v>195</v>
      </c>
      <c r="C13" s="220">
        <v>197</v>
      </c>
      <c r="D13" s="214">
        <f t="shared" si="0"/>
        <v>2650</v>
      </c>
      <c r="E13" s="214">
        <f t="shared" si="1"/>
        <v>4000</v>
      </c>
      <c r="H13" s="200">
        <f>IF(Profile!Q20=0,Profile!R20,Profile!Q20)</f>
        <v>15</v>
      </c>
      <c r="I13" s="191">
        <f>Profile!N20</f>
        <v>63600</v>
      </c>
      <c r="J13" s="191">
        <f>Profile!AE20</f>
        <v>101616.84415484048</v>
      </c>
      <c r="K13" s="202">
        <f>IF(Profile!W20=0,Profile!V20,Profile!W20)</f>
        <v>16</v>
      </c>
      <c r="L13" s="212">
        <v>0.5</v>
      </c>
      <c r="M13" s="190">
        <f t="shared" si="2"/>
        <v>31800</v>
      </c>
      <c r="N13" s="194">
        <f t="shared" si="3"/>
        <v>31800</v>
      </c>
      <c r="O13" s="196">
        <f t="shared" si="4"/>
        <v>50808.42207742024</v>
      </c>
      <c r="P13" s="197">
        <f t="shared" si="5"/>
        <v>50808.42207742024</v>
      </c>
    </row>
    <row r="14" spans="1:21" x14ac:dyDescent="0.25">
      <c r="A14" s="215">
        <v>13</v>
      </c>
      <c r="B14" s="220">
        <v>192</v>
      </c>
      <c r="C14" s="220">
        <v>190</v>
      </c>
      <c r="D14" s="214">
        <f t="shared" si="0"/>
        <v>5950</v>
      </c>
      <c r="E14" s="214">
        <f t="shared" si="1"/>
        <v>8500</v>
      </c>
      <c r="H14" s="200">
        <f>IF(Profile!Q21=0,Profile!R21,Profile!Q21)</f>
        <v>17</v>
      </c>
      <c r="I14" s="191">
        <f>Profile!N21</f>
        <v>8600</v>
      </c>
      <c r="J14" s="191">
        <f>Profile!AE21</f>
        <v>14700</v>
      </c>
      <c r="K14" s="202">
        <f>IF(Profile!W21=0,Profile!V21,Profile!W21)</f>
        <v>18</v>
      </c>
      <c r="L14" s="212">
        <v>0.5</v>
      </c>
      <c r="M14" s="190">
        <f t="shared" si="2"/>
        <v>4300</v>
      </c>
      <c r="N14" s="194">
        <f t="shared" si="3"/>
        <v>4300</v>
      </c>
      <c r="O14" s="196">
        <f t="shared" si="4"/>
        <v>7350</v>
      </c>
      <c r="P14" s="197">
        <f t="shared" si="5"/>
        <v>7350</v>
      </c>
    </row>
    <row r="15" spans="1:21" x14ac:dyDescent="0.25">
      <c r="A15" s="215">
        <v>14</v>
      </c>
      <c r="B15" s="220">
        <v>189</v>
      </c>
      <c r="C15" s="220">
        <v>195</v>
      </c>
      <c r="D15" s="214">
        <f t="shared" si="0"/>
        <v>5950</v>
      </c>
      <c r="E15" s="214">
        <f t="shared" si="1"/>
        <v>8500</v>
      </c>
      <c r="H15" s="200">
        <f>IF(Profile!Q22=0,Profile!R22,Profile!Q22)</f>
        <v>19</v>
      </c>
      <c r="I15" s="191">
        <f>Profile!N22</f>
        <v>8200</v>
      </c>
      <c r="J15" s="191">
        <f>Profile!AE22</f>
        <v>14983</v>
      </c>
      <c r="K15" s="202">
        <f>IF(Profile!W22=0,Profile!V22,Profile!W22)</f>
        <v>20</v>
      </c>
      <c r="L15" s="212">
        <v>0.5</v>
      </c>
      <c r="M15" s="190">
        <f t="shared" si="2"/>
        <v>4100</v>
      </c>
      <c r="N15" s="194">
        <f t="shared" si="3"/>
        <v>4100</v>
      </c>
      <c r="O15" s="196">
        <f t="shared" si="4"/>
        <v>7491.5</v>
      </c>
      <c r="P15" s="197">
        <f t="shared" si="5"/>
        <v>7491.5</v>
      </c>
    </row>
    <row r="16" spans="1:21" x14ac:dyDescent="0.25">
      <c r="A16" s="215">
        <v>15</v>
      </c>
      <c r="B16" s="220">
        <v>190</v>
      </c>
      <c r="C16" s="220">
        <v>187</v>
      </c>
      <c r="D16" s="214">
        <f t="shared" si="0"/>
        <v>31800</v>
      </c>
      <c r="E16" s="214">
        <f t="shared" si="1"/>
        <v>50808.42207742024</v>
      </c>
      <c r="H16" s="200">
        <f>IF(Profile!Q23=0,Profile!R23,Profile!Q23)</f>
        <v>47</v>
      </c>
      <c r="I16" s="191">
        <f>Profile!N23</f>
        <v>63200</v>
      </c>
      <c r="J16" s="191">
        <f>Profile!AE23</f>
        <v>101899.84415484048</v>
      </c>
      <c r="K16" s="202">
        <f>IF(Profile!W23=0,Profile!V23,Profile!W23)</f>
        <v>48</v>
      </c>
      <c r="L16" s="212">
        <v>0.5</v>
      </c>
      <c r="M16" s="190">
        <f t="shared" si="2"/>
        <v>31600</v>
      </c>
      <c r="N16" s="194">
        <f t="shared" si="3"/>
        <v>31600</v>
      </c>
      <c r="O16" s="196">
        <f t="shared" si="4"/>
        <v>50949.92207742024</v>
      </c>
      <c r="P16" s="197">
        <f t="shared" si="5"/>
        <v>50949.92207742024</v>
      </c>
    </row>
    <row r="17" spans="1:16" x14ac:dyDescent="0.25">
      <c r="A17" s="215">
        <v>16</v>
      </c>
      <c r="B17" s="220">
        <v>188</v>
      </c>
      <c r="C17" s="220">
        <v>189</v>
      </c>
      <c r="D17" s="214">
        <f t="shared" si="0"/>
        <v>31800</v>
      </c>
      <c r="E17" s="214">
        <f t="shared" si="1"/>
        <v>50808.42207742024</v>
      </c>
      <c r="H17" s="200">
        <f>IF(Profile!Q24=0,Profile!R24,Profile!Q24)</f>
        <v>21</v>
      </c>
      <c r="I17" s="191">
        <f>Profile!N24</f>
        <v>6100</v>
      </c>
      <c r="J17" s="191">
        <f>Profile!AE24</f>
        <v>10500</v>
      </c>
      <c r="K17" s="202">
        <f>IF(Profile!W24=0,Profile!V24,Profile!W24)</f>
        <v>22</v>
      </c>
      <c r="L17" s="212">
        <v>0.5</v>
      </c>
      <c r="M17" s="190">
        <f t="shared" si="2"/>
        <v>3050</v>
      </c>
      <c r="N17" s="194">
        <f t="shared" si="3"/>
        <v>3050</v>
      </c>
      <c r="O17" s="196">
        <f t="shared" si="4"/>
        <v>5250</v>
      </c>
      <c r="P17" s="197">
        <f t="shared" si="5"/>
        <v>5250</v>
      </c>
    </row>
    <row r="18" spans="1:16" x14ac:dyDescent="0.25">
      <c r="A18" s="215">
        <v>17</v>
      </c>
      <c r="B18" s="220">
        <v>183</v>
      </c>
      <c r="C18" s="220">
        <v>180</v>
      </c>
      <c r="D18" s="214">
        <f t="shared" si="0"/>
        <v>4300</v>
      </c>
      <c r="E18" s="214">
        <f t="shared" si="1"/>
        <v>7350</v>
      </c>
      <c r="H18" s="200">
        <f>IF(Profile!Q25=0,Profile!R25,Profile!Q25)</f>
        <v>0</v>
      </c>
      <c r="I18" s="191">
        <f>Profile!N25</f>
        <v>0</v>
      </c>
      <c r="J18" s="191">
        <f>Profile!AE25</f>
        <v>0</v>
      </c>
      <c r="K18" s="202">
        <f>IF(Profile!W25=0,Profile!V25,Profile!W25)</f>
        <v>0</v>
      </c>
      <c r="L18" s="212">
        <v>0.5</v>
      </c>
      <c r="M18" s="190">
        <f t="shared" si="2"/>
        <v>0</v>
      </c>
      <c r="N18" s="194">
        <f t="shared" si="3"/>
        <v>0</v>
      </c>
      <c r="O18" s="196">
        <f t="shared" si="4"/>
        <v>0</v>
      </c>
      <c r="P18" s="197">
        <f t="shared" si="5"/>
        <v>0</v>
      </c>
    </row>
    <row r="19" spans="1:16" x14ac:dyDescent="0.25">
      <c r="A19" s="215">
        <v>18</v>
      </c>
      <c r="B19" s="220">
        <v>182</v>
      </c>
      <c r="C19" s="220">
        <v>185</v>
      </c>
      <c r="D19" s="214">
        <f t="shared" si="0"/>
        <v>4300</v>
      </c>
      <c r="E19" s="214">
        <f t="shared" si="1"/>
        <v>7350</v>
      </c>
      <c r="H19" s="200">
        <f>IF(Profile!Q26=0,Profile!R26,Profile!Q26)</f>
        <v>25</v>
      </c>
      <c r="I19" s="191">
        <f>Profile!N26</f>
        <v>11200</v>
      </c>
      <c r="J19" s="191">
        <f>Profile!AE26</f>
        <v>21500</v>
      </c>
      <c r="K19" s="202">
        <f>IF(Profile!W26=0,Profile!V26,Profile!W26)</f>
        <v>26</v>
      </c>
      <c r="L19" s="212">
        <v>0.5</v>
      </c>
      <c r="M19" s="190">
        <f t="shared" si="2"/>
        <v>5600</v>
      </c>
      <c r="N19" s="194">
        <f t="shared" si="3"/>
        <v>5600</v>
      </c>
      <c r="O19" s="196">
        <f t="shared" si="4"/>
        <v>10750</v>
      </c>
      <c r="P19" s="197">
        <f t="shared" si="5"/>
        <v>10750</v>
      </c>
    </row>
    <row r="20" spans="1:16" x14ac:dyDescent="0.25">
      <c r="A20" s="215">
        <v>19</v>
      </c>
      <c r="B20" s="220">
        <v>180</v>
      </c>
      <c r="C20" s="220">
        <v>177</v>
      </c>
      <c r="D20" s="214">
        <f t="shared" si="0"/>
        <v>4100</v>
      </c>
      <c r="E20" s="214">
        <f t="shared" si="1"/>
        <v>7491.5</v>
      </c>
      <c r="H20" s="200">
        <f>IF(Profile!Q27=0,Profile!R27,Profile!Q27)</f>
        <v>0</v>
      </c>
      <c r="I20" s="191">
        <f>Profile!N27</f>
        <v>0</v>
      </c>
      <c r="J20" s="191">
        <f>Profile!AE27</f>
        <v>0</v>
      </c>
      <c r="K20" s="202">
        <f>IF(Profile!W27=0,Profile!V27,Profile!W27)</f>
        <v>0</v>
      </c>
      <c r="L20" s="212">
        <v>0.5</v>
      </c>
      <c r="M20" s="190">
        <f t="shared" si="2"/>
        <v>0</v>
      </c>
      <c r="N20" s="194">
        <f t="shared" si="3"/>
        <v>0</v>
      </c>
      <c r="O20" s="196">
        <f t="shared" si="4"/>
        <v>0</v>
      </c>
      <c r="P20" s="197">
        <f t="shared" si="5"/>
        <v>0</v>
      </c>
    </row>
    <row r="21" spans="1:16" x14ac:dyDescent="0.25">
      <c r="A21" s="215">
        <v>20</v>
      </c>
      <c r="B21" s="220">
        <v>178</v>
      </c>
      <c r="C21" s="220">
        <v>182</v>
      </c>
      <c r="D21" s="214">
        <f t="shared" si="0"/>
        <v>4100</v>
      </c>
      <c r="E21" s="214">
        <f t="shared" si="1"/>
        <v>7491.5</v>
      </c>
      <c r="H21" s="200">
        <f>IF(Profile!Q28=0,Profile!R28,Profile!Q28)</f>
        <v>23</v>
      </c>
      <c r="I21" s="191">
        <f>Profile!N28</f>
        <v>68300</v>
      </c>
      <c r="J21" s="191">
        <f>Profile!AE28</f>
        <v>112899.84415484048</v>
      </c>
      <c r="K21" s="202">
        <f>IF(Profile!W28=0,Profile!V28,Profile!W28)</f>
        <v>24</v>
      </c>
      <c r="L21" s="212">
        <v>0.5</v>
      </c>
      <c r="M21" s="190">
        <f t="shared" si="2"/>
        <v>34150</v>
      </c>
      <c r="N21" s="194">
        <f t="shared" si="3"/>
        <v>34150</v>
      </c>
      <c r="O21" s="196">
        <f t="shared" si="4"/>
        <v>56449.92207742024</v>
      </c>
      <c r="P21" s="197">
        <f t="shared" si="5"/>
        <v>56449.92207742024</v>
      </c>
    </row>
    <row r="22" spans="1:16" x14ac:dyDescent="0.25">
      <c r="A22" s="215">
        <v>21</v>
      </c>
      <c r="B22" s="220">
        <v>170</v>
      </c>
      <c r="C22" s="220">
        <v>169</v>
      </c>
      <c r="D22" s="214">
        <f t="shared" si="0"/>
        <v>3050</v>
      </c>
      <c r="E22" s="214">
        <f t="shared" si="1"/>
        <v>5250</v>
      </c>
      <c r="H22" s="200">
        <f>IF(Profile!Q29=0,Profile!R29,Profile!Q29)</f>
        <v>0</v>
      </c>
      <c r="I22" s="191">
        <f>Profile!N29</f>
        <v>0</v>
      </c>
      <c r="J22" s="191">
        <f>Profile!AE29</f>
        <v>0</v>
      </c>
      <c r="K22" s="202">
        <f>IF(Profile!W29=0,Profile!V29,Profile!W29)</f>
        <v>0</v>
      </c>
      <c r="L22" s="212">
        <v>0.5</v>
      </c>
      <c r="M22" s="190">
        <f t="shared" si="2"/>
        <v>0</v>
      </c>
      <c r="N22" s="194">
        <f t="shared" si="3"/>
        <v>0</v>
      </c>
      <c r="O22" s="196">
        <f t="shared" si="4"/>
        <v>0</v>
      </c>
      <c r="P22" s="197">
        <f t="shared" si="5"/>
        <v>0</v>
      </c>
    </row>
    <row r="23" spans="1:16" x14ac:dyDescent="0.25">
      <c r="A23" s="215">
        <v>22</v>
      </c>
      <c r="B23" s="220">
        <v>172</v>
      </c>
      <c r="C23" s="220">
        <v>173</v>
      </c>
      <c r="D23" s="214">
        <f t="shared" si="0"/>
        <v>3050</v>
      </c>
      <c r="E23" s="214">
        <f t="shared" si="1"/>
        <v>5250</v>
      </c>
      <c r="H23" s="200">
        <f>IF(Profile!Q30=0,Profile!R30,Profile!Q30)</f>
        <v>45</v>
      </c>
      <c r="I23" s="191">
        <f>Profile!N30</f>
        <v>6100</v>
      </c>
      <c r="J23" s="191">
        <f>Profile!AE30</f>
        <v>9800</v>
      </c>
      <c r="K23" s="202">
        <f>IF(Profile!W30=0,Profile!V30,Profile!W30)</f>
        <v>46</v>
      </c>
      <c r="L23" s="212">
        <v>0.5</v>
      </c>
      <c r="M23" s="190">
        <f t="shared" si="2"/>
        <v>3050</v>
      </c>
      <c r="N23" s="194">
        <f t="shared" si="3"/>
        <v>3050</v>
      </c>
      <c r="O23" s="196">
        <f t="shared" si="4"/>
        <v>4900</v>
      </c>
      <c r="P23" s="197">
        <f t="shared" si="5"/>
        <v>4900</v>
      </c>
    </row>
    <row r="24" spans="1:16" x14ac:dyDescent="0.25">
      <c r="A24" s="215">
        <v>23</v>
      </c>
      <c r="B24" s="220">
        <v>157</v>
      </c>
      <c r="C24" s="220">
        <v>285</v>
      </c>
      <c r="D24" s="214">
        <f t="shared" si="0"/>
        <v>34150</v>
      </c>
      <c r="E24" s="214">
        <f t="shared" si="1"/>
        <v>56449.92207742024</v>
      </c>
      <c r="H24" s="200">
        <f>IF(Profile!Q31=0,Profile!R31,Profile!Q31)</f>
        <v>27</v>
      </c>
      <c r="I24" s="191">
        <f>Profile!N31</f>
        <v>74400</v>
      </c>
      <c r="J24" s="191">
        <f>Profile!AE31</f>
        <v>122700</v>
      </c>
      <c r="K24" s="202">
        <f>IF(Profile!W31=0,Profile!V31,Profile!W31)</f>
        <v>28</v>
      </c>
      <c r="L24" s="212">
        <v>0.5</v>
      </c>
      <c r="M24" s="190">
        <f t="shared" si="2"/>
        <v>37200</v>
      </c>
      <c r="N24" s="194">
        <f t="shared" si="3"/>
        <v>37200</v>
      </c>
      <c r="O24" s="196">
        <f t="shared" si="4"/>
        <v>61350</v>
      </c>
      <c r="P24" s="197">
        <f t="shared" si="5"/>
        <v>61350</v>
      </c>
    </row>
    <row r="25" spans="1:16" x14ac:dyDescent="0.25">
      <c r="A25" s="215">
        <v>24</v>
      </c>
      <c r="B25" s="220">
        <v>286</v>
      </c>
      <c r="C25" s="220">
        <v>158</v>
      </c>
      <c r="D25" s="214">
        <f t="shared" si="0"/>
        <v>34150</v>
      </c>
      <c r="E25" s="214">
        <f t="shared" si="1"/>
        <v>56449.92207742024</v>
      </c>
      <c r="H25" s="200">
        <f>IF(Profile!Q32=0,Profile!R32,Profile!Q32)</f>
        <v>29</v>
      </c>
      <c r="I25" s="191">
        <f>Profile!N32</f>
        <v>7500</v>
      </c>
      <c r="J25" s="191">
        <f>Profile!AE32</f>
        <v>22000</v>
      </c>
      <c r="K25" s="202">
        <f>IF(Profile!W32=0,Profile!V32,Profile!W32)</f>
        <v>30</v>
      </c>
      <c r="L25" s="212">
        <v>0.5</v>
      </c>
      <c r="M25" s="190">
        <f t="shared" si="2"/>
        <v>3750</v>
      </c>
      <c r="N25" s="194">
        <f t="shared" si="3"/>
        <v>3750</v>
      </c>
      <c r="O25" s="196">
        <f t="shared" si="4"/>
        <v>11000</v>
      </c>
      <c r="P25" s="197">
        <f t="shared" si="5"/>
        <v>11000</v>
      </c>
    </row>
    <row r="26" spans="1:16" x14ac:dyDescent="0.25">
      <c r="A26" s="215">
        <v>25</v>
      </c>
      <c r="B26" s="220">
        <v>155</v>
      </c>
      <c r="C26" s="220">
        <v>157</v>
      </c>
      <c r="D26" s="214">
        <f t="shared" si="0"/>
        <v>5600</v>
      </c>
      <c r="E26" s="214">
        <f t="shared" si="1"/>
        <v>10750</v>
      </c>
      <c r="H26" s="200">
        <f>IF(Profile!Q33=0,Profile!R33,Profile!Q33)</f>
        <v>31</v>
      </c>
      <c r="I26" s="191">
        <f>Profile!N33</f>
        <v>18400</v>
      </c>
      <c r="J26" s="191">
        <f>Profile!AE33</f>
        <v>27800</v>
      </c>
      <c r="K26" s="202">
        <f>IF(Profile!W33=0,Profile!V33,Profile!W33)</f>
        <v>32</v>
      </c>
      <c r="L26" s="212">
        <v>0.5</v>
      </c>
      <c r="M26" s="190">
        <f t="shared" si="2"/>
        <v>9200</v>
      </c>
      <c r="N26" s="194">
        <f t="shared" si="3"/>
        <v>9200</v>
      </c>
      <c r="O26" s="196">
        <f t="shared" si="4"/>
        <v>13900</v>
      </c>
      <c r="P26" s="197">
        <f t="shared" si="5"/>
        <v>13900</v>
      </c>
    </row>
    <row r="27" spans="1:16" x14ac:dyDescent="0.25">
      <c r="A27" s="215">
        <v>26</v>
      </c>
      <c r="B27" s="220">
        <v>163</v>
      </c>
      <c r="C27" s="220">
        <v>159</v>
      </c>
      <c r="D27" s="214">
        <f t="shared" si="0"/>
        <v>5600</v>
      </c>
      <c r="E27" s="214">
        <f t="shared" si="1"/>
        <v>10750</v>
      </c>
      <c r="H27" s="200">
        <f>IF(Profile!Q34=0,Profile!R34,Profile!Q34)</f>
        <v>33</v>
      </c>
      <c r="I27" s="191">
        <f>Profile!N34</f>
        <v>85300</v>
      </c>
      <c r="J27" s="191">
        <f>Profile!AE34</f>
        <v>128500</v>
      </c>
      <c r="K27" s="202">
        <f>IF(Profile!W34=0,Profile!V34,Profile!W34)</f>
        <v>34</v>
      </c>
      <c r="L27" s="212">
        <v>0.5</v>
      </c>
      <c r="M27" s="190">
        <f t="shared" si="2"/>
        <v>42650</v>
      </c>
      <c r="N27" s="194">
        <f t="shared" si="3"/>
        <v>42650</v>
      </c>
      <c r="O27" s="196">
        <f t="shared" si="4"/>
        <v>64250</v>
      </c>
      <c r="P27" s="197">
        <f t="shared" si="5"/>
        <v>64250</v>
      </c>
    </row>
    <row r="28" spans="1:16" x14ac:dyDescent="0.25">
      <c r="A28" s="215">
        <v>27</v>
      </c>
      <c r="B28" s="220">
        <v>152</v>
      </c>
      <c r="C28" s="220">
        <v>149</v>
      </c>
      <c r="D28" s="214">
        <f t="shared" si="0"/>
        <v>37200</v>
      </c>
      <c r="E28" s="214">
        <f t="shared" si="1"/>
        <v>61350</v>
      </c>
      <c r="H28" s="200">
        <f>IF(Profile!Q35=0,Profile!R35,Profile!Q35)</f>
        <v>35</v>
      </c>
      <c r="I28" s="191">
        <f>Profile!N35</f>
        <v>10700</v>
      </c>
      <c r="J28" s="191">
        <f>Profile!AE35</f>
        <v>17600</v>
      </c>
      <c r="K28" s="202">
        <f>IF(Profile!W35=0,Profile!V35,Profile!W35)</f>
        <v>36</v>
      </c>
      <c r="L28" s="212">
        <v>0.5</v>
      </c>
      <c r="M28" s="190">
        <f t="shared" si="2"/>
        <v>5350</v>
      </c>
      <c r="N28" s="194">
        <f t="shared" si="3"/>
        <v>5350</v>
      </c>
      <c r="O28" s="196">
        <f t="shared" si="4"/>
        <v>8800</v>
      </c>
      <c r="P28" s="197">
        <f t="shared" si="5"/>
        <v>8800</v>
      </c>
    </row>
    <row r="29" spans="1:16" x14ac:dyDescent="0.25">
      <c r="A29" s="215">
        <v>28</v>
      </c>
      <c r="B29" s="220">
        <v>150</v>
      </c>
      <c r="C29" s="220">
        <v>151</v>
      </c>
      <c r="D29" s="214">
        <f t="shared" si="0"/>
        <v>37200</v>
      </c>
      <c r="E29" s="214">
        <f t="shared" si="1"/>
        <v>61350</v>
      </c>
      <c r="H29" s="200">
        <f>IF(Profile!Q36=0,Profile!R36,Profile!Q36)</f>
        <v>37</v>
      </c>
      <c r="I29" s="191">
        <f>Profile!N36</f>
        <v>9000</v>
      </c>
      <c r="J29" s="191">
        <f>Profile!AE36</f>
        <v>17700</v>
      </c>
      <c r="K29" s="202">
        <f>IF(Profile!W36=0,Profile!V36,Profile!W36)</f>
        <v>38</v>
      </c>
      <c r="L29" s="212">
        <v>0.5</v>
      </c>
      <c r="M29" s="190">
        <f t="shared" si="2"/>
        <v>4500</v>
      </c>
      <c r="N29" s="194">
        <f t="shared" si="3"/>
        <v>4500</v>
      </c>
      <c r="O29" s="196">
        <f t="shared" si="4"/>
        <v>8850</v>
      </c>
      <c r="P29" s="197">
        <f t="shared" si="5"/>
        <v>8850</v>
      </c>
    </row>
    <row r="30" spans="1:16" x14ac:dyDescent="0.25">
      <c r="A30" s="215">
        <v>29</v>
      </c>
      <c r="B30" s="220">
        <v>156</v>
      </c>
      <c r="C30" s="220">
        <v>281</v>
      </c>
      <c r="D30" s="214">
        <f t="shared" si="0"/>
        <v>3750</v>
      </c>
      <c r="E30" s="214">
        <f t="shared" si="1"/>
        <v>11000</v>
      </c>
      <c r="H30" s="200">
        <f>IF(Profile!Q37=0,Profile!R37,Profile!Q37)</f>
        <v>39</v>
      </c>
      <c r="I30" s="191">
        <f>Profile!N37</f>
        <v>83600</v>
      </c>
      <c r="J30" s="191">
        <f>Profile!AE37</f>
        <v>128600</v>
      </c>
      <c r="K30" s="202">
        <f>IF(Profile!W37=0,Profile!V37,Profile!W37)</f>
        <v>40</v>
      </c>
      <c r="L30" s="212">
        <v>0.5</v>
      </c>
      <c r="M30" s="190">
        <f t="shared" si="2"/>
        <v>41800</v>
      </c>
      <c r="N30" s="194">
        <f t="shared" si="3"/>
        <v>41800</v>
      </c>
      <c r="O30" s="196">
        <f t="shared" si="4"/>
        <v>64300</v>
      </c>
      <c r="P30" s="197">
        <f t="shared" si="5"/>
        <v>64300</v>
      </c>
    </row>
    <row r="31" spans="1:16" x14ac:dyDescent="0.25">
      <c r="A31" s="215">
        <v>30</v>
      </c>
      <c r="B31" s="220">
        <v>153</v>
      </c>
      <c r="C31" s="220">
        <v>160</v>
      </c>
      <c r="D31" s="214">
        <f t="shared" si="0"/>
        <v>3750</v>
      </c>
      <c r="E31" s="214">
        <f t="shared" si="1"/>
        <v>11000</v>
      </c>
      <c r="H31" s="200">
        <f>IF(Profile!Q38=0,Profile!R38,Profile!Q38)</f>
        <v>41</v>
      </c>
      <c r="I31" s="191">
        <f>Profile!N38</f>
        <v>3700</v>
      </c>
      <c r="J31" s="191">
        <f>Profile!AE38</f>
        <v>5900</v>
      </c>
      <c r="K31" s="202">
        <f>IF(Profile!W38=0,Profile!V38,Profile!W38)</f>
        <v>42</v>
      </c>
      <c r="L31" s="212">
        <v>0.5</v>
      </c>
      <c r="M31" s="190">
        <f t="shared" si="2"/>
        <v>1850</v>
      </c>
      <c r="N31" s="194">
        <f t="shared" si="3"/>
        <v>1850</v>
      </c>
      <c r="O31" s="196">
        <f t="shared" si="4"/>
        <v>2950</v>
      </c>
      <c r="P31" s="197">
        <f t="shared" si="5"/>
        <v>2950</v>
      </c>
    </row>
    <row r="32" spans="1:16" ht="15.75" thickBot="1" x14ac:dyDescent="0.3">
      <c r="A32" s="215">
        <v>31</v>
      </c>
      <c r="B32" s="220">
        <v>140</v>
      </c>
      <c r="C32" s="220">
        <v>138</v>
      </c>
      <c r="D32" s="214">
        <f t="shared" si="0"/>
        <v>9200</v>
      </c>
      <c r="E32" s="214">
        <f t="shared" si="1"/>
        <v>13900</v>
      </c>
      <c r="H32" s="201">
        <f>IF(Profile!Q39=0,Profile!R39,Profile!Q39)</f>
        <v>43</v>
      </c>
      <c r="I32" s="192">
        <f>Profile!N39</f>
        <v>79900</v>
      </c>
      <c r="J32" s="192">
        <f>Profile!AE39</f>
        <v>122700</v>
      </c>
      <c r="K32" s="203">
        <f>IF(Profile!W39=0,Profile!V39,Profile!W39)</f>
        <v>44</v>
      </c>
      <c r="L32" s="213">
        <v>0.5</v>
      </c>
      <c r="M32" s="185">
        <f t="shared" si="2"/>
        <v>39950</v>
      </c>
      <c r="N32" s="195">
        <f t="shared" si="3"/>
        <v>39950</v>
      </c>
      <c r="O32" s="198">
        <f t="shared" si="4"/>
        <v>61350</v>
      </c>
      <c r="P32" s="199">
        <f t="shared" si="5"/>
        <v>61350</v>
      </c>
    </row>
    <row r="33" spans="1:12" x14ac:dyDescent="0.25">
      <c r="A33" s="215">
        <v>32</v>
      </c>
      <c r="B33" s="220">
        <v>139</v>
      </c>
      <c r="C33" s="220">
        <v>141</v>
      </c>
      <c r="D33" s="214">
        <f t="shared" si="0"/>
        <v>9200</v>
      </c>
      <c r="E33" s="214">
        <f t="shared" si="1"/>
        <v>13900</v>
      </c>
      <c r="G33" s="190"/>
      <c r="H33" s="188"/>
      <c r="I33" s="184"/>
      <c r="J33" s="184"/>
      <c r="K33" s="189"/>
      <c r="L33" s="190"/>
    </row>
    <row r="34" spans="1:12" x14ac:dyDescent="0.25">
      <c r="A34" s="215">
        <v>33</v>
      </c>
      <c r="B34" s="220">
        <v>136</v>
      </c>
      <c r="C34" s="220">
        <v>134</v>
      </c>
      <c r="D34" s="214">
        <f t="shared" si="0"/>
        <v>42650</v>
      </c>
      <c r="E34" s="214">
        <f t="shared" si="1"/>
        <v>64250</v>
      </c>
      <c r="H34" s="186"/>
      <c r="I34" s="182"/>
      <c r="J34" s="182"/>
    </row>
    <row r="35" spans="1:12" x14ac:dyDescent="0.25">
      <c r="A35" s="215">
        <v>34</v>
      </c>
      <c r="B35" s="220">
        <v>135</v>
      </c>
      <c r="C35" s="220">
        <v>137</v>
      </c>
      <c r="D35" s="214">
        <f t="shared" si="0"/>
        <v>42650</v>
      </c>
      <c r="E35" s="214">
        <f t="shared" si="1"/>
        <v>64250</v>
      </c>
    </row>
    <row r="36" spans="1:12" x14ac:dyDescent="0.25">
      <c r="A36" s="215">
        <v>35</v>
      </c>
      <c r="B36" s="220">
        <v>134</v>
      </c>
      <c r="C36" s="220">
        <v>130</v>
      </c>
      <c r="D36" s="214">
        <f t="shared" si="0"/>
        <v>5350</v>
      </c>
      <c r="E36" s="214">
        <f t="shared" si="1"/>
        <v>8800</v>
      </c>
    </row>
    <row r="37" spans="1:12" x14ac:dyDescent="0.25">
      <c r="A37" s="215">
        <v>36</v>
      </c>
      <c r="B37" s="220">
        <v>133</v>
      </c>
      <c r="C37" s="220">
        <v>316</v>
      </c>
      <c r="D37" s="214">
        <f t="shared" si="0"/>
        <v>5350</v>
      </c>
      <c r="E37" s="214">
        <f t="shared" si="1"/>
        <v>8800</v>
      </c>
    </row>
    <row r="38" spans="1:12" x14ac:dyDescent="0.25">
      <c r="A38" s="215">
        <v>37</v>
      </c>
      <c r="B38" s="220">
        <v>127</v>
      </c>
      <c r="C38" s="220">
        <v>126</v>
      </c>
      <c r="D38" s="214">
        <f t="shared" si="0"/>
        <v>4500</v>
      </c>
      <c r="E38" s="214">
        <f t="shared" si="1"/>
        <v>8850</v>
      </c>
    </row>
    <row r="39" spans="1:12" x14ac:dyDescent="0.25">
      <c r="A39" s="215">
        <v>38</v>
      </c>
      <c r="B39" s="220">
        <v>125</v>
      </c>
      <c r="C39" s="220">
        <v>128</v>
      </c>
      <c r="D39" s="214">
        <f t="shared" si="0"/>
        <v>4500</v>
      </c>
      <c r="E39" s="214">
        <f t="shared" si="1"/>
        <v>8850</v>
      </c>
    </row>
    <row r="40" spans="1:12" x14ac:dyDescent="0.25">
      <c r="A40" s="215">
        <v>39</v>
      </c>
      <c r="B40" s="220">
        <v>123</v>
      </c>
      <c r="C40" s="220">
        <v>120</v>
      </c>
      <c r="D40" s="214">
        <f t="shared" si="0"/>
        <v>41800</v>
      </c>
      <c r="E40" s="214">
        <f t="shared" si="1"/>
        <v>64300</v>
      </c>
    </row>
    <row r="41" spans="1:12" x14ac:dyDescent="0.25">
      <c r="A41" s="215">
        <v>40</v>
      </c>
      <c r="B41" s="220">
        <v>119</v>
      </c>
      <c r="C41" s="220">
        <v>122</v>
      </c>
      <c r="D41" s="214">
        <f t="shared" si="0"/>
        <v>41800</v>
      </c>
      <c r="E41" s="214">
        <f t="shared" si="1"/>
        <v>64300</v>
      </c>
    </row>
    <row r="42" spans="1:12" x14ac:dyDescent="0.25">
      <c r="A42" s="215">
        <v>41</v>
      </c>
      <c r="B42" s="220">
        <v>120</v>
      </c>
      <c r="C42" s="220">
        <v>118</v>
      </c>
      <c r="D42" s="214">
        <f t="shared" si="0"/>
        <v>1850</v>
      </c>
      <c r="E42" s="214">
        <f t="shared" si="1"/>
        <v>2950</v>
      </c>
    </row>
    <row r="43" spans="1:12" x14ac:dyDescent="0.25">
      <c r="A43" s="215">
        <v>42</v>
      </c>
      <c r="B43" s="220">
        <v>115</v>
      </c>
      <c r="C43" s="220">
        <v>119</v>
      </c>
      <c r="D43" s="214">
        <f t="shared" si="0"/>
        <v>1850</v>
      </c>
      <c r="E43" s="214">
        <f t="shared" si="1"/>
        <v>2950</v>
      </c>
    </row>
    <row r="44" spans="1:12" x14ac:dyDescent="0.25">
      <c r="A44" s="215">
        <v>43</v>
      </c>
      <c r="B44" s="220">
        <v>322</v>
      </c>
      <c r="C44" s="220">
        <v>111</v>
      </c>
      <c r="D44" s="214">
        <f t="shared" si="0"/>
        <v>39950</v>
      </c>
      <c r="E44" s="214">
        <f t="shared" si="1"/>
        <v>61350</v>
      </c>
    </row>
    <row r="45" spans="1:12" x14ac:dyDescent="0.25">
      <c r="A45" s="215">
        <v>44</v>
      </c>
      <c r="B45" s="220">
        <v>108</v>
      </c>
      <c r="C45" s="220">
        <v>237</v>
      </c>
      <c r="D45" s="214">
        <f t="shared" si="0"/>
        <v>39950</v>
      </c>
      <c r="E45" s="214">
        <f t="shared" si="1"/>
        <v>61350</v>
      </c>
    </row>
    <row r="46" spans="1:12" x14ac:dyDescent="0.25">
      <c r="A46" s="215">
        <v>45</v>
      </c>
      <c r="B46" s="220">
        <v>154</v>
      </c>
      <c r="C46" s="220">
        <v>152</v>
      </c>
      <c r="D46" s="214">
        <f t="shared" si="0"/>
        <v>3050</v>
      </c>
      <c r="E46" s="214">
        <f t="shared" si="1"/>
        <v>4900</v>
      </c>
    </row>
    <row r="47" spans="1:12" x14ac:dyDescent="0.25">
      <c r="A47" s="215">
        <v>46</v>
      </c>
      <c r="B47" s="220">
        <v>151</v>
      </c>
      <c r="C47" s="220">
        <v>282</v>
      </c>
      <c r="D47" s="214">
        <f t="shared" si="0"/>
        <v>3050</v>
      </c>
      <c r="E47" s="214">
        <f t="shared" si="1"/>
        <v>4900</v>
      </c>
    </row>
    <row r="48" spans="1:12" x14ac:dyDescent="0.25">
      <c r="A48" s="215">
        <v>47</v>
      </c>
      <c r="B48" s="220">
        <v>269</v>
      </c>
      <c r="C48" s="220">
        <v>175</v>
      </c>
      <c r="D48" s="214">
        <f t="shared" si="0"/>
        <v>31600</v>
      </c>
      <c r="E48" s="214">
        <f t="shared" si="1"/>
        <v>50949.92207742024</v>
      </c>
    </row>
    <row r="49" spans="1:5" x14ac:dyDescent="0.25">
      <c r="A49" s="215">
        <v>48</v>
      </c>
      <c r="B49" s="220">
        <v>176</v>
      </c>
      <c r="C49" s="220">
        <v>272</v>
      </c>
      <c r="D49" s="214">
        <f t="shared" si="0"/>
        <v>31600</v>
      </c>
      <c r="E49" s="214">
        <f t="shared" si="1"/>
        <v>50949.92207742024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5"/>
  <sheetViews>
    <sheetView workbookViewId="0">
      <selection activeCell="O13" sqref="O12:O13"/>
    </sheetView>
  </sheetViews>
  <sheetFormatPr defaultRowHeight="15" x14ac:dyDescent="0.25"/>
  <cols>
    <col min="3" max="3" width="10" bestFit="1" customWidth="1"/>
    <col min="4" max="5" width="8.85546875" style="215"/>
  </cols>
  <sheetData>
    <row r="1" spans="1:5" x14ac:dyDescent="0.25">
      <c r="A1" t="s">
        <v>44</v>
      </c>
      <c r="B1" t="s">
        <v>45</v>
      </c>
      <c r="C1" t="s">
        <v>55</v>
      </c>
      <c r="D1" s="215" t="s">
        <v>46</v>
      </c>
      <c r="E1" s="215" t="s">
        <v>47</v>
      </c>
    </row>
    <row r="2" spans="1:5" x14ac:dyDescent="0.25">
      <c r="A2">
        <v>39</v>
      </c>
      <c r="B2">
        <v>235</v>
      </c>
      <c r="C2">
        <v>1</v>
      </c>
      <c r="D2" s="215">
        <v>6600</v>
      </c>
      <c r="E2" s="215">
        <v>11100</v>
      </c>
    </row>
    <row r="3" spans="1:5" x14ac:dyDescent="0.25">
      <c r="A3">
        <v>236</v>
      </c>
      <c r="B3">
        <v>38</v>
      </c>
      <c r="C3">
        <v>2</v>
      </c>
      <c r="D3" s="215">
        <v>6600</v>
      </c>
      <c r="E3" s="215">
        <v>11100</v>
      </c>
    </row>
    <row r="4" spans="1:5" x14ac:dyDescent="0.25">
      <c r="A4">
        <v>224</v>
      </c>
      <c r="B4">
        <v>222</v>
      </c>
      <c r="C4">
        <v>3</v>
      </c>
      <c r="D4" s="215">
        <v>22600</v>
      </c>
      <c r="E4" s="215">
        <v>38400</v>
      </c>
    </row>
    <row r="5" spans="1:5" x14ac:dyDescent="0.25">
      <c r="A5">
        <v>223</v>
      </c>
      <c r="B5">
        <v>225</v>
      </c>
      <c r="C5">
        <v>4</v>
      </c>
      <c r="D5" s="215">
        <v>22600</v>
      </c>
      <c r="E5" s="215">
        <v>38400</v>
      </c>
    </row>
    <row r="6" spans="1:5" x14ac:dyDescent="0.25">
      <c r="A6">
        <v>220</v>
      </c>
      <c r="B6">
        <v>218</v>
      </c>
      <c r="C6">
        <v>5</v>
      </c>
      <c r="D6" s="215">
        <v>2700</v>
      </c>
      <c r="E6" s="215">
        <v>5100</v>
      </c>
    </row>
    <row r="7" spans="1:5" x14ac:dyDescent="0.25">
      <c r="A7">
        <v>216</v>
      </c>
      <c r="B7">
        <v>219</v>
      </c>
      <c r="C7">
        <v>6</v>
      </c>
      <c r="D7" s="215">
        <v>2700</v>
      </c>
      <c r="E7" s="215">
        <v>5100</v>
      </c>
    </row>
    <row r="8" spans="1:5" x14ac:dyDescent="0.25">
      <c r="A8">
        <v>213</v>
      </c>
      <c r="B8">
        <v>207</v>
      </c>
      <c r="C8">
        <v>7</v>
      </c>
      <c r="D8" s="215">
        <v>2000</v>
      </c>
      <c r="E8" s="215">
        <v>4350</v>
      </c>
    </row>
    <row r="9" spans="1:5" x14ac:dyDescent="0.25">
      <c r="A9">
        <v>206</v>
      </c>
      <c r="B9">
        <v>209</v>
      </c>
      <c r="C9">
        <v>8</v>
      </c>
      <c r="D9" s="215">
        <v>2000</v>
      </c>
      <c r="E9" s="215">
        <v>4350</v>
      </c>
    </row>
    <row r="10" spans="1:5" x14ac:dyDescent="0.25">
      <c r="A10">
        <v>203</v>
      </c>
      <c r="B10">
        <v>201</v>
      </c>
      <c r="C10">
        <v>9</v>
      </c>
      <c r="D10" s="215">
        <v>28500</v>
      </c>
      <c r="E10" s="215">
        <v>46308.42207742024</v>
      </c>
    </row>
    <row r="11" spans="1:5" x14ac:dyDescent="0.25">
      <c r="A11">
        <v>200</v>
      </c>
      <c r="B11">
        <v>202</v>
      </c>
      <c r="C11">
        <v>10</v>
      </c>
      <c r="D11" s="215">
        <v>28500</v>
      </c>
      <c r="E11" s="215">
        <v>46308.42207742024</v>
      </c>
    </row>
    <row r="12" spans="1:5" x14ac:dyDescent="0.25">
      <c r="A12">
        <v>196</v>
      </c>
      <c r="B12">
        <v>192</v>
      </c>
      <c r="C12">
        <v>11</v>
      </c>
      <c r="D12" s="215">
        <v>2650</v>
      </c>
      <c r="E12" s="215">
        <v>4000</v>
      </c>
    </row>
    <row r="13" spans="1:5" x14ac:dyDescent="0.25">
      <c r="A13">
        <v>195</v>
      </c>
      <c r="B13">
        <v>197</v>
      </c>
      <c r="C13">
        <v>12</v>
      </c>
      <c r="D13" s="215">
        <v>2650</v>
      </c>
      <c r="E13" s="215">
        <v>4000</v>
      </c>
    </row>
    <row r="14" spans="1:5" x14ac:dyDescent="0.25">
      <c r="A14">
        <v>192</v>
      </c>
      <c r="B14">
        <v>190</v>
      </c>
      <c r="C14">
        <v>13</v>
      </c>
      <c r="D14" s="215">
        <v>5950</v>
      </c>
      <c r="E14" s="215">
        <v>8500</v>
      </c>
    </row>
    <row r="15" spans="1:5" x14ac:dyDescent="0.25">
      <c r="A15">
        <v>189</v>
      </c>
      <c r="B15">
        <v>195</v>
      </c>
      <c r="C15">
        <v>14</v>
      </c>
      <c r="D15" s="215">
        <v>5950</v>
      </c>
      <c r="E15" s="215">
        <v>8500</v>
      </c>
    </row>
    <row r="16" spans="1:5" x14ac:dyDescent="0.25">
      <c r="A16">
        <v>190</v>
      </c>
      <c r="B16">
        <v>187</v>
      </c>
      <c r="C16">
        <v>15</v>
      </c>
      <c r="D16" s="215">
        <v>31800</v>
      </c>
      <c r="E16" s="215">
        <v>50808.42207742024</v>
      </c>
    </row>
    <row r="17" spans="1:5" x14ac:dyDescent="0.25">
      <c r="A17">
        <v>188</v>
      </c>
      <c r="B17">
        <v>189</v>
      </c>
      <c r="C17">
        <v>16</v>
      </c>
      <c r="D17" s="215">
        <v>31800</v>
      </c>
      <c r="E17" s="215">
        <v>50808.42207742024</v>
      </c>
    </row>
    <row r="18" spans="1:5" x14ac:dyDescent="0.25">
      <c r="A18">
        <v>183</v>
      </c>
      <c r="B18">
        <v>180</v>
      </c>
      <c r="C18">
        <v>17</v>
      </c>
      <c r="D18" s="215">
        <v>4100</v>
      </c>
      <c r="E18" s="215">
        <v>7491.5</v>
      </c>
    </row>
    <row r="19" spans="1:5" x14ac:dyDescent="0.25">
      <c r="A19">
        <v>182</v>
      </c>
      <c r="B19">
        <v>185</v>
      </c>
      <c r="C19">
        <v>18</v>
      </c>
      <c r="D19" s="215">
        <v>4100</v>
      </c>
      <c r="E19" s="215">
        <v>7491.5</v>
      </c>
    </row>
    <row r="20" spans="1:5" x14ac:dyDescent="0.25">
      <c r="A20">
        <v>180</v>
      </c>
      <c r="B20">
        <v>177</v>
      </c>
      <c r="C20">
        <v>19</v>
      </c>
      <c r="D20" s="215">
        <v>3050</v>
      </c>
      <c r="E20" s="215">
        <v>5250</v>
      </c>
    </row>
    <row r="21" spans="1:5" x14ac:dyDescent="0.25">
      <c r="A21">
        <v>178</v>
      </c>
      <c r="B21">
        <v>182</v>
      </c>
      <c r="C21">
        <v>20</v>
      </c>
      <c r="D21" s="215">
        <v>3050</v>
      </c>
      <c r="E21" s="215">
        <v>5250</v>
      </c>
    </row>
    <row r="22" spans="1:5" x14ac:dyDescent="0.25">
      <c r="A22">
        <v>170</v>
      </c>
      <c r="B22">
        <v>169</v>
      </c>
      <c r="C22">
        <v>21</v>
      </c>
      <c r="D22" s="215">
        <v>5600</v>
      </c>
      <c r="E22" s="215">
        <v>10750</v>
      </c>
    </row>
    <row r="23" spans="1:5" x14ac:dyDescent="0.25">
      <c r="A23">
        <v>172</v>
      </c>
      <c r="B23">
        <v>173</v>
      </c>
      <c r="C23">
        <v>22</v>
      </c>
      <c r="D23" s="215">
        <v>5600</v>
      </c>
      <c r="E23" s="215">
        <v>10750</v>
      </c>
    </row>
    <row r="24" spans="1:5" x14ac:dyDescent="0.25">
      <c r="A24">
        <v>170</v>
      </c>
      <c r="B24">
        <v>157</v>
      </c>
      <c r="C24">
        <v>23</v>
      </c>
      <c r="D24" s="215">
        <v>34150</v>
      </c>
      <c r="E24" s="215">
        <v>56449.92207742024</v>
      </c>
    </row>
    <row r="25" spans="1:5" x14ac:dyDescent="0.25">
      <c r="A25">
        <v>163</v>
      </c>
      <c r="B25">
        <v>173</v>
      </c>
      <c r="C25">
        <v>24</v>
      </c>
      <c r="D25" s="215">
        <v>34150</v>
      </c>
      <c r="E25" s="215">
        <v>56449.92207742024</v>
      </c>
    </row>
    <row r="26" spans="1:5" x14ac:dyDescent="0.25">
      <c r="A26">
        <v>155</v>
      </c>
      <c r="B26">
        <v>157</v>
      </c>
      <c r="C26">
        <v>25</v>
      </c>
      <c r="D26" s="215">
        <v>3050</v>
      </c>
      <c r="E26" s="215">
        <v>4900</v>
      </c>
    </row>
    <row r="27" spans="1:5" x14ac:dyDescent="0.25">
      <c r="A27">
        <v>163</v>
      </c>
      <c r="B27">
        <v>159</v>
      </c>
      <c r="C27">
        <v>26</v>
      </c>
      <c r="D27" s="215">
        <v>3050</v>
      </c>
      <c r="E27" s="215">
        <v>4900</v>
      </c>
    </row>
    <row r="28" spans="1:5" x14ac:dyDescent="0.25">
      <c r="A28">
        <v>157</v>
      </c>
      <c r="B28">
        <v>285</v>
      </c>
      <c r="C28">
        <v>27</v>
      </c>
      <c r="D28" s="215">
        <v>37200</v>
      </c>
      <c r="E28" s="215">
        <v>61350</v>
      </c>
    </row>
    <row r="29" spans="1:5" x14ac:dyDescent="0.25">
      <c r="A29">
        <v>286</v>
      </c>
      <c r="B29">
        <v>158</v>
      </c>
      <c r="C29">
        <v>28</v>
      </c>
      <c r="D29" s="215">
        <v>37200</v>
      </c>
      <c r="E29" s="215">
        <v>61350</v>
      </c>
    </row>
    <row r="30" spans="1:5" x14ac:dyDescent="0.25">
      <c r="A30">
        <v>156</v>
      </c>
      <c r="B30">
        <v>281</v>
      </c>
      <c r="C30">
        <v>29</v>
      </c>
      <c r="D30" s="215">
        <v>3750</v>
      </c>
      <c r="E30" s="215">
        <v>11000</v>
      </c>
    </row>
    <row r="31" spans="1:5" x14ac:dyDescent="0.25">
      <c r="A31">
        <v>153</v>
      </c>
      <c r="B31">
        <v>160</v>
      </c>
      <c r="C31">
        <v>30</v>
      </c>
      <c r="D31" s="215">
        <v>3750</v>
      </c>
      <c r="E31" s="215">
        <v>11000</v>
      </c>
    </row>
    <row r="32" spans="1:5" x14ac:dyDescent="0.25">
      <c r="A32">
        <v>140</v>
      </c>
      <c r="B32">
        <v>138</v>
      </c>
      <c r="C32">
        <v>31</v>
      </c>
      <c r="D32" s="215">
        <v>9200</v>
      </c>
      <c r="E32" s="215">
        <v>13900</v>
      </c>
    </row>
    <row r="33" spans="1:5" x14ac:dyDescent="0.25">
      <c r="A33">
        <v>139</v>
      </c>
      <c r="B33">
        <v>141</v>
      </c>
      <c r="C33">
        <v>32</v>
      </c>
      <c r="D33" s="215">
        <v>9200</v>
      </c>
      <c r="E33" s="215">
        <v>13900</v>
      </c>
    </row>
    <row r="34" spans="1:5" x14ac:dyDescent="0.25">
      <c r="A34">
        <v>136</v>
      </c>
      <c r="B34">
        <v>134</v>
      </c>
      <c r="C34">
        <v>33</v>
      </c>
      <c r="D34" s="215">
        <v>42650</v>
      </c>
      <c r="E34" s="215">
        <v>64250</v>
      </c>
    </row>
    <row r="35" spans="1:5" x14ac:dyDescent="0.25">
      <c r="A35">
        <v>135</v>
      </c>
      <c r="B35">
        <v>137</v>
      </c>
      <c r="C35">
        <v>34</v>
      </c>
      <c r="D35" s="215">
        <v>42650</v>
      </c>
      <c r="E35" s="215">
        <v>64250</v>
      </c>
    </row>
    <row r="36" spans="1:5" x14ac:dyDescent="0.25">
      <c r="A36">
        <v>134</v>
      </c>
      <c r="B36">
        <v>130</v>
      </c>
      <c r="C36">
        <v>35</v>
      </c>
      <c r="D36" s="215">
        <v>5350</v>
      </c>
      <c r="E36" s="215">
        <v>8800</v>
      </c>
    </row>
    <row r="37" spans="1:5" x14ac:dyDescent="0.25">
      <c r="A37">
        <v>133</v>
      </c>
      <c r="B37">
        <v>316</v>
      </c>
      <c r="C37">
        <v>36</v>
      </c>
      <c r="D37" s="215">
        <v>5350</v>
      </c>
      <c r="E37" s="215">
        <v>8800</v>
      </c>
    </row>
    <row r="38" spans="1:5" x14ac:dyDescent="0.25">
      <c r="A38">
        <v>127</v>
      </c>
      <c r="B38">
        <v>126</v>
      </c>
      <c r="C38">
        <v>37</v>
      </c>
      <c r="D38" s="215">
        <v>4500</v>
      </c>
      <c r="E38" s="215">
        <v>8850</v>
      </c>
    </row>
    <row r="39" spans="1:5" x14ac:dyDescent="0.25">
      <c r="A39">
        <v>125</v>
      </c>
      <c r="B39">
        <v>128</v>
      </c>
      <c r="C39">
        <v>38</v>
      </c>
      <c r="D39" s="215">
        <v>4500</v>
      </c>
      <c r="E39" s="215">
        <v>8850</v>
      </c>
    </row>
    <row r="40" spans="1:5" x14ac:dyDescent="0.25">
      <c r="A40">
        <v>123</v>
      </c>
      <c r="B40">
        <v>120</v>
      </c>
      <c r="C40">
        <v>39</v>
      </c>
      <c r="D40" s="215">
        <v>41800</v>
      </c>
      <c r="E40" s="215">
        <v>64300</v>
      </c>
    </row>
    <row r="41" spans="1:5" x14ac:dyDescent="0.25">
      <c r="A41">
        <v>119</v>
      </c>
      <c r="B41">
        <v>122</v>
      </c>
      <c r="C41">
        <v>40</v>
      </c>
      <c r="D41" s="215">
        <v>41800</v>
      </c>
      <c r="E41" s="215">
        <v>64300</v>
      </c>
    </row>
    <row r="42" spans="1:5" x14ac:dyDescent="0.25">
      <c r="A42">
        <v>120</v>
      </c>
      <c r="B42">
        <v>118</v>
      </c>
      <c r="C42">
        <v>41</v>
      </c>
      <c r="D42" s="215">
        <v>1850</v>
      </c>
      <c r="E42" s="215">
        <v>2950</v>
      </c>
    </row>
    <row r="43" spans="1:5" x14ac:dyDescent="0.25">
      <c r="A43">
        <v>115</v>
      </c>
      <c r="B43">
        <v>119</v>
      </c>
      <c r="C43">
        <v>42</v>
      </c>
      <c r="D43" s="215">
        <v>1850</v>
      </c>
      <c r="E43" s="215">
        <v>2950</v>
      </c>
    </row>
    <row r="44" spans="1:5" x14ac:dyDescent="0.25">
      <c r="A44">
        <v>322</v>
      </c>
      <c r="B44">
        <v>111</v>
      </c>
      <c r="C44">
        <v>43</v>
      </c>
      <c r="D44" s="215">
        <v>39950</v>
      </c>
      <c r="E44" s="215">
        <v>61350</v>
      </c>
    </row>
    <row r="45" spans="1:5" x14ac:dyDescent="0.25">
      <c r="A45">
        <v>108</v>
      </c>
      <c r="B45">
        <v>237</v>
      </c>
      <c r="C45">
        <v>44</v>
      </c>
      <c r="D45" s="215">
        <v>39950</v>
      </c>
      <c r="E45" s="215">
        <v>61350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I39"/>
  <sheetViews>
    <sheetView topLeftCell="B1" zoomScale="70" zoomScaleNormal="70" workbookViewId="0">
      <selection activeCell="AK40" sqref="AK40"/>
    </sheetView>
  </sheetViews>
  <sheetFormatPr defaultRowHeight="15" x14ac:dyDescent="0.25"/>
  <cols>
    <col min="1" max="1" width="43" bestFit="1" customWidth="1"/>
    <col min="2" max="2" width="4.7109375" customWidth="1"/>
    <col min="3" max="3" width="4.28515625" customWidth="1"/>
    <col min="4" max="4" width="5.140625" customWidth="1"/>
    <col min="5" max="5" width="3.42578125" customWidth="1"/>
    <col min="10" max="10" width="9.140625" style="400"/>
    <col min="35" max="35" width="9.5703125" style="400" bestFit="1" customWidth="1"/>
  </cols>
  <sheetData>
    <row r="4" spans="1:35" ht="20.25" x14ac:dyDescent="0.3">
      <c r="A4" s="79"/>
      <c r="B4" s="80"/>
      <c r="C4" s="79"/>
      <c r="D4" s="79"/>
      <c r="E4" s="79"/>
      <c r="F4" s="81">
        <v>2016</v>
      </c>
      <c r="G4" s="81">
        <v>2017</v>
      </c>
      <c r="H4" s="81">
        <v>2018</v>
      </c>
      <c r="I4" s="81">
        <v>2019</v>
      </c>
      <c r="J4" s="396">
        <v>2020</v>
      </c>
      <c r="K4" s="81">
        <v>2021</v>
      </c>
      <c r="L4" s="81">
        <v>2022</v>
      </c>
      <c r="M4" s="81">
        <v>2023</v>
      </c>
      <c r="N4" s="81">
        <v>2024</v>
      </c>
      <c r="O4" s="81">
        <v>2025</v>
      </c>
      <c r="P4" s="81">
        <v>2026</v>
      </c>
      <c r="Q4" s="81">
        <v>2027</v>
      </c>
      <c r="R4" s="81">
        <v>2028</v>
      </c>
      <c r="S4" s="81">
        <v>2029</v>
      </c>
      <c r="T4" s="81">
        <v>2030</v>
      </c>
      <c r="U4" s="81">
        <v>2031</v>
      </c>
      <c r="V4" s="81">
        <v>2032</v>
      </c>
      <c r="W4" s="81">
        <v>2033</v>
      </c>
      <c r="X4" s="81">
        <v>2034</v>
      </c>
      <c r="Y4" s="81">
        <v>2035</v>
      </c>
      <c r="Z4" s="81">
        <v>2036</v>
      </c>
      <c r="AA4" s="81">
        <v>2037</v>
      </c>
      <c r="AB4" s="81">
        <v>2038</v>
      </c>
      <c r="AC4" s="81">
        <v>2039</v>
      </c>
      <c r="AD4" s="81">
        <v>2040</v>
      </c>
      <c r="AE4" s="81">
        <v>2041</v>
      </c>
      <c r="AF4" s="81">
        <v>2042</v>
      </c>
      <c r="AG4" s="81">
        <v>2043</v>
      </c>
      <c r="AH4" s="81">
        <v>2044</v>
      </c>
      <c r="AI4" s="396">
        <v>2045</v>
      </c>
    </row>
    <row r="5" spans="1:35" ht="21" thickBot="1" x14ac:dyDescent="0.35">
      <c r="A5" s="82" t="s">
        <v>26</v>
      </c>
      <c r="B5" s="83"/>
      <c r="C5" s="82"/>
      <c r="D5" s="82"/>
      <c r="E5" s="82"/>
      <c r="F5" s="84" t="s">
        <v>27</v>
      </c>
      <c r="G5" s="84" t="s">
        <v>27</v>
      </c>
      <c r="H5" s="84" t="s">
        <v>27</v>
      </c>
      <c r="I5" s="84" t="s">
        <v>27</v>
      </c>
      <c r="J5" s="397" t="s">
        <v>27</v>
      </c>
      <c r="K5" s="84" t="s">
        <v>27</v>
      </c>
      <c r="L5" s="84" t="s">
        <v>27</v>
      </c>
      <c r="M5" s="84" t="s">
        <v>27</v>
      </c>
      <c r="N5" s="84" t="s">
        <v>27</v>
      </c>
      <c r="O5" s="84" t="s">
        <v>27</v>
      </c>
      <c r="P5" s="84" t="s">
        <v>27</v>
      </c>
      <c r="Q5" s="84" t="s">
        <v>27</v>
      </c>
      <c r="R5" s="84" t="s">
        <v>27</v>
      </c>
      <c r="S5" s="84" t="s">
        <v>27</v>
      </c>
      <c r="T5" s="84" t="s">
        <v>27</v>
      </c>
      <c r="U5" s="84" t="s">
        <v>27</v>
      </c>
      <c r="V5" s="84" t="s">
        <v>27</v>
      </c>
      <c r="W5" s="84" t="s">
        <v>27</v>
      </c>
      <c r="X5" s="84" t="s">
        <v>27</v>
      </c>
      <c r="Y5" s="84" t="s">
        <v>27</v>
      </c>
      <c r="Z5" s="84" t="s">
        <v>27</v>
      </c>
      <c r="AA5" s="84" t="s">
        <v>27</v>
      </c>
      <c r="AB5" s="84" t="s">
        <v>27</v>
      </c>
      <c r="AC5" s="84" t="s">
        <v>27</v>
      </c>
      <c r="AD5" s="84" t="s">
        <v>27</v>
      </c>
      <c r="AE5" s="84" t="s">
        <v>27</v>
      </c>
      <c r="AF5" s="84" t="s">
        <v>27</v>
      </c>
      <c r="AG5" s="84" t="s">
        <v>27</v>
      </c>
      <c r="AH5" s="84" t="s">
        <v>27</v>
      </c>
      <c r="AI5" s="397" t="s">
        <v>27</v>
      </c>
    </row>
    <row r="6" spans="1:35" ht="16.5" thickTop="1" x14ac:dyDescent="0.25">
      <c r="A6" s="85"/>
      <c r="B6" s="85"/>
      <c r="C6" s="85"/>
      <c r="D6" s="85"/>
      <c r="E6" s="85"/>
      <c r="F6" s="86"/>
      <c r="G6" s="86"/>
      <c r="H6" s="86"/>
      <c r="I6" s="86"/>
      <c r="J6" s="398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398"/>
    </row>
    <row r="7" spans="1:35" ht="20.25" x14ac:dyDescent="0.3">
      <c r="A7" s="87" t="s">
        <v>28</v>
      </c>
      <c r="B7" s="85"/>
      <c r="C7" s="85"/>
      <c r="D7" s="85"/>
      <c r="E7" s="85"/>
      <c r="F7" s="86"/>
      <c r="G7" s="86"/>
      <c r="H7" s="86"/>
      <c r="I7" s="86"/>
      <c r="J7" s="398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398"/>
    </row>
    <row r="8" spans="1:35" ht="16.5" thickBot="1" x14ac:dyDescent="0.3">
      <c r="A8" s="85"/>
      <c r="B8" s="88"/>
      <c r="C8" s="88"/>
      <c r="D8" s="88"/>
      <c r="E8" s="88"/>
      <c r="F8" s="86"/>
      <c r="G8" s="86"/>
      <c r="H8" s="86"/>
      <c r="I8" s="86"/>
      <c r="J8" s="398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398"/>
    </row>
    <row r="9" spans="1:35" ht="16.5" thickTop="1" x14ac:dyDescent="0.25">
      <c r="A9" s="4" t="s">
        <v>8</v>
      </c>
      <c r="B9" s="27"/>
      <c r="C9" s="28"/>
      <c r="D9" s="29"/>
      <c r="E9" s="30"/>
      <c r="F9" s="89">
        <v>10700</v>
      </c>
      <c r="G9" s="89">
        <v>11100</v>
      </c>
      <c r="H9" s="89">
        <v>12600</v>
      </c>
      <c r="I9" s="89">
        <v>13200</v>
      </c>
      <c r="J9" s="399">
        <v>13800</v>
      </c>
      <c r="K9" s="89">
        <v>14200</v>
      </c>
      <c r="L9" s="89">
        <v>14700</v>
      </c>
      <c r="M9" s="89">
        <v>15100</v>
      </c>
      <c r="N9" s="89">
        <v>15600</v>
      </c>
      <c r="O9" s="89">
        <v>16100</v>
      </c>
      <c r="P9" s="89">
        <v>16500</v>
      </c>
      <c r="Q9" s="89">
        <v>17000</v>
      </c>
      <c r="R9" s="89">
        <v>17400</v>
      </c>
      <c r="S9" s="89">
        <v>17900</v>
      </c>
      <c r="T9" s="89">
        <v>18400</v>
      </c>
      <c r="U9" s="89">
        <v>18800</v>
      </c>
      <c r="V9" s="89">
        <v>19200</v>
      </c>
      <c r="W9" s="89">
        <v>19600</v>
      </c>
      <c r="X9" s="89">
        <v>20000</v>
      </c>
      <c r="Y9" s="89">
        <v>20400</v>
      </c>
      <c r="Z9" s="89">
        <v>20800</v>
      </c>
      <c r="AA9" s="89">
        <v>21200</v>
      </c>
      <c r="AB9" s="89">
        <v>21400</v>
      </c>
      <c r="AC9" s="89">
        <v>21800</v>
      </c>
      <c r="AD9" s="89">
        <v>22200</v>
      </c>
      <c r="AE9" s="89">
        <v>22600</v>
      </c>
      <c r="AF9" s="89">
        <v>22900</v>
      </c>
      <c r="AG9" s="89">
        <v>23300</v>
      </c>
      <c r="AH9" s="89">
        <v>23600</v>
      </c>
      <c r="AI9" s="399">
        <v>24000</v>
      </c>
    </row>
    <row r="10" spans="1:35" ht="16.5" thickBot="1" x14ac:dyDescent="0.3">
      <c r="B10" s="34"/>
      <c r="C10" s="35"/>
      <c r="D10" s="34"/>
      <c r="E10" s="34"/>
      <c r="F10" s="89"/>
      <c r="G10" s="89"/>
      <c r="H10" s="89"/>
      <c r="I10" s="89"/>
      <c r="J10" s="39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399"/>
    </row>
    <row r="11" spans="1:35" ht="16.5" thickTop="1" x14ac:dyDescent="0.25">
      <c r="A11" s="5" t="s">
        <v>9</v>
      </c>
      <c r="B11" s="27"/>
      <c r="C11" s="38"/>
      <c r="D11" s="39"/>
      <c r="E11" s="30"/>
      <c r="F11" s="89">
        <v>40000</v>
      </c>
      <c r="G11" s="89">
        <v>41800</v>
      </c>
      <c r="H11" s="89">
        <v>43600</v>
      </c>
      <c r="I11" s="89">
        <v>45500</v>
      </c>
      <c r="J11" s="399">
        <v>47500</v>
      </c>
      <c r="K11" s="89">
        <v>49000</v>
      </c>
      <c r="L11" s="89">
        <v>50500</v>
      </c>
      <c r="M11" s="89">
        <v>52100</v>
      </c>
      <c r="N11" s="89">
        <v>53700</v>
      </c>
      <c r="O11" s="89">
        <v>55400</v>
      </c>
      <c r="P11" s="89">
        <v>56900</v>
      </c>
      <c r="Q11" s="89">
        <v>58400</v>
      </c>
      <c r="R11" s="89">
        <v>60000</v>
      </c>
      <c r="S11" s="89">
        <v>61600</v>
      </c>
      <c r="T11" s="89">
        <v>63200</v>
      </c>
      <c r="U11" s="90">
        <v>64600</v>
      </c>
      <c r="V11" s="90">
        <v>66000</v>
      </c>
      <c r="W11" s="90">
        <v>67400</v>
      </c>
      <c r="X11" s="90">
        <v>68800</v>
      </c>
      <c r="Y11" s="90">
        <v>70200</v>
      </c>
      <c r="Z11" s="90">
        <v>71500</v>
      </c>
      <c r="AA11" s="90">
        <v>72800</v>
      </c>
      <c r="AB11" s="90">
        <v>74200</v>
      </c>
      <c r="AC11" s="90">
        <v>75500</v>
      </c>
      <c r="AD11" s="91">
        <v>76800</v>
      </c>
      <c r="AE11" s="91">
        <v>78000</v>
      </c>
      <c r="AF11" s="91">
        <v>79200</v>
      </c>
      <c r="AG11" s="91">
        <v>80400</v>
      </c>
      <c r="AH11" s="91">
        <v>81600</v>
      </c>
      <c r="AI11" s="405">
        <v>82800</v>
      </c>
    </row>
    <row r="12" spans="1:35" ht="15.75" x14ac:dyDescent="0.25">
      <c r="A12" s="42"/>
      <c r="B12" s="24"/>
      <c r="C12" s="43"/>
      <c r="D12" s="5"/>
      <c r="E12" s="5"/>
      <c r="F12" s="89">
        <v>50700</v>
      </c>
      <c r="G12" s="89">
        <v>52900</v>
      </c>
      <c r="H12" s="89">
        <v>56200</v>
      </c>
      <c r="I12" s="89">
        <v>58700</v>
      </c>
      <c r="J12" s="399">
        <v>61300</v>
      </c>
      <c r="K12" s="89">
        <v>63200</v>
      </c>
      <c r="L12" s="89">
        <v>65200</v>
      </c>
      <c r="M12" s="89">
        <v>67200</v>
      </c>
      <c r="N12" s="89">
        <v>69300</v>
      </c>
      <c r="O12" s="89">
        <v>71500</v>
      </c>
      <c r="P12" s="89">
        <v>73400</v>
      </c>
      <c r="Q12" s="89">
        <v>75400</v>
      </c>
      <c r="R12" s="89">
        <v>77400</v>
      </c>
      <c r="S12" s="89">
        <v>79500</v>
      </c>
      <c r="T12" s="89">
        <v>81600</v>
      </c>
      <c r="U12" s="90">
        <v>83400</v>
      </c>
      <c r="V12" s="90">
        <v>85200</v>
      </c>
      <c r="W12" s="90">
        <v>87000</v>
      </c>
      <c r="X12" s="90">
        <v>88800</v>
      </c>
      <c r="Y12" s="90">
        <v>90600</v>
      </c>
      <c r="Z12" s="90">
        <v>92300</v>
      </c>
      <c r="AA12" s="90">
        <v>94000</v>
      </c>
      <c r="AB12" s="90">
        <v>95600</v>
      </c>
      <c r="AC12" s="90">
        <v>97300</v>
      </c>
      <c r="AD12" s="91">
        <v>99000</v>
      </c>
      <c r="AE12" s="91">
        <v>100600</v>
      </c>
      <c r="AF12" s="91">
        <v>102100</v>
      </c>
      <c r="AG12" s="91">
        <v>103700</v>
      </c>
      <c r="AH12" s="91">
        <v>105200</v>
      </c>
      <c r="AI12" s="405">
        <v>106800</v>
      </c>
    </row>
    <row r="13" spans="1:35" ht="16.5" thickBot="1" x14ac:dyDescent="0.3">
      <c r="A13" s="4" t="s">
        <v>10</v>
      </c>
      <c r="B13" s="46"/>
      <c r="C13" s="47"/>
      <c r="D13" s="48"/>
      <c r="E13" s="49"/>
      <c r="F13" s="89">
        <v>4500</v>
      </c>
      <c r="G13" s="89">
        <v>4700</v>
      </c>
      <c r="H13" s="89">
        <v>5700</v>
      </c>
      <c r="I13" s="89">
        <v>5900</v>
      </c>
      <c r="J13" s="399">
        <v>6200</v>
      </c>
      <c r="K13" s="89">
        <v>6400</v>
      </c>
      <c r="L13" s="89">
        <v>6600</v>
      </c>
      <c r="M13" s="89">
        <v>6800</v>
      </c>
      <c r="N13" s="89">
        <v>7000</v>
      </c>
      <c r="O13" s="89">
        <v>7200</v>
      </c>
      <c r="P13" s="89">
        <v>7400</v>
      </c>
      <c r="Q13" s="89">
        <v>7600</v>
      </c>
      <c r="R13" s="89">
        <v>7800</v>
      </c>
      <c r="S13" s="89">
        <v>8000</v>
      </c>
      <c r="T13" s="89">
        <v>8200</v>
      </c>
      <c r="U13" s="90">
        <v>8400</v>
      </c>
      <c r="V13" s="90">
        <v>8600</v>
      </c>
      <c r="W13" s="90">
        <v>8800</v>
      </c>
      <c r="X13" s="90">
        <v>9000</v>
      </c>
      <c r="Y13" s="90">
        <v>9200</v>
      </c>
      <c r="Z13" s="90">
        <v>9400</v>
      </c>
      <c r="AA13" s="90">
        <v>9600</v>
      </c>
      <c r="AB13" s="90">
        <v>9800</v>
      </c>
      <c r="AC13" s="90">
        <v>10000</v>
      </c>
      <c r="AD13" s="91">
        <v>10200</v>
      </c>
      <c r="AE13" s="91">
        <v>10500</v>
      </c>
      <c r="AF13" s="91">
        <v>10900</v>
      </c>
      <c r="AG13" s="91">
        <v>11200</v>
      </c>
      <c r="AH13" s="91">
        <v>11600</v>
      </c>
      <c r="AI13" s="405">
        <v>11900</v>
      </c>
    </row>
    <row r="14" spans="1:35" ht="16.5" thickTop="1" x14ac:dyDescent="0.25">
      <c r="A14" s="4"/>
      <c r="B14" s="51"/>
      <c r="C14" s="38"/>
      <c r="D14" s="39"/>
      <c r="E14" s="52"/>
      <c r="F14" s="89">
        <v>3300</v>
      </c>
      <c r="G14" s="89">
        <v>3500</v>
      </c>
      <c r="H14" s="89">
        <v>3800</v>
      </c>
      <c r="I14" s="89">
        <v>3900</v>
      </c>
      <c r="J14" s="399">
        <v>4100</v>
      </c>
      <c r="K14" s="89">
        <v>4200</v>
      </c>
      <c r="L14" s="89">
        <v>4300</v>
      </c>
      <c r="M14" s="89">
        <v>4500</v>
      </c>
      <c r="N14" s="89">
        <v>4600</v>
      </c>
      <c r="O14" s="89">
        <v>4700</v>
      </c>
      <c r="P14" s="89">
        <v>4800</v>
      </c>
      <c r="Q14" s="89">
        <v>4900</v>
      </c>
      <c r="R14" s="89">
        <v>5000</v>
      </c>
      <c r="S14" s="89">
        <v>5100</v>
      </c>
      <c r="T14" s="89">
        <v>5200</v>
      </c>
      <c r="U14" s="86">
        <v>5300</v>
      </c>
      <c r="V14" s="86">
        <v>5500</v>
      </c>
      <c r="W14" s="86">
        <v>5600</v>
      </c>
      <c r="X14" s="86">
        <v>5800</v>
      </c>
      <c r="Y14" s="86">
        <v>5900</v>
      </c>
      <c r="Z14" s="86">
        <v>6000</v>
      </c>
      <c r="AA14" s="86">
        <v>6200</v>
      </c>
      <c r="AB14" s="86">
        <v>6400</v>
      </c>
      <c r="AC14" s="86">
        <v>6600</v>
      </c>
      <c r="AD14" s="86">
        <v>6700</v>
      </c>
      <c r="AE14" s="86">
        <v>6900</v>
      </c>
      <c r="AF14" s="86">
        <v>7300</v>
      </c>
      <c r="AG14" s="86">
        <v>7500</v>
      </c>
      <c r="AH14" s="86">
        <v>7900</v>
      </c>
      <c r="AI14" s="398">
        <v>8100</v>
      </c>
    </row>
    <row r="15" spans="1:35" ht="15.75" x14ac:dyDescent="0.25">
      <c r="A15" s="4"/>
      <c r="B15" s="24"/>
      <c r="C15" s="43"/>
      <c r="D15" s="5"/>
      <c r="E15" s="5"/>
      <c r="F15" s="89"/>
      <c r="G15" s="89"/>
      <c r="H15" s="89"/>
      <c r="I15" s="89"/>
      <c r="J15" s="399"/>
      <c r="K15" s="89"/>
      <c r="L15" s="89"/>
      <c r="M15" s="89"/>
      <c r="N15" s="89"/>
      <c r="O15" s="89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398"/>
    </row>
    <row r="16" spans="1:35" s="125" customFormat="1" ht="15.75" x14ac:dyDescent="0.25">
      <c r="A16" s="126" t="s">
        <v>11</v>
      </c>
      <c r="B16" s="128"/>
      <c r="C16" s="129"/>
      <c r="D16" s="130"/>
      <c r="E16" s="130"/>
      <c r="F16" s="401">
        <v>49500</v>
      </c>
      <c r="G16" s="401">
        <v>51700</v>
      </c>
      <c r="H16" s="401">
        <v>54300</v>
      </c>
      <c r="I16" s="401">
        <v>56700</v>
      </c>
      <c r="J16" s="402">
        <v>59200</v>
      </c>
      <c r="K16" s="401">
        <v>61000</v>
      </c>
      <c r="L16" s="401">
        <v>62900</v>
      </c>
      <c r="M16" s="401">
        <v>64900</v>
      </c>
      <c r="N16" s="401">
        <v>66900</v>
      </c>
      <c r="O16" s="401">
        <v>69000</v>
      </c>
      <c r="P16" s="401">
        <v>70800</v>
      </c>
      <c r="Q16" s="401">
        <v>72700</v>
      </c>
      <c r="R16" s="401">
        <v>74600</v>
      </c>
      <c r="S16" s="401">
        <v>76600</v>
      </c>
      <c r="T16" s="401">
        <v>78600</v>
      </c>
      <c r="U16" s="403">
        <v>80300</v>
      </c>
      <c r="V16" s="403">
        <v>82100</v>
      </c>
      <c r="W16" s="403">
        <v>83800</v>
      </c>
      <c r="X16" s="403">
        <v>85600</v>
      </c>
      <c r="Y16" s="403">
        <v>87300</v>
      </c>
      <c r="Z16" s="403">
        <v>88900</v>
      </c>
      <c r="AA16" s="403">
        <v>90600</v>
      </c>
      <c r="AB16" s="403">
        <v>92200</v>
      </c>
      <c r="AC16" s="403">
        <v>93900</v>
      </c>
      <c r="AD16" s="404">
        <v>95500</v>
      </c>
      <c r="AE16" s="404">
        <v>97000</v>
      </c>
      <c r="AF16" s="404">
        <v>98500</v>
      </c>
      <c r="AG16" s="404">
        <v>100000</v>
      </c>
      <c r="AH16" s="404">
        <v>101500</v>
      </c>
      <c r="AI16" s="406">
        <v>103000</v>
      </c>
    </row>
    <row r="17" spans="1:35" ht="15.75" x14ac:dyDescent="0.25">
      <c r="A17" s="4"/>
      <c r="B17" s="51"/>
      <c r="C17" s="55"/>
      <c r="D17" s="56"/>
      <c r="E17" s="56"/>
      <c r="F17" s="89"/>
      <c r="G17" s="89"/>
      <c r="H17" s="89"/>
      <c r="I17" s="89"/>
      <c r="J17" s="399"/>
      <c r="K17" s="89"/>
      <c r="L17" s="89"/>
      <c r="M17" s="89"/>
      <c r="N17" s="89"/>
      <c r="O17" s="89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398"/>
    </row>
    <row r="18" spans="1:35" ht="16.5" thickBot="1" x14ac:dyDescent="0.3">
      <c r="A18" s="4" t="s">
        <v>12</v>
      </c>
      <c r="B18" s="46"/>
      <c r="C18" s="47"/>
      <c r="D18" s="48"/>
      <c r="E18" s="49"/>
      <c r="F18" s="89">
        <v>4400</v>
      </c>
      <c r="G18" s="89">
        <v>4600</v>
      </c>
      <c r="H18" s="89">
        <v>5100</v>
      </c>
      <c r="I18" s="89">
        <v>5300</v>
      </c>
      <c r="J18" s="399">
        <v>5500</v>
      </c>
      <c r="K18" s="89">
        <v>5700</v>
      </c>
      <c r="L18" s="89">
        <v>5900</v>
      </c>
      <c r="M18" s="89">
        <v>6100</v>
      </c>
      <c r="N18" s="89">
        <v>6300</v>
      </c>
      <c r="O18" s="89">
        <v>6500</v>
      </c>
      <c r="P18" s="89">
        <v>6700</v>
      </c>
      <c r="Q18" s="89">
        <v>6900</v>
      </c>
      <c r="R18" s="89">
        <v>7100</v>
      </c>
      <c r="S18" s="89">
        <v>7300</v>
      </c>
      <c r="T18" s="89">
        <v>7500</v>
      </c>
      <c r="U18" s="90">
        <v>7700</v>
      </c>
      <c r="V18" s="90">
        <v>7900</v>
      </c>
      <c r="W18" s="90">
        <v>8100</v>
      </c>
      <c r="X18" s="90">
        <v>8300</v>
      </c>
      <c r="Y18" s="90">
        <v>8500</v>
      </c>
      <c r="Z18" s="90">
        <v>8700</v>
      </c>
      <c r="AA18" s="90">
        <v>8900</v>
      </c>
      <c r="AB18" s="90">
        <v>9100</v>
      </c>
      <c r="AC18" s="90">
        <v>9300</v>
      </c>
      <c r="AD18" s="91">
        <v>9500</v>
      </c>
      <c r="AE18" s="91">
        <v>9600</v>
      </c>
      <c r="AF18" s="91">
        <v>9700</v>
      </c>
      <c r="AG18" s="91">
        <v>9900</v>
      </c>
      <c r="AH18" s="91">
        <v>10000</v>
      </c>
      <c r="AI18" s="405">
        <v>10100</v>
      </c>
    </row>
    <row r="19" spans="1:35" ht="16.5" thickTop="1" x14ac:dyDescent="0.25">
      <c r="A19" s="4"/>
      <c r="B19" s="51"/>
      <c r="C19" s="38"/>
      <c r="D19" s="39"/>
      <c r="E19" s="52"/>
      <c r="F19" s="89">
        <v>9600</v>
      </c>
      <c r="G19" s="89">
        <v>10000</v>
      </c>
      <c r="H19" s="89">
        <v>11300</v>
      </c>
      <c r="I19" s="89">
        <v>11700</v>
      </c>
      <c r="J19" s="399">
        <v>12200</v>
      </c>
      <c r="K19" s="89">
        <v>12700</v>
      </c>
      <c r="L19" s="89">
        <v>13100</v>
      </c>
      <c r="M19" s="89">
        <v>13500</v>
      </c>
      <c r="N19" s="89">
        <v>14000</v>
      </c>
      <c r="O19" s="89">
        <v>14400</v>
      </c>
      <c r="P19" s="89">
        <v>14800</v>
      </c>
      <c r="Q19" s="89">
        <v>15200</v>
      </c>
      <c r="R19" s="89">
        <v>15700</v>
      </c>
      <c r="S19" s="89">
        <v>16100</v>
      </c>
      <c r="T19" s="89">
        <v>16200</v>
      </c>
      <c r="U19" s="86">
        <v>16300</v>
      </c>
      <c r="V19" s="86">
        <v>16400</v>
      </c>
      <c r="W19" s="86">
        <v>16500</v>
      </c>
      <c r="X19" s="86">
        <v>16600</v>
      </c>
      <c r="Y19" s="86">
        <v>16700</v>
      </c>
      <c r="Z19" s="86">
        <v>16800</v>
      </c>
      <c r="AA19" s="86">
        <v>16800</v>
      </c>
      <c r="AB19" s="86">
        <v>16900</v>
      </c>
      <c r="AC19" s="86">
        <v>16900</v>
      </c>
      <c r="AD19" s="86">
        <v>17000</v>
      </c>
      <c r="AE19" s="86">
        <v>17100</v>
      </c>
      <c r="AF19" s="86">
        <v>17200</v>
      </c>
      <c r="AG19" s="86">
        <v>17300</v>
      </c>
      <c r="AH19" s="86">
        <v>17400</v>
      </c>
      <c r="AI19" s="398">
        <v>17500</v>
      </c>
    </row>
    <row r="20" spans="1:35" ht="15.75" x14ac:dyDescent="0.25">
      <c r="A20" s="4"/>
      <c r="B20" s="24"/>
      <c r="C20" s="43"/>
      <c r="D20" s="5"/>
      <c r="E20" s="5"/>
      <c r="F20" s="89">
        <v>54700</v>
      </c>
      <c r="G20" s="89">
        <v>57100</v>
      </c>
      <c r="H20" s="89">
        <v>60500</v>
      </c>
      <c r="I20" s="89">
        <v>63100</v>
      </c>
      <c r="J20" s="399">
        <v>65900</v>
      </c>
      <c r="K20" s="89">
        <v>68000</v>
      </c>
      <c r="L20" s="89">
        <v>70100</v>
      </c>
      <c r="M20" s="89">
        <v>72300</v>
      </c>
      <c r="N20" s="89">
        <v>74600</v>
      </c>
      <c r="O20" s="89">
        <v>76900</v>
      </c>
      <c r="P20" s="89">
        <v>78900</v>
      </c>
      <c r="Q20" s="89">
        <v>81000</v>
      </c>
      <c r="R20" s="89">
        <v>83200</v>
      </c>
      <c r="S20" s="89">
        <v>85400</v>
      </c>
      <c r="T20" s="89">
        <v>87300</v>
      </c>
      <c r="U20" s="90">
        <v>88900</v>
      </c>
      <c r="V20" s="90">
        <v>90600</v>
      </c>
      <c r="W20" s="90">
        <v>92200</v>
      </c>
      <c r="X20" s="90">
        <v>93900</v>
      </c>
      <c r="Y20" s="90">
        <v>95500</v>
      </c>
      <c r="Z20" s="90">
        <v>97000</v>
      </c>
      <c r="AA20" s="90">
        <v>98500</v>
      </c>
      <c r="AB20" s="90">
        <v>100000</v>
      </c>
      <c r="AC20" s="90">
        <v>101500</v>
      </c>
      <c r="AD20" s="91">
        <v>103000</v>
      </c>
      <c r="AE20" s="91">
        <v>104500</v>
      </c>
      <c r="AF20" s="91">
        <v>106000</v>
      </c>
      <c r="AG20" s="91">
        <v>107400</v>
      </c>
      <c r="AH20" s="91">
        <v>108900</v>
      </c>
      <c r="AI20" s="405">
        <v>110400</v>
      </c>
    </row>
    <row r="21" spans="1:35" ht="16.5" thickBot="1" x14ac:dyDescent="0.3">
      <c r="A21" s="4" t="s">
        <v>13</v>
      </c>
      <c r="B21" s="46"/>
      <c r="C21" s="47"/>
      <c r="D21" s="48"/>
      <c r="E21" s="49"/>
      <c r="F21" s="89">
        <v>7100</v>
      </c>
      <c r="G21" s="89">
        <v>7400</v>
      </c>
      <c r="H21" s="89">
        <v>8200</v>
      </c>
      <c r="I21" s="89">
        <v>8600</v>
      </c>
      <c r="J21" s="399">
        <v>9000</v>
      </c>
      <c r="K21" s="89">
        <v>9300</v>
      </c>
      <c r="L21" s="89">
        <v>9600</v>
      </c>
      <c r="M21" s="89">
        <v>9900</v>
      </c>
      <c r="N21" s="89">
        <v>10200</v>
      </c>
      <c r="O21" s="89">
        <v>10500</v>
      </c>
      <c r="P21" s="89">
        <v>10800</v>
      </c>
      <c r="Q21" s="89">
        <v>11100</v>
      </c>
      <c r="R21" s="89">
        <v>11400</v>
      </c>
      <c r="S21" s="89">
        <v>11700</v>
      </c>
      <c r="T21" s="89">
        <v>12000</v>
      </c>
      <c r="U21" s="90">
        <v>12300</v>
      </c>
      <c r="V21" s="90">
        <v>12600</v>
      </c>
      <c r="W21" s="90">
        <v>12900</v>
      </c>
      <c r="X21" s="90">
        <v>13200</v>
      </c>
      <c r="Y21" s="90">
        <v>13500</v>
      </c>
      <c r="Z21" s="90">
        <v>13700</v>
      </c>
      <c r="AA21" s="90">
        <v>14000</v>
      </c>
      <c r="AB21" s="90">
        <v>14200</v>
      </c>
      <c r="AC21" s="90">
        <v>14500</v>
      </c>
      <c r="AD21" s="91">
        <v>14700</v>
      </c>
      <c r="AE21" s="91">
        <v>15200</v>
      </c>
      <c r="AF21" s="91">
        <v>15700</v>
      </c>
      <c r="AG21" s="91">
        <v>16300</v>
      </c>
      <c r="AH21" s="91">
        <v>16800</v>
      </c>
      <c r="AI21" s="405">
        <v>17300</v>
      </c>
    </row>
    <row r="22" spans="1:35" ht="16.5" thickTop="1" x14ac:dyDescent="0.25">
      <c r="A22" s="4"/>
      <c r="B22" s="51"/>
      <c r="C22" s="38"/>
      <c r="D22" s="39"/>
      <c r="E22" s="52"/>
      <c r="F22" s="89">
        <v>6600</v>
      </c>
      <c r="G22" s="89">
        <v>6900</v>
      </c>
      <c r="H22" s="89">
        <v>7800</v>
      </c>
      <c r="I22" s="89">
        <v>8200</v>
      </c>
      <c r="J22" s="399">
        <v>8500</v>
      </c>
      <c r="K22" s="89">
        <v>8700</v>
      </c>
      <c r="L22" s="89">
        <v>9000</v>
      </c>
      <c r="M22" s="89">
        <v>9300</v>
      </c>
      <c r="N22" s="89">
        <v>9500</v>
      </c>
      <c r="O22" s="89">
        <v>9800</v>
      </c>
      <c r="P22" s="89">
        <v>10100</v>
      </c>
      <c r="Q22" s="89">
        <v>10400</v>
      </c>
      <c r="R22" s="89">
        <v>10600</v>
      </c>
      <c r="S22" s="89">
        <v>10900</v>
      </c>
      <c r="T22" s="89">
        <v>11200</v>
      </c>
      <c r="U22" s="86">
        <v>11300</v>
      </c>
      <c r="V22" s="86">
        <v>11400</v>
      </c>
      <c r="W22" s="86">
        <v>11500</v>
      </c>
      <c r="X22" s="86">
        <v>11600</v>
      </c>
      <c r="Y22" s="86">
        <v>11700</v>
      </c>
      <c r="Z22" s="86">
        <v>12000</v>
      </c>
      <c r="AA22" s="86">
        <v>12500</v>
      </c>
      <c r="AB22" s="86">
        <v>12800</v>
      </c>
      <c r="AC22" s="86">
        <v>13300</v>
      </c>
      <c r="AD22" s="86">
        <v>13600</v>
      </c>
      <c r="AE22" s="86">
        <v>14200</v>
      </c>
      <c r="AF22" s="86">
        <v>14700</v>
      </c>
      <c r="AG22" s="86">
        <v>15500</v>
      </c>
      <c r="AH22" s="86">
        <v>16000</v>
      </c>
      <c r="AI22" s="398">
        <v>16600</v>
      </c>
    </row>
    <row r="23" spans="1:35" ht="15.75" x14ac:dyDescent="0.25">
      <c r="A23" s="4"/>
      <c r="B23" s="24"/>
      <c r="C23" s="43"/>
      <c r="D23" s="5"/>
      <c r="E23" s="5"/>
      <c r="F23" s="89">
        <v>54200</v>
      </c>
      <c r="G23" s="89">
        <v>56600</v>
      </c>
      <c r="H23" s="89">
        <v>60100</v>
      </c>
      <c r="I23" s="89">
        <v>62700</v>
      </c>
      <c r="J23" s="399">
        <v>65400</v>
      </c>
      <c r="K23" s="89">
        <v>67400</v>
      </c>
      <c r="L23" s="89">
        <v>69500</v>
      </c>
      <c r="M23" s="89">
        <v>71700</v>
      </c>
      <c r="N23" s="89">
        <v>73900</v>
      </c>
      <c r="O23" s="89">
        <v>76200</v>
      </c>
      <c r="P23" s="89">
        <v>78200</v>
      </c>
      <c r="Q23" s="89">
        <v>80300</v>
      </c>
      <c r="R23" s="89">
        <v>82400</v>
      </c>
      <c r="S23" s="89">
        <v>84600</v>
      </c>
      <c r="T23" s="89">
        <v>86500</v>
      </c>
      <c r="U23" s="90">
        <v>87900</v>
      </c>
      <c r="V23" s="90">
        <v>89400</v>
      </c>
      <c r="W23" s="90">
        <v>90800</v>
      </c>
      <c r="X23" s="90">
        <v>92300</v>
      </c>
      <c r="Y23" s="90">
        <v>93700</v>
      </c>
      <c r="Z23" s="90">
        <v>95300</v>
      </c>
      <c r="AA23" s="90">
        <v>97000</v>
      </c>
      <c r="AB23" s="90">
        <v>98600</v>
      </c>
      <c r="AC23" s="90">
        <v>100300</v>
      </c>
      <c r="AD23" s="91">
        <v>101900</v>
      </c>
      <c r="AE23" s="91">
        <v>103500</v>
      </c>
      <c r="AF23" s="91">
        <v>105000</v>
      </c>
      <c r="AG23" s="91">
        <v>106600</v>
      </c>
      <c r="AH23" s="91">
        <v>108100</v>
      </c>
      <c r="AI23" s="405">
        <v>109700</v>
      </c>
    </row>
    <row r="24" spans="1:35" ht="16.5" thickBot="1" x14ac:dyDescent="0.3">
      <c r="A24" s="4" t="s">
        <v>14</v>
      </c>
      <c r="B24" s="46"/>
      <c r="C24" s="47"/>
      <c r="D24" s="48"/>
      <c r="E24" s="49"/>
      <c r="F24" s="89">
        <v>5000</v>
      </c>
      <c r="G24" s="89">
        <v>5300</v>
      </c>
      <c r="H24" s="89">
        <v>5900</v>
      </c>
      <c r="I24" s="89">
        <v>6200</v>
      </c>
      <c r="J24" s="399">
        <v>6500</v>
      </c>
      <c r="K24" s="89">
        <v>6700</v>
      </c>
      <c r="L24" s="89">
        <v>6900</v>
      </c>
      <c r="M24" s="89">
        <v>7100</v>
      </c>
      <c r="N24" s="89">
        <v>7300</v>
      </c>
      <c r="O24" s="89">
        <v>7500</v>
      </c>
      <c r="P24" s="89">
        <v>7700</v>
      </c>
      <c r="Q24" s="89">
        <v>7900</v>
      </c>
      <c r="R24" s="89">
        <v>8100</v>
      </c>
      <c r="S24" s="89">
        <v>8300</v>
      </c>
      <c r="T24" s="89">
        <v>8500</v>
      </c>
      <c r="U24" s="90">
        <v>8700</v>
      </c>
      <c r="V24" s="90">
        <v>8900</v>
      </c>
      <c r="W24" s="90">
        <v>9100</v>
      </c>
      <c r="X24" s="90">
        <v>9300</v>
      </c>
      <c r="Y24" s="90">
        <v>9500</v>
      </c>
      <c r="Z24" s="90">
        <v>9700</v>
      </c>
      <c r="AA24" s="90">
        <v>9900</v>
      </c>
      <c r="AB24" s="90">
        <v>10100</v>
      </c>
      <c r="AC24" s="90">
        <v>10300</v>
      </c>
      <c r="AD24" s="91">
        <v>10500</v>
      </c>
      <c r="AE24" s="91">
        <v>10700</v>
      </c>
      <c r="AF24" s="91">
        <v>10900</v>
      </c>
      <c r="AG24" s="91">
        <v>11100</v>
      </c>
      <c r="AH24" s="91">
        <v>11300</v>
      </c>
      <c r="AI24" s="405">
        <v>11500</v>
      </c>
    </row>
    <row r="25" spans="1:35" ht="17.25" thickTop="1" thickBot="1" x14ac:dyDescent="0.3">
      <c r="A25" s="4"/>
      <c r="B25" s="59"/>
      <c r="C25" s="60"/>
      <c r="D25" s="59"/>
      <c r="E25" s="59"/>
      <c r="F25" s="89"/>
      <c r="G25" s="89"/>
      <c r="H25" s="89"/>
      <c r="I25" s="89"/>
      <c r="J25" s="399"/>
      <c r="K25" s="89"/>
      <c r="L25" s="89"/>
      <c r="M25" s="89"/>
      <c r="N25" s="89"/>
      <c r="O25" s="89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398"/>
    </row>
    <row r="26" spans="1:35" ht="16.5" thickTop="1" x14ac:dyDescent="0.25">
      <c r="A26" s="4" t="s">
        <v>15</v>
      </c>
      <c r="B26" s="27"/>
      <c r="C26" s="38"/>
      <c r="D26" s="39"/>
      <c r="E26" s="30"/>
      <c r="F26" s="89">
        <v>9000</v>
      </c>
      <c r="G26" s="89">
        <v>9400</v>
      </c>
      <c r="H26" s="89">
        <v>10700</v>
      </c>
      <c r="I26" s="89">
        <v>11200</v>
      </c>
      <c r="J26" s="399">
        <v>11700</v>
      </c>
      <c r="K26" s="89">
        <v>12000</v>
      </c>
      <c r="L26" s="89">
        <v>12300</v>
      </c>
      <c r="M26" s="89">
        <v>12600</v>
      </c>
      <c r="N26" s="89">
        <v>12900</v>
      </c>
      <c r="O26" s="89">
        <v>13200</v>
      </c>
      <c r="P26" s="89">
        <v>13500</v>
      </c>
      <c r="Q26" s="89">
        <v>13700</v>
      </c>
      <c r="R26" s="89">
        <v>14000</v>
      </c>
      <c r="S26" s="89">
        <v>14200</v>
      </c>
      <c r="T26" s="89">
        <v>14800</v>
      </c>
      <c r="U26" s="86">
        <v>15600</v>
      </c>
      <c r="V26" s="86">
        <v>16400</v>
      </c>
      <c r="W26" s="86">
        <v>17200</v>
      </c>
      <c r="X26" s="86">
        <v>18000</v>
      </c>
      <c r="Y26" s="86">
        <v>18800</v>
      </c>
      <c r="Z26" s="86">
        <v>19400</v>
      </c>
      <c r="AA26" s="86">
        <v>19900</v>
      </c>
      <c r="AB26" s="86">
        <v>20400</v>
      </c>
      <c r="AC26" s="86">
        <v>20900</v>
      </c>
      <c r="AD26" s="86">
        <v>21500</v>
      </c>
      <c r="AE26" s="86">
        <v>21900</v>
      </c>
      <c r="AF26" s="86">
        <v>22400</v>
      </c>
      <c r="AG26" s="86">
        <v>22900</v>
      </c>
      <c r="AH26" s="86">
        <v>23400</v>
      </c>
      <c r="AI26" s="398">
        <v>23800</v>
      </c>
    </row>
    <row r="27" spans="1:35" ht="15.75" x14ac:dyDescent="0.25">
      <c r="A27" s="4"/>
      <c r="B27" s="51"/>
      <c r="C27" s="55"/>
      <c r="D27" s="56"/>
      <c r="E27" s="56"/>
      <c r="F27" s="89"/>
      <c r="G27" s="89"/>
      <c r="H27" s="89"/>
      <c r="I27" s="89"/>
      <c r="J27" s="399"/>
      <c r="K27" s="89"/>
      <c r="L27" s="89"/>
      <c r="M27" s="89"/>
      <c r="N27" s="89"/>
      <c r="O27" s="89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1"/>
      <c r="AE27" s="91"/>
      <c r="AF27" s="91"/>
      <c r="AG27" s="91"/>
      <c r="AH27" s="91"/>
      <c r="AI27" s="405"/>
    </row>
    <row r="28" spans="1:35" s="125" customFormat="1" ht="15.75" x14ac:dyDescent="0.25">
      <c r="A28" s="126" t="s">
        <v>16</v>
      </c>
      <c r="B28" s="118"/>
      <c r="C28" s="119"/>
      <c r="D28" s="120"/>
      <c r="E28" s="120"/>
      <c r="F28" s="401">
        <v>58200</v>
      </c>
      <c r="G28" s="401">
        <v>60700</v>
      </c>
      <c r="H28" s="401">
        <v>64900</v>
      </c>
      <c r="I28" s="401">
        <v>67700</v>
      </c>
      <c r="J28" s="402">
        <v>70600</v>
      </c>
      <c r="K28" s="401">
        <v>72700</v>
      </c>
      <c r="L28" s="401">
        <v>74900</v>
      </c>
      <c r="M28" s="401">
        <v>77200</v>
      </c>
      <c r="N28" s="401">
        <v>79500</v>
      </c>
      <c r="O28" s="401">
        <v>81900</v>
      </c>
      <c r="P28" s="401">
        <v>84000</v>
      </c>
      <c r="Q28" s="401">
        <v>86100</v>
      </c>
      <c r="R28" s="401">
        <v>88300</v>
      </c>
      <c r="S28" s="401">
        <v>90500</v>
      </c>
      <c r="T28" s="401">
        <v>92800</v>
      </c>
      <c r="U28" s="403">
        <v>94800</v>
      </c>
      <c r="V28" s="403">
        <v>96900</v>
      </c>
      <c r="W28" s="403">
        <v>98900</v>
      </c>
      <c r="X28" s="403">
        <v>101000</v>
      </c>
      <c r="Y28" s="403">
        <v>103000</v>
      </c>
      <c r="Z28" s="403">
        <v>105000</v>
      </c>
      <c r="AA28" s="403">
        <v>107000</v>
      </c>
      <c r="AB28" s="403">
        <v>108900</v>
      </c>
      <c r="AC28" s="403">
        <v>110900</v>
      </c>
      <c r="AD28" s="404">
        <v>112900</v>
      </c>
      <c r="AE28" s="404">
        <v>114700</v>
      </c>
      <c r="AF28" s="404">
        <v>116500</v>
      </c>
      <c r="AG28" s="404">
        <v>118400</v>
      </c>
      <c r="AH28" s="404">
        <v>120200</v>
      </c>
      <c r="AI28" s="406">
        <v>122000</v>
      </c>
    </row>
    <row r="29" spans="1:35" ht="16.5" thickBot="1" x14ac:dyDescent="0.3">
      <c r="A29" s="4"/>
      <c r="B29" s="24"/>
      <c r="C29" s="43"/>
      <c r="D29" s="5"/>
      <c r="E29" s="5"/>
      <c r="F29" s="89"/>
      <c r="G29" s="89"/>
      <c r="H29" s="89"/>
      <c r="I29" s="89"/>
      <c r="J29" s="399"/>
      <c r="K29" s="89"/>
      <c r="L29" s="89"/>
      <c r="M29" s="89"/>
      <c r="N29" s="89"/>
      <c r="O29" s="89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398"/>
    </row>
    <row r="30" spans="1:35" ht="16.5" thickTop="1" x14ac:dyDescent="0.25">
      <c r="A30" s="4" t="s">
        <v>17</v>
      </c>
      <c r="B30" s="27"/>
      <c r="C30" s="38"/>
      <c r="D30" s="39"/>
      <c r="E30" s="30"/>
      <c r="F30" s="89">
        <v>4700</v>
      </c>
      <c r="G30" s="89">
        <v>5000</v>
      </c>
      <c r="H30" s="89">
        <v>5700</v>
      </c>
      <c r="I30" s="89">
        <v>5900</v>
      </c>
      <c r="J30" s="399">
        <v>6200</v>
      </c>
      <c r="K30" s="89">
        <v>6400</v>
      </c>
      <c r="L30" s="89">
        <v>6600</v>
      </c>
      <c r="M30" s="89">
        <v>6800</v>
      </c>
      <c r="N30" s="89">
        <v>7000</v>
      </c>
      <c r="O30" s="89">
        <v>7200</v>
      </c>
      <c r="P30" s="89">
        <v>7300</v>
      </c>
      <c r="Q30" s="89">
        <v>7500</v>
      </c>
      <c r="R30" s="89">
        <v>7600</v>
      </c>
      <c r="S30" s="89">
        <v>7800</v>
      </c>
      <c r="T30" s="89">
        <v>8000</v>
      </c>
      <c r="U30" s="86">
        <v>8200</v>
      </c>
      <c r="V30" s="86">
        <v>8300</v>
      </c>
      <c r="W30" s="86">
        <v>8600</v>
      </c>
      <c r="X30" s="86">
        <v>8700</v>
      </c>
      <c r="Y30" s="86">
        <v>8900</v>
      </c>
      <c r="Z30" s="86">
        <v>9100</v>
      </c>
      <c r="AA30" s="86">
        <v>9200</v>
      </c>
      <c r="AB30" s="86">
        <v>9500</v>
      </c>
      <c r="AC30" s="86">
        <v>9600</v>
      </c>
      <c r="AD30" s="86">
        <v>9800</v>
      </c>
      <c r="AE30" s="86">
        <v>10000</v>
      </c>
      <c r="AF30" s="86">
        <v>10100</v>
      </c>
      <c r="AG30" s="86">
        <v>10200</v>
      </c>
      <c r="AH30" s="86">
        <v>10300</v>
      </c>
      <c r="AI30" s="398">
        <v>10500</v>
      </c>
    </row>
    <row r="31" spans="1:35" ht="15.75" x14ac:dyDescent="0.25">
      <c r="B31" s="51"/>
      <c r="C31" s="55"/>
      <c r="D31" s="56"/>
      <c r="E31" s="56"/>
      <c r="F31" s="89">
        <v>62900</v>
      </c>
      <c r="G31" s="89">
        <v>65700</v>
      </c>
      <c r="H31" s="89">
        <v>70600</v>
      </c>
      <c r="I31" s="89">
        <v>73600</v>
      </c>
      <c r="J31" s="399">
        <v>76800</v>
      </c>
      <c r="K31" s="89">
        <v>79100</v>
      </c>
      <c r="L31" s="89">
        <v>81500</v>
      </c>
      <c r="M31" s="89">
        <v>84000</v>
      </c>
      <c r="N31" s="89">
        <v>86500</v>
      </c>
      <c r="O31" s="89">
        <v>89100</v>
      </c>
      <c r="P31" s="89">
        <v>91300</v>
      </c>
      <c r="Q31" s="89">
        <v>93600</v>
      </c>
      <c r="R31" s="89">
        <v>95900</v>
      </c>
      <c r="S31" s="89">
        <v>98300</v>
      </c>
      <c r="T31" s="89">
        <v>100800</v>
      </c>
      <c r="U31" s="90">
        <v>103000</v>
      </c>
      <c r="V31" s="90">
        <v>105200</v>
      </c>
      <c r="W31" s="90">
        <v>107500</v>
      </c>
      <c r="X31" s="90">
        <v>109700</v>
      </c>
      <c r="Y31" s="90">
        <v>111900</v>
      </c>
      <c r="Z31" s="90">
        <v>114100</v>
      </c>
      <c r="AA31" s="90">
        <v>116200</v>
      </c>
      <c r="AB31" s="90">
        <v>118400</v>
      </c>
      <c r="AC31" s="90">
        <v>120500</v>
      </c>
      <c r="AD31" s="91">
        <v>122700</v>
      </c>
      <c r="AE31" s="91">
        <v>124700</v>
      </c>
      <c r="AF31" s="91">
        <v>126600</v>
      </c>
      <c r="AG31" s="91">
        <v>128600</v>
      </c>
      <c r="AH31" s="91">
        <v>130500</v>
      </c>
      <c r="AI31" s="405">
        <v>132500</v>
      </c>
    </row>
    <row r="32" spans="1:35" ht="16.5" thickBot="1" x14ac:dyDescent="0.3">
      <c r="A32" s="4" t="s">
        <v>18</v>
      </c>
      <c r="B32" s="46"/>
      <c r="C32" s="47"/>
      <c r="D32" s="48"/>
      <c r="E32" s="49"/>
      <c r="F32" s="89">
        <v>6200</v>
      </c>
      <c r="G32" s="89">
        <v>6500</v>
      </c>
      <c r="H32" s="89">
        <v>7100</v>
      </c>
      <c r="I32" s="89">
        <v>8200</v>
      </c>
      <c r="J32" s="399">
        <v>9400</v>
      </c>
      <c r="K32" s="89">
        <v>10400</v>
      </c>
      <c r="L32" s="89">
        <v>11100</v>
      </c>
      <c r="M32" s="89">
        <v>11800</v>
      </c>
      <c r="N32" s="89">
        <v>12400</v>
      </c>
      <c r="O32" s="89">
        <v>13100</v>
      </c>
      <c r="P32" s="89">
        <v>13400</v>
      </c>
      <c r="Q32" s="89">
        <v>13700</v>
      </c>
      <c r="R32" s="89">
        <v>15000</v>
      </c>
      <c r="S32" s="89">
        <v>16400</v>
      </c>
      <c r="T32" s="89">
        <v>18000</v>
      </c>
      <c r="U32" s="90">
        <v>18400</v>
      </c>
      <c r="V32" s="90">
        <v>18800</v>
      </c>
      <c r="W32" s="90">
        <v>19200</v>
      </c>
      <c r="X32" s="90">
        <v>19600</v>
      </c>
      <c r="Y32" s="90">
        <v>20000</v>
      </c>
      <c r="Z32" s="90">
        <v>20400</v>
      </c>
      <c r="AA32" s="90">
        <v>20800</v>
      </c>
      <c r="AB32" s="90">
        <v>21200</v>
      </c>
      <c r="AC32" s="90">
        <v>21600</v>
      </c>
      <c r="AD32" s="91">
        <v>22000</v>
      </c>
      <c r="AE32" s="91">
        <v>22200</v>
      </c>
      <c r="AF32" s="91">
        <v>22300</v>
      </c>
      <c r="AG32" s="91">
        <v>22500</v>
      </c>
      <c r="AH32" s="91">
        <v>22600</v>
      </c>
      <c r="AI32" s="405">
        <v>22800</v>
      </c>
    </row>
    <row r="33" spans="1:35" ht="16.5" thickTop="1" x14ac:dyDescent="0.25">
      <c r="A33" s="4"/>
      <c r="B33" s="51"/>
      <c r="C33" s="38"/>
      <c r="D33" s="39"/>
      <c r="E33" s="52"/>
      <c r="F33" s="89">
        <v>14800</v>
      </c>
      <c r="G33" s="89">
        <v>15400</v>
      </c>
      <c r="H33" s="89">
        <v>17400</v>
      </c>
      <c r="I33" s="89">
        <v>17900</v>
      </c>
      <c r="J33" s="399">
        <v>18400</v>
      </c>
      <c r="K33" s="89">
        <v>18900</v>
      </c>
      <c r="L33" s="89">
        <v>19400</v>
      </c>
      <c r="M33" s="89">
        <v>19900</v>
      </c>
      <c r="N33" s="89">
        <v>20500</v>
      </c>
      <c r="O33" s="89">
        <v>21100</v>
      </c>
      <c r="P33" s="89">
        <v>21700</v>
      </c>
      <c r="Q33" s="89">
        <v>22500</v>
      </c>
      <c r="R33" s="89">
        <v>22600</v>
      </c>
      <c r="S33" s="89">
        <v>22700</v>
      </c>
      <c r="T33" s="89">
        <v>22800</v>
      </c>
      <c r="U33" s="86">
        <v>23300</v>
      </c>
      <c r="V33" s="86">
        <v>23800</v>
      </c>
      <c r="W33" s="86">
        <v>24300</v>
      </c>
      <c r="X33" s="86">
        <v>24800</v>
      </c>
      <c r="Y33" s="86">
        <v>25300</v>
      </c>
      <c r="Z33" s="86">
        <v>25800</v>
      </c>
      <c r="AA33" s="86">
        <v>26300</v>
      </c>
      <c r="AB33" s="86">
        <v>26800</v>
      </c>
      <c r="AC33" s="86">
        <v>27300</v>
      </c>
      <c r="AD33" s="86">
        <v>27800</v>
      </c>
      <c r="AE33" s="86">
        <v>28000</v>
      </c>
      <c r="AF33" s="86">
        <v>28200</v>
      </c>
      <c r="AG33" s="86">
        <v>28300</v>
      </c>
      <c r="AH33" s="86">
        <v>28500</v>
      </c>
      <c r="AI33" s="398">
        <v>28700</v>
      </c>
    </row>
    <row r="34" spans="1:35" ht="15.75" x14ac:dyDescent="0.25">
      <c r="A34" s="4"/>
      <c r="B34" s="24"/>
      <c r="C34" s="43"/>
      <c r="D34" s="5"/>
      <c r="E34" s="5"/>
      <c r="F34" s="89">
        <v>71500</v>
      </c>
      <c r="G34" s="89">
        <v>74600</v>
      </c>
      <c r="H34" s="89">
        <v>80900</v>
      </c>
      <c r="I34" s="89">
        <v>83300</v>
      </c>
      <c r="J34" s="399">
        <v>85800</v>
      </c>
      <c r="K34" s="89">
        <v>87600</v>
      </c>
      <c r="L34" s="89">
        <v>89800</v>
      </c>
      <c r="M34" s="89">
        <v>92100</v>
      </c>
      <c r="N34" s="89">
        <v>94600</v>
      </c>
      <c r="O34" s="89">
        <v>97100</v>
      </c>
      <c r="P34" s="89">
        <v>99600</v>
      </c>
      <c r="Q34" s="89">
        <v>102400</v>
      </c>
      <c r="R34" s="89">
        <v>103500</v>
      </c>
      <c r="S34" s="89">
        <v>104600</v>
      </c>
      <c r="T34" s="89">
        <v>105600</v>
      </c>
      <c r="U34" s="90">
        <v>107900</v>
      </c>
      <c r="V34" s="90">
        <v>110200</v>
      </c>
      <c r="W34" s="90">
        <v>112600</v>
      </c>
      <c r="X34" s="90">
        <v>114900</v>
      </c>
      <c r="Y34" s="90">
        <v>117200</v>
      </c>
      <c r="Z34" s="90">
        <v>119500</v>
      </c>
      <c r="AA34" s="90">
        <v>121700</v>
      </c>
      <c r="AB34" s="90">
        <v>124000</v>
      </c>
      <c r="AC34" s="90">
        <v>126200</v>
      </c>
      <c r="AD34" s="91">
        <v>128500</v>
      </c>
      <c r="AE34" s="91">
        <v>130500</v>
      </c>
      <c r="AF34" s="91">
        <v>132500</v>
      </c>
      <c r="AG34" s="91">
        <v>134400</v>
      </c>
      <c r="AH34" s="91">
        <v>136400</v>
      </c>
      <c r="AI34" s="405">
        <v>138400</v>
      </c>
    </row>
    <row r="35" spans="1:35" ht="16.5" thickBot="1" x14ac:dyDescent="0.3">
      <c r="A35" s="4" t="s">
        <v>19</v>
      </c>
      <c r="B35" s="46"/>
      <c r="C35" s="47"/>
      <c r="D35" s="48"/>
      <c r="E35" s="49"/>
      <c r="F35" s="89">
        <v>8800</v>
      </c>
      <c r="G35" s="89">
        <v>9200</v>
      </c>
      <c r="H35" s="89">
        <v>10200</v>
      </c>
      <c r="I35" s="89">
        <v>10600</v>
      </c>
      <c r="J35" s="399">
        <v>11100</v>
      </c>
      <c r="K35" s="89">
        <v>11400</v>
      </c>
      <c r="L35" s="89">
        <v>11700</v>
      </c>
      <c r="M35" s="89">
        <v>12100</v>
      </c>
      <c r="N35" s="89">
        <v>12600</v>
      </c>
      <c r="O35" s="89">
        <v>13000</v>
      </c>
      <c r="P35" s="89">
        <v>13300</v>
      </c>
      <c r="Q35" s="89">
        <v>13600</v>
      </c>
      <c r="R35" s="89">
        <v>13900</v>
      </c>
      <c r="S35" s="89">
        <v>14200</v>
      </c>
      <c r="T35" s="89">
        <v>14600</v>
      </c>
      <c r="U35" s="90">
        <v>14900</v>
      </c>
      <c r="V35" s="90">
        <v>15200</v>
      </c>
      <c r="W35" s="90">
        <v>15500</v>
      </c>
      <c r="X35" s="90">
        <v>15800</v>
      </c>
      <c r="Y35" s="90">
        <v>16100</v>
      </c>
      <c r="Z35" s="90">
        <v>16400</v>
      </c>
      <c r="AA35" s="90">
        <v>16700</v>
      </c>
      <c r="AB35" s="90">
        <v>17000</v>
      </c>
      <c r="AC35" s="90">
        <v>17300</v>
      </c>
      <c r="AD35" s="91">
        <v>17600</v>
      </c>
      <c r="AE35" s="91">
        <v>17900</v>
      </c>
      <c r="AF35" s="91">
        <v>18100</v>
      </c>
      <c r="AG35" s="91">
        <v>18400</v>
      </c>
      <c r="AH35" s="91">
        <v>18600</v>
      </c>
      <c r="AI35" s="405">
        <v>18900</v>
      </c>
    </row>
    <row r="36" spans="1:35" ht="16.5" thickTop="1" x14ac:dyDescent="0.25">
      <c r="A36" s="4"/>
      <c r="B36" s="51"/>
      <c r="C36" s="38"/>
      <c r="D36" s="39"/>
      <c r="E36" s="52"/>
      <c r="F36" s="89">
        <v>7300</v>
      </c>
      <c r="G36" s="89">
        <v>7600</v>
      </c>
      <c r="H36" s="89">
        <v>8600</v>
      </c>
      <c r="I36" s="89">
        <v>9600</v>
      </c>
      <c r="J36" s="399">
        <v>10700</v>
      </c>
      <c r="K36" s="89">
        <v>10800</v>
      </c>
      <c r="L36" s="89">
        <v>10900</v>
      </c>
      <c r="M36" s="89">
        <v>11000</v>
      </c>
      <c r="N36" s="89">
        <v>11100</v>
      </c>
      <c r="O36" s="89">
        <v>11600</v>
      </c>
      <c r="P36" s="89">
        <v>12000</v>
      </c>
      <c r="Q36" s="89">
        <v>12300</v>
      </c>
      <c r="R36" s="89">
        <v>12600</v>
      </c>
      <c r="S36" s="89">
        <v>14000</v>
      </c>
      <c r="T36" s="89">
        <v>14700</v>
      </c>
      <c r="U36" s="86">
        <v>15000</v>
      </c>
      <c r="V36" s="86">
        <v>15300</v>
      </c>
      <c r="W36" s="86">
        <v>15600</v>
      </c>
      <c r="X36" s="86">
        <v>15900</v>
      </c>
      <c r="Y36" s="86">
        <v>16200</v>
      </c>
      <c r="Z36" s="86">
        <v>16500</v>
      </c>
      <c r="AA36" s="86">
        <v>16800</v>
      </c>
      <c r="AB36" s="86">
        <v>17100</v>
      </c>
      <c r="AC36" s="86">
        <v>17400</v>
      </c>
      <c r="AD36" s="86">
        <v>17700</v>
      </c>
      <c r="AE36" s="86">
        <v>17900</v>
      </c>
      <c r="AF36" s="86">
        <v>18100</v>
      </c>
      <c r="AG36" s="86">
        <v>18400</v>
      </c>
      <c r="AH36" s="86">
        <v>18600</v>
      </c>
      <c r="AI36" s="398">
        <v>18800</v>
      </c>
    </row>
    <row r="37" spans="1:35" ht="15.75" x14ac:dyDescent="0.25">
      <c r="A37" s="4"/>
      <c r="B37" s="24"/>
      <c r="C37" s="43"/>
      <c r="D37" s="5"/>
      <c r="E37" s="5"/>
      <c r="F37" s="89">
        <v>70000</v>
      </c>
      <c r="G37" s="89">
        <v>73000</v>
      </c>
      <c r="H37" s="89">
        <v>79300</v>
      </c>
      <c r="I37" s="89">
        <v>82300</v>
      </c>
      <c r="J37" s="399">
        <v>85400</v>
      </c>
      <c r="K37" s="89">
        <v>87000</v>
      </c>
      <c r="L37" s="89">
        <v>89000</v>
      </c>
      <c r="M37" s="89">
        <v>91000</v>
      </c>
      <c r="N37" s="89">
        <v>93100</v>
      </c>
      <c r="O37" s="89">
        <v>95700</v>
      </c>
      <c r="P37" s="89">
        <v>98300</v>
      </c>
      <c r="Q37" s="89">
        <v>101100</v>
      </c>
      <c r="R37" s="89">
        <v>102200</v>
      </c>
      <c r="S37" s="89">
        <v>104400</v>
      </c>
      <c r="T37" s="89">
        <v>105700</v>
      </c>
      <c r="U37" s="90">
        <v>108000</v>
      </c>
      <c r="V37" s="90">
        <v>110300</v>
      </c>
      <c r="W37" s="90">
        <v>112700</v>
      </c>
      <c r="X37" s="90">
        <v>115000</v>
      </c>
      <c r="Y37" s="90">
        <v>117300</v>
      </c>
      <c r="Z37" s="90">
        <v>119600</v>
      </c>
      <c r="AA37" s="90">
        <v>121800</v>
      </c>
      <c r="AB37" s="90">
        <v>124100</v>
      </c>
      <c r="AC37" s="90">
        <v>126300</v>
      </c>
      <c r="AD37" s="91">
        <v>128600</v>
      </c>
      <c r="AE37" s="91">
        <v>130500</v>
      </c>
      <c r="AF37" s="91">
        <v>132500</v>
      </c>
      <c r="AG37" s="91">
        <v>134400</v>
      </c>
      <c r="AH37" s="91">
        <v>136400</v>
      </c>
      <c r="AI37" s="405">
        <v>138300</v>
      </c>
    </row>
    <row r="38" spans="1:35" ht="16.5" thickBot="1" x14ac:dyDescent="0.3">
      <c r="A38" s="4" t="s">
        <v>20</v>
      </c>
      <c r="B38" s="46"/>
      <c r="C38" s="47"/>
      <c r="D38" s="48"/>
      <c r="E38" s="49"/>
      <c r="F38" s="89">
        <v>3000</v>
      </c>
      <c r="G38" s="89">
        <v>3100</v>
      </c>
      <c r="H38" s="89">
        <v>3500</v>
      </c>
      <c r="I38" s="89">
        <v>3700</v>
      </c>
      <c r="J38" s="399">
        <v>3900</v>
      </c>
      <c r="K38" s="89">
        <v>4000</v>
      </c>
      <c r="L38" s="89">
        <v>4100</v>
      </c>
      <c r="M38" s="89">
        <v>4200</v>
      </c>
      <c r="N38" s="89">
        <v>4300</v>
      </c>
      <c r="O38" s="89">
        <v>4400</v>
      </c>
      <c r="P38" s="89">
        <v>4500</v>
      </c>
      <c r="Q38" s="89">
        <v>4600</v>
      </c>
      <c r="R38" s="89">
        <v>4700</v>
      </c>
      <c r="S38" s="89">
        <v>4800</v>
      </c>
      <c r="T38" s="89">
        <v>4900</v>
      </c>
      <c r="U38" s="90">
        <v>5000</v>
      </c>
      <c r="V38" s="90">
        <v>5100</v>
      </c>
      <c r="W38" s="90">
        <v>5200</v>
      </c>
      <c r="X38" s="90">
        <v>5300</v>
      </c>
      <c r="Y38" s="90">
        <v>5400</v>
      </c>
      <c r="Z38" s="90">
        <v>5500</v>
      </c>
      <c r="AA38" s="90">
        <v>5600</v>
      </c>
      <c r="AB38" s="90">
        <v>5700</v>
      </c>
      <c r="AC38" s="90">
        <v>5800</v>
      </c>
      <c r="AD38" s="91">
        <v>5900</v>
      </c>
      <c r="AE38" s="91">
        <v>6000</v>
      </c>
      <c r="AF38" s="91">
        <v>6100</v>
      </c>
      <c r="AG38" s="91">
        <v>6200</v>
      </c>
      <c r="AH38" s="91">
        <v>6300</v>
      </c>
      <c r="AI38" s="405">
        <v>6400</v>
      </c>
    </row>
    <row r="39" spans="1:35" ht="16.5" thickTop="1" x14ac:dyDescent="0.25">
      <c r="A39" s="92"/>
      <c r="B39" s="24"/>
      <c r="C39" s="43"/>
      <c r="D39" s="5"/>
      <c r="E39" s="5"/>
      <c r="F39" s="89">
        <v>67000</v>
      </c>
      <c r="G39" s="89">
        <v>69900</v>
      </c>
      <c r="H39" s="89">
        <v>75800</v>
      </c>
      <c r="I39" s="89">
        <v>78600</v>
      </c>
      <c r="J39" s="399">
        <v>81500</v>
      </c>
      <c r="K39" s="89">
        <v>83000</v>
      </c>
      <c r="L39" s="89">
        <v>84900</v>
      </c>
      <c r="M39" s="89">
        <v>86800</v>
      </c>
      <c r="N39" s="89">
        <v>88800</v>
      </c>
      <c r="O39" s="89">
        <v>91300</v>
      </c>
      <c r="P39" s="89">
        <v>93800</v>
      </c>
      <c r="Q39" s="89">
        <v>96500</v>
      </c>
      <c r="R39" s="89">
        <v>97500</v>
      </c>
      <c r="S39" s="89">
        <v>99600</v>
      </c>
      <c r="T39" s="89">
        <v>100800</v>
      </c>
      <c r="U39" s="86">
        <v>103000</v>
      </c>
      <c r="V39" s="86">
        <v>105200</v>
      </c>
      <c r="W39" s="86">
        <v>107500</v>
      </c>
      <c r="X39" s="86">
        <v>109700</v>
      </c>
      <c r="Y39" s="86">
        <v>111900</v>
      </c>
      <c r="Z39" s="86">
        <v>114100</v>
      </c>
      <c r="AA39" s="86">
        <v>116200</v>
      </c>
      <c r="AB39" s="86">
        <v>118400</v>
      </c>
      <c r="AC39" s="86">
        <v>120500</v>
      </c>
      <c r="AD39" s="86">
        <v>122700</v>
      </c>
      <c r="AE39" s="86">
        <v>124500</v>
      </c>
      <c r="AF39" s="86">
        <v>126400</v>
      </c>
      <c r="AG39" s="86">
        <v>128200</v>
      </c>
      <c r="AH39" s="86">
        <v>130100</v>
      </c>
      <c r="AI39" s="398">
        <v>131900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H140"/>
  <sheetViews>
    <sheetView zoomScale="85" zoomScaleNormal="85"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A9" sqref="A9"/>
    </sheetView>
  </sheetViews>
  <sheetFormatPr defaultColWidth="12.5703125" defaultRowHeight="15" x14ac:dyDescent="0.25"/>
  <cols>
    <col min="1" max="1" width="39.5703125" customWidth="1"/>
    <col min="2" max="2" width="8.5703125" hidden="1" customWidth="1"/>
    <col min="3" max="3" width="9.7109375" hidden="1" customWidth="1"/>
    <col min="4" max="4" width="4.42578125" hidden="1" customWidth="1"/>
    <col min="5" max="8" width="3.5703125" style="10" hidden="1" customWidth="1"/>
    <col min="9" max="9" width="4.28515625" style="10" hidden="1" customWidth="1"/>
    <col min="10" max="14" width="12.5703125" hidden="1" customWidth="1"/>
    <col min="15" max="15" width="12.140625" style="10" hidden="1" customWidth="1"/>
    <col min="16" max="16" width="3.85546875" style="171" customWidth="1"/>
    <col min="17" max="17" width="3.28515625" style="171" customWidth="1"/>
    <col min="18" max="18" width="4.28515625" style="171" customWidth="1"/>
    <col min="19" max="21" width="3.5703125" style="171" customWidth="1"/>
    <col min="22" max="22" width="4.42578125" style="171" customWidth="1"/>
    <col min="23" max="24" width="3.42578125" style="171" customWidth="1"/>
    <col min="25" max="26" width="12.5703125" style="10" customWidth="1"/>
    <col min="27" max="27" width="14.28515625" style="96" hidden="1" customWidth="1"/>
    <col min="28" max="28" width="14.140625" customWidth="1"/>
    <col min="29" max="29" width="13.28515625" customWidth="1"/>
    <col min="30" max="30" width="13.140625" customWidth="1"/>
    <col min="33" max="33" width="12.42578125" bestFit="1" customWidth="1"/>
  </cols>
  <sheetData>
    <row r="1" spans="1:33" ht="15.95" customHeight="1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5"/>
      <c r="P1" s="167"/>
      <c r="Q1" s="167"/>
      <c r="R1" s="168"/>
      <c r="S1" s="412" t="s">
        <v>29</v>
      </c>
      <c r="T1" s="412"/>
      <c r="U1" s="412"/>
      <c r="V1" s="412"/>
      <c r="W1" s="167"/>
      <c r="X1" s="167"/>
      <c r="Y1" s="176" t="s">
        <v>41</v>
      </c>
      <c r="Z1" s="5"/>
      <c r="AA1" s="95"/>
    </row>
    <row r="2" spans="1:33" ht="15.95" customHeight="1" x14ac:dyDescent="0.25">
      <c r="A2" s="1"/>
      <c r="B2" s="2"/>
      <c r="C2" s="2"/>
      <c r="D2" s="2"/>
      <c r="E2" s="3"/>
      <c r="F2" s="3"/>
      <c r="G2" s="3"/>
      <c r="H2" s="3"/>
      <c r="I2" s="3"/>
      <c r="J2" s="4"/>
      <c r="K2" s="4"/>
      <c r="L2" s="4"/>
      <c r="M2" s="4"/>
      <c r="N2" s="4"/>
      <c r="O2" s="5"/>
      <c r="P2" s="167"/>
      <c r="Q2" s="167"/>
      <c r="R2" s="169"/>
      <c r="S2" s="412" t="s">
        <v>30</v>
      </c>
      <c r="T2" s="412"/>
      <c r="U2" s="412"/>
      <c r="V2" s="412"/>
      <c r="W2" s="167"/>
      <c r="X2" s="167"/>
      <c r="Y2" s="5"/>
      <c r="Z2" s="5"/>
      <c r="AA2" s="95"/>
    </row>
    <row r="3" spans="1:33" ht="15.95" customHeight="1" x14ac:dyDescent="0.25">
      <c r="A3" s="1"/>
      <c r="B3" s="6" t="s">
        <v>1</v>
      </c>
      <c r="C3" s="6"/>
      <c r="D3" s="6"/>
      <c r="E3" s="7"/>
      <c r="F3" s="3"/>
      <c r="G3" s="3"/>
      <c r="H3" s="3"/>
      <c r="I3" s="3"/>
      <c r="J3" s="4"/>
      <c r="K3" s="4"/>
      <c r="L3" s="4"/>
      <c r="M3" s="4"/>
      <c r="N3" s="4"/>
      <c r="O3" s="5"/>
      <c r="P3" s="167"/>
      <c r="Q3" s="167"/>
      <c r="R3" s="170"/>
      <c r="S3" s="413" t="s">
        <v>31</v>
      </c>
      <c r="T3" s="412"/>
      <c r="U3" s="412"/>
      <c r="V3" s="412"/>
      <c r="W3" s="167"/>
      <c r="X3" s="167"/>
      <c r="Y3" s="5"/>
      <c r="Z3" s="5"/>
      <c r="AA3" s="95"/>
    </row>
    <row r="4" spans="1:33" ht="15.95" customHeight="1" thickBot="1" x14ac:dyDescent="0.3">
      <c r="B4" s="8" t="s">
        <v>2</v>
      </c>
      <c r="C4" s="9"/>
      <c r="D4" s="9"/>
      <c r="N4" s="155" t="s">
        <v>40</v>
      </c>
      <c r="R4" s="172"/>
      <c r="S4" s="412" t="s">
        <v>32</v>
      </c>
      <c r="T4" s="412"/>
      <c r="U4" s="412"/>
      <c r="V4" s="412"/>
      <c r="Y4" s="5"/>
      <c r="Z4" s="5"/>
      <c r="AA4" s="95"/>
      <c r="AE4" s="155" t="s">
        <v>40</v>
      </c>
    </row>
    <row r="5" spans="1:33" ht="15.95" customHeight="1" thickTop="1" x14ac:dyDescent="0.25">
      <c r="A5" s="11"/>
      <c r="B5" s="12" t="s">
        <v>3</v>
      </c>
      <c r="C5" s="8"/>
      <c r="D5" s="8"/>
      <c r="E5" s="13"/>
      <c r="F5" s="13"/>
      <c r="G5" s="13"/>
      <c r="H5" s="13"/>
      <c r="I5" s="13"/>
      <c r="J5" s="416" t="s">
        <v>34</v>
      </c>
      <c r="K5" s="416"/>
      <c r="L5" s="416"/>
      <c r="M5" s="416"/>
      <c r="N5" s="416"/>
      <c r="O5" s="416"/>
      <c r="P5" s="296"/>
      <c r="Q5" s="173"/>
      <c r="R5" s="174"/>
      <c r="S5" s="412" t="s">
        <v>33</v>
      </c>
      <c r="T5" s="412"/>
      <c r="U5" s="412"/>
      <c r="V5" s="412"/>
      <c r="W5" s="173"/>
      <c r="X5" s="173"/>
      <c r="Y5" s="414" t="s">
        <v>34</v>
      </c>
      <c r="Z5" s="415"/>
      <c r="AA5" s="417" t="s">
        <v>35</v>
      </c>
      <c r="AB5" s="417"/>
      <c r="AC5" s="418" t="s">
        <v>39</v>
      </c>
      <c r="AD5" s="418"/>
      <c r="AE5" s="419" t="s">
        <v>38</v>
      </c>
      <c r="AF5" s="420"/>
    </row>
    <row r="6" spans="1:33" ht="15.95" customHeight="1" thickBot="1" x14ac:dyDescent="0.3">
      <c r="A6" s="16" t="s">
        <v>5</v>
      </c>
      <c r="B6" s="17" t="s">
        <v>6</v>
      </c>
      <c r="C6" s="18" t="s">
        <v>7</v>
      </c>
      <c r="D6" s="178"/>
      <c r="E6" s="19"/>
      <c r="F6" s="19"/>
      <c r="G6" s="20"/>
      <c r="H6" s="20"/>
      <c r="I6" s="20"/>
      <c r="J6" s="21">
        <v>2016</v>
      </c>
      <c r="K6" s="21">
        <f>J6+1</f>
        <v>2017</v>
      </c>
      <c r="L6" s="21">
        <f>K6+1</f>
        <v>2018</v>
      </c>
      <c r="M6" s="21">
        <f>L6+1</f>
        <v>2019</v>
      </c>
      <c r="N6" s="156">
        <f>M6+1</f>
        <v>2020</v>
      </c>
      <c r="O6" s="22">
        <f>N6+1</f>
        <v>2021</v>
      </c>
      <c r="P6" s="297"/>
      <c r="Q6" s="297"/>
      <c r="R6" s="297"/>
      <c r="S6" s="297"/>
      <c r="T6" s="297"/>
      <c r="U6" s="297"/>
      <c r="V6" s="297"/>
      <c r="W6" s="297"/>
      <c r="X6" s="297"/>
      <c r="Y6" s="99">
        <v>2026</v>
      </c>
      <c r="Z6" s="22">
        <f>Y6+1</f>
        <v>2027</v>
      </c>
      <c r="AA6" s="22">
        <f>TRENDS!P4</f>
        <v>2026</v>
      </c>
      <c r="AB6" s="22">
        <f>TRENDS!AD4</f>
        <v>2040</v>
      </c>
      <c r="AC6" s="22" t="s">
        <v>36</v>
      </c>
      <c r="AD6" s="22" t="s">
        <v>37</v>
      </c>
      <c r="AE6" s="143">
        <f>AB6</f>
        <v>2040</v>
      </c>
      <c r="AF6" s="144" t="s">
        <v>37</v>
      </c>
    </row>
    <row r="7" spans="1:33" ht="15.95" customHeight="1" thickTop="1" x14ac:dyDescent="0.25">
      <c r="A7" s="23"/>
      <c r="B7" s="23"/>
      <c r="C7" s="23"/>
      <c r="D7" s="4"/>
      <c r="E7" s="24"/>
      <c r="F7" s="24"/>
      <c r="G7" s="24"/>
      <c r="H7" s="24"/>
      <c r="I7" s="25"/>
      <c r="J7" s="23"/>
      <c r="K7" s="23"/>
      <c r="L7" s="23"/>
      <c r="M7" s="23"/>
      <c r="N7" s="157"/>
      <c r="O7" s="24"/>
      <c r="P7" s="223"/>
      <c r="Q7" s="167" t="s">
        <v>43</v>
      </c>
      <c r="R7" s="223"/>
      <c r="S7" s="223"/>
      <c r="T7" s="223"/>
      <c r="U7" s="223"/>
      <c r="V7" s="224" t="s">
        <v>43</v>
      </c>
      <c r="W7" s="223"/>
      <c r="X7" s="223"/>
      <c r="Y7" s="100"/>
      <c r="Z7" s="24"/>
      <c r="AA7" s="98"/>
      <c r="AB7" s="98"/>
      <c r="AC7" s="98"/>
      <c r="AD7" s="98"/>
      <c r="AE7" s="145"/>
      <c r="AF7" s="146"/>
    </row>
    <row r="8" spans="1:33" ht="15.95" customHeight="1" thickBot="1" x14ac:dyDescent="0.3">
      <c r="A8" s="4"/>
      <c r="B8" s="4"/>
      <c r="C8" s="4"/>
      <c r="E8" s="25"/>
      <c r="F8" s="25"/>
      <c r="G8" s="25"/>
      <c r="H8" s="25"/>
      <c r="I8" s="179"/>
      <c r="J8" s="4"/>
      <c r="K8" s="4"/>
      <c r="L8" s="4"/>
      <c r="M8" s="4"/>
      <c r="N8" s="158"/>
      <c r="O8" s="5"/>
      <c r="P8" s="167"/>
      <c r="Q8" s="224"/>
      <c r="R8" s="224"/>
      <c r="S8" s="224"/>
      <c r="T8" s="224"/>
      <c r="U8" s="224"/>
      <c r="V8" s="224"/>
      <c r="W8" s="224"/>
      <c r="X8" s="224"/>
      <c r="Y8" s="100"/>
      <c r="Z8" s="24"/>
      <c r="AA8" s="98"/>
      <c r="AB8" s="98"/>
      <c r="AC8" s="98"/>
      <c r="AD8" s="98"/>
      <c r="AE8" s="145"/>
      <c r="AF8" s="146"/>
    </row>
    <row r="9" spans="1:33" ht="15.95" customHeight="1" thickTop="1" x14ac:dyDescent="0.25">
      <c r="A9" s="4" t="s">
        <v>8</v>
      </c>
      <c r="B9" s="26"/>
      <c r="C9" s="26"/>
      <c r="D9" s="26"/>
      <c r="E9" s="27"/>
      <c r="F9" s="28"/>
      <c r="G9" s="29"/>
      <c r="H9" s="30"/>
      <c r="I9" s="180"/>
      <c r="J9" s="31">
        <v>10700</v>
      </c>
      <c r="K9" s="31">
        <v>11100</v>
      </c>
      <c r="L9" s="31">
        <v>12600</v>
      </c>
      <c r="M9" s="31">
        <v>12900</v>
      </c>
      <c r="N9" s="159">
        <v>13200</v>
      </c>
      <c r="O9" s="31">
        <v>13600</v>
      </c>
      <c r="P9" s="225"/>
      <c r="Q9" s="226">
        <v>1</v>
      </c>
      <c r="R9" s="227"/>
      <c r="S9" s="226"/>
      <c r="T9" s="226"/>
      <c r="U9" s="226"/>
      <c r="V9" s="228"/>
      <c r="W9" s="229">
        <v>2</v>
      </c>
      <c r="X9" s="230"/>
      <c r="Y9" s="101">
        <v>15500</v>
      </c>
      <c r="Z9" s="32">
        <v>15900</v>
      </c>
      <c r="AA9" s="102">
        <f>TRENDS!P9</f>
        <v>16500</v>
      </c>
      <c r="AB9" s="98">
        <f>TRENDS!AD9</f>
        <v>22200</v>
      </c>
      <c r="AC9" s="103">
        <f>(((Z9/Y9))^(1/($Z$6-$Y$6)))-1</f>
        <v>2.5806451612903292E-2</v>
      </c>
      <c r="AD9" s="103">
        <f>(((AB9/Z9))^(1/($AB$6-$Z$6)))-1</f>
        <v>2.6007298194454576E-2</v>
      </c>
      <c r="AE9" s="145">
        <f>AB9</f>
        <v>22200</v>
      </c>
      <c r="AF9" s="147">
        <f>(((AE9/Z9))^(1/($AE$6-$Z$6)))-1</f>
        <v>2.6007298194454576E-2</v>
      </c>
    </row>
    <row r="10" spans="1:33" ht="15.95" customHeight="1" thickBot="1" x14ac:dyDescent="0.3">
      <c r="B10" s="33"/>
      <c r="C10" s="33"/>
      <c r="E10" s="34"/>
      <c r="F10" s="35"/>
      <c r="G10" s="34"/>
      <c r="H10" s="34"/>
      <c r="I10" s="181"/>
      <c r="J10" s="36"/>
      <c r="K10" s="36"/>
      <c r="L10" s="36"/>
      <c r="M10" s="36"/>
      <c r="N10" s="158"/>
      <c r="O10" s="5"/>
      <c r="P10" s="167"/>
      <c r="Q10" s="231"/>
      <c r="R10" s="232"/>
      <c r="S10" s="231"/>
      <c r="T10" s="231"/>
      <c r="U10" s="232"/>
      <c r="V10" s="231"/>
      <c r="W10" s="231"/>
      <c r="X10" s="231"/>
      <c r="Y10" s="104"/>
      <c r="Z10" s="34"/>
      <c r="AA10" s="102"/>
      <c r="AB10" s="98"/>
      <c r="AC10" s="98"/>
      <c r="AD10" s="103"/>
      <c r="AE10" s="145">
        <f>AB10</f>
        <v>0</v>
      </c>
      <c r="AF10" s="147"/>
    </row>
    <row r="11" spans="1:33" ht="15.95" customHeight="1" thickTop="1" x14ac:dyDescent="0.25">
      <c r="A11" s="4" t="s">
        <v>9</v>
      </c>
      <c r="B11" s="37"/>
      <c r="C11" s="37"/>
      <c r="E11" s="27"/>
      <c r="F11" s="38"/>
      <c r="G11" s="39"/>
      <c r="H11" s="30"/>
      <c r="I11" s="180"/>
      <c r="J11" s="40">
        <v>40000</v>
      </c>
      <c r="K11" s="40">
        <v>40900</v>
      </c>
      <c r="L11" s="40">
        <v>43100</v>
      </c>
      <c r="M11" s="40">
        <v>44200</v>
      </c>
      <c r="N11" s="160">
        <v>45200</v>
      </c>
      <c r="O11" s="41">
        <v>46100</v>
      </c>
      <c r="P11" s="225"/>
      <c r="Q11" s="226">
        <v>3</v>
      </c>
      <c r="R11" s="233"/>
      <c r="S11" s="226"/>
      <c r="T11" s="226"/>
      <c r="U11" s="234"/>
      <c r="V11" s="228"/>
      <c r="W11" s="229">
        <v>4</v>
      </c>
      <c r="X11" s="230"/>
      <c r="Y11" s="105">
        <v>51100</v>
      </c>
      <c r="Z11" s="61">
        <v>52100</v>
      </c>
      <c r="AA11" s="102">
        <f>TRENDS!P11</f>
        <v>56900</v>
      </c>
      <c r="AB11" s="98">
        <f>TRENDS!AD11</f>
        <v>76800</v>
      </c>
      <c r="AC11" s="103">
        <f t="shared" ref="AC11:AC14" si="0">(((Z11/Y11))^(1/($Z$6-$Y$6)))-1</f>
        <v>1.9569471624266255E-2</v>
      </c>
      <c r="AD11" s="103">
        <f t="shared" ref="AD11:AD14" si="1">(((AB11/Z11))^(1/($AB$6-$Z$6)))-1</f>
        <v>3.0299160369149813E-2</v>
      </c>
      <c r="AE11" s="145">
        <f>AB11</f>
        <v>76800</v>
      </c>
      <c r="AF11" s="147">
        <f>(((AE11/Z11))^(1/($AE$6-$Z$6)))-1</f>
        <v>3.0299160369149813E-2</v>
      </c>
    </row>
    <row r="12" spans="1:33" s="125" customFormat="1" ht="15.95" customHeight="1" x14ac:dyDescent="0.25">
      <c r="A12" s="116"/>
      <c r="B12" s="117"/>
      <c r="C12" s="117"/>
      <c r="D12"/>
      <c r="E12" s="118"/>
      <c r="F12" s="119"/>
      <c r="G12" s="120"/>
      <c r="H12" s="120"/>
      <c r="I12" s="7"/>
      <c r="J12" s="121">
        <v>50700</v>
      </c>
      <c r="K12" s="121">
        <v>52000</v>
      </c>
      <c r="L12" s="122">
        <v>55700</v>
      </c>
      <c r="M12" s="122">
        <v>57100</v>
      </c>
      <c r="N12" s="161">
        <v>58400</v>
      </c>
      <c r="O12" s="122">
        <v>59700</v>
      </c>
      <c r="P12" s="235"/>
      <c r="Q12" s="236"/>
      <c r="R12" s="237"/>
      <c r="S12" s="238"/>
      <c r="T12" s="236"/>
      <c r="U12" s="239"/>
      <c r="V12" s="240"/>
      <c r="W12" s="240"/>
      <c r="X12" s="240"/>
      <c r="Y12" s="123">
        <v>66600</v>
      </c>
      <c r="Z12" s="124">
        <v>68000</v>
      </c>
      <c r="AA12" s="106">
        <f>TRENDS!P12</f>
        <v>73400</v>
      </c>
      <c r="AB12" s="107">
        <f>TRENDS!AD12</f>
        <v>99000</v>
      </c>
      <c r="AC12" s="108">
        <f t="shared" si="0"/>
        <v>2.1021021021021102E-2</v>
      </c>
      <c r="AD12" s="108">
        <f t="shared" si="1"/>
        <v>2.9314700947915107E-2</v>
      </c>
      <c r="AE12" s="148">
        <f>Z12*(1+AC12)^(AB$6-Z$6)+5000</f>
        <v>94116.844154840481</v>
      </c>
      <c r="AF12" s="149">
        <f>(((AE12/Z12))^(1/($AE$6-$Z$6)))-1</f>
        <v>2.5317433646179444E-2</v>
      </c>
    </row>
    <row r="13" spans="1:33" ht="15.95" customHeight="1" thickBot="1" x14ac:dyDescent="0.3">
      <c r="A13" s="4" t="s">
        <v>10</v>
      </c>
      <c r="B13" s="45">
        <v>0.53</v>
      </c>
      <c r="C13" s="45">
        <v>0.79</v>
      </c>
      <c r="E13" s="46"/>
      <c r="F13" s="47"/>
      <c r="G13" s="48"/>
      <c r="H13" s="49"/>
      <c r="I13" s="180"/>
      <c r="J13" s="40">
        <v>4500</v>
      </c>
      <c r="K13" s="40">
        <v>4600</v>
      </c>
      <c r="L13" s="40">
        <v>5200</v>
      </c>
      <c r="M13" s="40">
        <v>5300</v>
      </c>
      <c r="N13" s="160">
        <v>5400</v>
      </c>
      <c r="O13" s="50">
        <v>5500</v>
      </c>
      <c r="P13" s="241"/>
      <c r="Q13" s="242">
        <v>5</v>
      </c>
      <c r="R13" s="243"/>
      <c r="S13" s="244"/>
      <c r="T13" s="245"/>
      <c r="U13" s="246"/>
      <c r="V13" s="247"/>
      <c r="W13" s="248">
        <v>6</v>
      </c>
      <c r="X13" s="230"/>
      <c r="Y13" s="109">
        <v>6000</v>
      </c>
      <c r="Z13" s="65">
        <v>6100</v>
      </c>
      <c r="AA13" s="102">
        <f>TRENDS!P13</f>
        <v>7400</v>
      </c>
      <c r="AB13" s="98">
        <f>TRENDS!AD13</f>
        <v>10200</v>
      </c>
      <c r="AC13" s="103">
        <f t="shared" si="0"/>
        <v>1.6666666666666607E-2</v>
      </c>
      <c r="AD13" s="103">
        <f t="shared" si="1"/>
        <v>4.0338429302133161E-2</v>
      </c>
      <c r="AE13" s="145">
        <f>AB13</f>
        <v>10200</v>
      </c>
      <c r="AF13" s="147">
        <f>(((AE13/Z13))^(1/($AE$6-$Z$6)))-1</f>
        <v>4.0338429302133161E-2</v>
      </c>
    </row>
    <row r="14" spans="1:33" ht="15.95" customHeight="1" thickTop="1" x14ac:dyDescent="0.25">
      <c r="A14" s="4"/>
      <c r="B14" s="45"/>
      <c r="C14" s="45"/>
      <c r="D14" s="45"/>
      <c r="E14" s="51"/>
      <c r="F14" s="38"/>
      <c r="G14" s="39"/>
      <c r="H14" s="52"/>
      <c r="I14" s="52"/>
      <c r="J14" s="40">
        <v>3300</v>
      </c>
      <c r="K14" s="40">
        <v>3400</v>
      </c>
      <c r="L14" s="40">
        <v>3800</v>
      </c>
      <c r="M14" s="40">
        <v>3900</v>
      </c>
      <c r="N14" s="160">
        <v>4000</v>
      </c>
      <c r="O14" s="50">
        <v>4100</v>
      </c>
      <c r="P14" s="241"/>
      <c r="Q14" s="222">
        <v>7</v>
      </c>
      <c r="R14" s="233"/>
      <c r="S14" s="249"/>
      <c r="T14" s="250"/>
      <c r="U14" s="234"/>
      <c r="V14" s="228"/>
      <c r="W14" s="251">
        <v>8</v>
      </c>
      <c r="X14" s="251"/>
      <c r="Y14" s="109">
        <v>4600</v>
      </c>
      <c r="Z14" s="65">
        <v>4700</v>
      </c>
      <c r="AA14" s="102">
        <f>TRENDS!P14</f>
        <v>4800</v>
      </c>
      <c r="AB14" s="98">
        <f>TRENDS!AD14</f>
        <v>6700</v>
      </c>
      <c r="AC14" s="103">
        <f t="shared" si="0"/>
        <v>2.1739130434782705E-2</v>
      </c>
      <c r="AD14" s="103">
        <f t="shared" si="1"/>
        <v>2.7647997659716372E-2</v>
      </c>
      <c r="AE14" s="150">
        <f>AB14+2000</f>
        <v>8700</v>
      </c>
      <c r="AF14" s="147">
        <f>(((AE14/Z14))^(1/($AE$6-$Z$6)))-1</f>
        <v>4.8505894947038275E-2</v>
      </c>
    </row>
    <row r="15" spans="1:33" ht="15.95" customHeight="1" x14ac:dyDescent="0.25">
      <c r="A15" s="4"/>
      <c r="B15" s="45"/>
      <c r="C15" s="45"/>
      <c r="D15" s="45"/>
      <c r="E15" s="24"/>
      <c r="F15" s="43"/>
      <c r="G15" s="5"/>
      <c r="H15" s="5"/>
      <c r="I15" s="5"/>
      <c r="J15" s="53"/>
      <c r="K15" s="53"/>
      <c r="L15" s="53"/>
      <c r="M15" s="53"/>
      <c r="N15" s="162"/>
      <c r="O15" s="54"/>
      <c r="P15" s="252"/>
      <c r="Q15" s="223"/>
      <c r="R15" s="253"/>
      <c r="S15" s="254"/>
      <c r="T15" s="255"/>
      <c r="U15" s="253"/>
      <c r="V15" s="167"/>
      <c r="W15" s="167"/>
      <c r="X15" s="167"/>
      <c r="Y15" s="109"/>
      <c r="Z15" s="65"/>
      <c r="AA15" s="102"/>
      <c r="AB15" s="98"/>
      <c r="AC15" s="98"/>
      <c r="AD15" s="103"/>
      <c r="AE15" s="145">
        <f>AB15</f>
        <v>0</v>
      </c>
      <c r="AF15" s="147"/>
    </row>
    <row r="16" spans="1:33" s="125" customFormat="1" ht="15.95" customHeight="1" x14ac:dyDescent="0.25">
      <c r="A16" s="126" t="s">
        <v>11</v>
      </c>
      <c r="B16" s="127">
        <v>0.79</v>
      </c>
      <c r="C16" s="127">
        <v>1.06</v>
      </c>
      <c r="D16" s="127"/>
      <c r="E16" s="128"/>
      <c r="F16" s="129"/>
      <c r="G16" s="130"/>
      <c r="H16" s="130"/>
      <c r="I16" s="130"/>
      <c r="J16" s="121">
        <v>49500</v>
      </c>
      <c r="K16" s="121">
        <v>50800</v>
      </c>
      <c r="L16" s="122">
        <v>54300</v>
      </c>
      <c r="M16" s="122">
        <v>55700</v>
      </c>
      <c r="N16" s="161">
        <v>57000</v>
      </c>
      <c r="O16" s="122">
        <v>58300</v>
      </c>
      <c r="P16" s="235"/>
      <c r="Q16" s="256"/>
      <c r="R16" s="257">
        <v>9</v>
      </c>
      <c r="S16" s="258"/>
      <c r="T16" s="259"/>
      <c r="U16" s="257"/>
      <c r="V16" s="260">
        <v>10</v>
      </c>
      <c r="W16" s="260"/>
      <c r="X16" s="260"/>
      <c r="Y16" s="123">
        <v>65200</v>
      </c>
      <c r="Z16" s="124">
        <v>66600</v>
      </c>
      <c r="AA16" s="106">
        <f>TRENDS!P16</f>
        <v>70800</v>
      </c>
      <c r="AB16" s="107">
        <f>TRENDS!AD16</f>
        <v>95500</v>
      </c>
      <c r="AC16" s="108">
        <f>(((Z16/Y16))^(1/($Z$6-$Y$6)))-1</f>
        <v>2.1472392638036908E-2</v>
      </c>
      <c r="AD16" s="108">
        <f>(((AB16/Z16))^(1/($AB$6-$Z$6)))-1</f>
        <v>2.8112651131094957E-2</v>
      </c>
      <c r="AE16" s="151">
        <f>AE12-AE13+AE14</f>
        <v>92616.844154840481</v>
      </c>
      <c r="AF16" s="149">
        <f>(((AE16/Z16))^(1/($AE$6-$Z$6)))-1</f>
        <v>2.5691121230308811E-2</v>
      </c>
      <c r="AG16" s="175"/>
    </row>
    <row r="17" spans="1:34" ht="15.95" customHeight="1" x14ac:dyDescent="0.25">
      <c r="A17" s="4"/>
      <c r="B17" s="45"/>
      <c r="C17" s="45"/>
      <c r="D17" s="45"/>
      <c r="E17" s="51"/>
      <c r="F17" s="55"/>
      <c r="G17" s="56"/>
      <c r="H17" s="56"/>
      <c r="I17" s="56"/>
      <c r="J17" s="53"/>
      <c r="K17" s="53"/>
      <c r="L17" s="53"/>
      <c r="M17" s="53"/>
      <c r="N17" s="162"/>
      <c r="O17" s="54"/>
      <c r="P17" s="252"/>
      <c r="Q17" s="222"/>
      <c r="R17" s="261"/>
      <c r="S17" s="262"/>
      <c r="T17" s="263"/>
      <c r="U17" s="261"/>
      <c r="V17" s="230"/>
      <c r="W17" s="230"/>
      <c r="X17" s="230"/>
      <c r="Y17" s="109"/>
      <c r="Z17" s="65"/>
      <c r="AA17" s="102"/>
      <c r="AB17" s="98"/>
      <c r="AC17" s="98"/>
      <c r="AD17" s="103"/>
      <c r="AE17" s="145">
        <f>AB17</f>
        <v>0</v>
      </c>
      <c r="AF17" s="147"/>
    </row>
    <row r="18" spans="1:34" ht="15.95" customHeight="1" thickBot="1" x14ac:dyDescent="0.3">
      <c r="A18" s="4" t="s">
        <v>12</v>
      </c>
      <c r="B18" s="45"/>
      <c r="C18" s="45"/>
      <c r="D18" s="45"/>
      <c r="E18" s="46"/>
      <c r="F18" s="47"/>
      <c r="G18" s="48"/>
      <c r="H18" s="49"/>
      <c r="I18" s="56"/>
      <c r="J18" s="40">
        <v>4400</v>
      </c>
      <c r="K18" s="40">
        <v>4500</v>
      </c>
      <c r="L18" s="40">
        <v>5100</v>
      </c>
      <c r="M18" s="40">
        <v>5200</v>
      </c>
      <c r="N18" s="160">
        <v>5300</v>
      </c>
      <c r="O18" s="50">
        <v>5400</v>
      </c>
      <c r="P18" s="241"/>
      <c r="Q18" s="242">
        <v>11</v>
      </c>
      <c r="R18" s="243"/>
      <c r="S18" s="244"/>
      <c r="T18" s="245"/>
      <c r="U18" s="246"/>
      <c r="V18" s="247"/>
      <c r="W18" s="248">
        <v>12</v>
      </c>
      <c r="X18" s="230"/>
      <c r="Y18" s="109">
        <v>5900</v>
      </c>
      <c r="Z18" s="65">
        <v>6000</v>
      </c>
      <c r="AA18" s="102">
        <f>TRENDS!P18</f>
        <v>6700</v>
      </c>
      <c r="AB18" s="98">
        <f>TRENDS!AD18</f>
        <v>9500</v>
      </c>
      <c r="AC18" s="103">
        <f t="shared" ref="AC18:AC24" si="2">(((Z18/Y18))^(1/($Z$6-$Y$6)))-1</f>
        <v>1.6949152542372836E-2</v>
      </c>
      <c r="AD18" s="103">
        <f t="shared" ref="AD18:AD24" si="3">(((AB18/Z18))^(1/($AB$6-$Z$6)))-1</f>
        <v>3.5980830949299936E-2</v>
      </c>
      <c r="AE18" s="145">
        <f>AB18-1500</f>
        <v>8000</v>
      </c>
      <c r="AF18" s="147">
        <f t="shared" ref="AF18:AF24" si="4">(((AE18/Z18))^(1/($AE$6-$Z$6)))-1</f>
        <v>2.2376061343984732E-2</v>
      </c>
    </row>
    <row r="19" spans="1:34" ht="15.95" customHeight="1" thickTop="1" x14ac:dyDescent="0.25">
      <c r="A19" s="4"/>
      <c r="B19" s="45"/>
      <c r="C19" s="45"/>
      <c r="D19" s="45"/>
      <c r="E19" s="51"/>
      <c r="F19" s="38"/>
      <c r="G19" s="39"/>
      <c r="H19" s="52"/>
      <c r="I19" s="52"/>
      <c r="J19" s="40">
        <v>9600</v>
      </c>
      <c r="K19" s="40">
        <v>10000</v>
      </c>
      <c r="L19" s="40">
        <v>11300</v>
      </c>
      <c r="M19" s="40">
        <v>11600</v>
      </c>
      <c r="N19" s="160">
        <v>11900</v>
      </c>
      <c r="O19" s="50">
        <v>12200</v>
      </c>
      <c r="P19" s="241"/>
      <c r="Q19" s="222">
        <v>13</v>
      </c>
      <c r="R19" s="233"/>
      <c r="S19" s="249"/>
      <c r="T19" s="250"/>
      <c r="U19" s="234"/>
      <c r="V19" s="228"/>
      <c r="W19" s="251">
        <v>14</v>
      </c>
      <c r="X19" s="251"/>
      <c r="Y19" s="109">
        <v>14100</v>
      </c>
      <c r="Z19" s="65">
        <v>14500</v>
      </c>
      <c r="AA19" s="102">
        <f>TRENDS!P19</f>
        <v>14800</v>
      </c>
      <c r="AB19" s="98">
        <f>TRENDS!AD19</f>
        <v>17000</v>
      </c>
      <c r="AC19" s="103">
        <f t="shared" si="2"/>
        <v>2.8368794326241176E-2</v>
      </c>
      <c r="AD19" s="103">
        <f t="shared" si="3"/>
        <v>1.2310908723206504E-2</v>
      </c>
      <c r="AE19" s="150">
        <f>AB19</f>
        <v>17000</v>
      </c>
      <c r="AF19" s="147">
        <f t="shared" si="4"/>
        <v>1.2310908723206504E-2</v>
      </c>
    </row>
    <row r="20" spans="1:34" s="125" customFormat="1" ht="15.95" customHeight="1" x14ac:dyDescent="0.25">
      <c r="A20" s="126"/>
      <c r="B20" s="127"/>
      <c r="C20" s="127"/>
      <c r="D20" s="127"/>
      <c r="E20" s="118"/>
      <c r="F20" s="119"/>
      <c r="G20" s="120"/>
      <c r="H20" s="120"/>
      <c r="I20" s="120"/>
      <c r="J20" s="121">
        <v>54700</v>
      </c>
      <c r="K20" s="121">
        <v>56300</v>
      </c>
      <c r="L20" s="122">
        <v>60500</v>
      </c>
      <c r="M20" s="122">
        <v>62100</v>
      </c>
      <c r="N20" s="161">
        <v>63600</v>
      </c>
      <c r="O20" s="122">
        <v>65100</v>
      </c>
      <c r="P20" s="235"/>
      <c r="Q20" s="236"/>
      <c r="R20" s="237">
        <v>15</v>
      </c>
      <c r="S20" s="264"/>
      <c r="T20" s="265"/>
      <c r="U20" s="237"/>
      <c r="V20" s="240">
        <v>16</v>
      </c>
      <c r="W20" s="240"/>
      <c r="X20" s="240"/>
      <c r="Y20" s="123">
        <v>73400</v>
      </c>
      <c r="Z20" s="124">
        <v>75100</v>
      </c>
      <c r="AA20" s="106">
        <f>TRENDS!P20</f>
        <v>78900</v>
      </c>
      <c r="AB20" s="107">
        <f>TRENDS!AD20</f>
        <v>103000</v>
      </c>
      <c r="AC20" s="108">
        <f t="shared" si="2"/>
        <v>2.3160762942779245E-2</v>
      </c>
      <c r="AD20" s="108">
        <f t="shared" si="3"/>
        <v>2.4598315453451258E-2</v>
      </c>
      <c r="AE20" s="152">
        <f>AE16-AE18+AE19</f>
        <v>101616.84415484048</v>
      </c>
      <c r="AF20" s="149">
        <f t="shared" si="4"/>
        <v>2.353331247602708E-2</v>
      </c>
    </row>
    <row r="21" spans="1:34" ht="15.95" customHeight="1" thickBot="1" x14ac:dyDescent="0.3">
      <c r="A21" s="4" t="s">
        <v>13</v>
      </c>
      <c r="B21" s="45">
        <v>0.26</v>
      </c>
      <c r="C21" s="45">
        <v>0.53</v>
      </c>
      <c r="D21" s="45"/>
      <c r="E21" s="46"/>
      <c r="F21" s="47"/>
      <c r="G21" s="48"/>
      <c r="H21" s="49"/>
      <c r="I21" s="56"/>
      <c r="J21" s="40">
        <v>7100</v>
      </c>
      <c r="K21" s="40">
        <v>7300</v>
      </c>
      <c r="L21" s="40">
        <v>8200</v>
      </c>
      <c r="M21" s="40">
        <v>8400</v>
      </c>
      <c r="N21" s="160">
        <v>8600</v>
      </c>
      <c r="O21" s="50">
        <v>8800</v>
      </c>
      <c r="P21" s="241"/>
      <c r="Q21" s="242">
        <v>17</v>
      </c>
      <c r="R21" s="243"/>
      <c r="S21" s="244"/>
      <c r="T21" s="245"/>
      <c r="U21" s="246"/>
      <c r="V21" s="247"/>
      <c r="W21" s="248">
        <v>18</v>
      </c>
      <c r="X21" s="230"/>
      <c r="Y21" s="109">
        <v>9800</v>
      </c>
      <c r="Z21" s="65">
        <v>10000</v>
      </c>
      <c r="AA21" s="102">
        <f>TRENDS!P21</f>
        <v>10800</v>
      </c>
      <c r="AB21" s="98">
        <f>TRENDS!AD21</f>
        <v>14700</v>
      </c>
      <c r="AC21" s="103">
        <f t="shared" si="2"/>
        <v>2.0408163265306145E-2</v>
      </c>
      <c r="AD21" s="103">
        <f t="shared" si="3"/>
        <v>3.0079073096610287E-2</v>
      </c>
      <c r="AE21" s="145">
        <f>AB21</f>
        <v>14700</v>
      </c>
      <c r="AF21" s="147">
        <f t="shared" si="4"/>
        <v>3.0079073096610287E-2</v>
      </c>
    </row>
    <row r="22" spans="1:34" ht="15.95" customHeight="1" thickTop="1" x14ac:dyDescent="0.25">
      <c r="A22" s="167"/>
      <c r="B22" s="45"/>
      <c r="C22" s="45"/>
      <c r="D22" s="45"/>
      <c r="E22" s="51"/>
      <c r="F22" s="38"/>
      <c r="G22" s="39"/>
      <c r="H22" s="52"/>
      <c r="I22" s="52"/>
      <c r="J22" s="40">
        <v>6600</v>
      </c>
      <c r="K22" s="40">
        <v>6900</v>
      </c>
      <c r="L22" s="40">
        <v>7800</v>
      </c>
      <c r="M22" s="40">
        <v>8000</v>
      </c>
      <c r="N22" s="160">
        <v>8200</v>
      </c>
      <c r="O22" s="50">
        <v>8400</v>
      </c>
      <c r="P22" s="241"/>
      <c r="Q22" s="222">
        <v>19</v>
      </c>
      <c r="R22" s="233"/>
      <c r="S22" s="266"/>
      <c r="T22" s="250"/>
      <c r="U22" s="267"/>
      <c r="V22" s="228"/>
      <c r="W22" s="251">
        <v>20</v>
      </c>
      <c r="X22" s="251"/>
      <c r="Y22" s="109">
        <v>9400</v>
      </c>
      <c r="Z22" s="65">
        <v>9700</v>
      </c>
      <c r="AA22" s="102">
        <f>TRENDS!P22</f>
        <v>10100</v>
      </c>
      <c r="AB22" s="98">
        <f>TRENDS!AD22</f>
        <v>13600</v>
      </c>
      <c r="AC22" s="103">
        <f t="shared" si="2"/>
        <v>3.1914893617021267E-2</v>
      </c>
      <c r="AD22" s="103">
        <f t="shared" si="3"/>
        <v>2.6336519998071184E-2</v>
      </c>
      <c r="AE22" s="150">
        <f>AB22+1383</f>
        <v>14983</v>
      </c>
      <c r="AF22" s="147">
        <f t="shared" si="4"/>
        <v>3.4010996285026351E-2</v>
      </c>
    </row>
    <row r="23" spans="1:34" s="125" customFormat="1" ht="15.95" customHeight="1" x14ac:dyDescent="0.25">
      <c r="A23" s="240"/>
      <c r="B23" s="127"/>
      <c r="C23" s="127"/>
      <c r="D23" s="127"/>
      <c r="E23" s="118"/>
      <c r="F23" s="119"/>
      <c r="G23" s="120"/>
      <c r="H23" s="120"/>
      <c r="I23" s="120"/>
      <c r="J23" s="121">
        <v>54200</v>
      </c>
      <c r="K23" s="121">
        <v>55900</v>
      </c>
      <c r="L23" s="122">
        <v>60100</v>
      </c>
      <c r="M23" s="122">
        <v>61700</v>
      </c>
      <c r="N23" s="161">
        <v>63200</v>
      </c>
      <c r="O23" s="122">
        <v>64700</v>
      </c>
      <c r="P23" s="235"/>
      <c r="Q23" s="268"/>
      <c r="R23" s="269">
        <v>47</v>
      </c>
      <c r="S23" s="270"/>
      <c r="T23" s="271"/>
      <c r="U23" s="239"/>
      <c r="V23" s="272">
        <v>48</v>
      </c>
      <c r="W23" s="272"/>
      <c r="X23" s="272"/>
      <c r="Y23" s="123">
        <v>73000</v>
      </c>
      <c r="Z23" s="124">
        <v>74800</v>
      </c>
      <c r="AA23" s="106">
        <f>TRENDS!P23</f>
        <v>78200</v>
      </c>
      <c r="AB23" s="107">
        <f>TRENDS!AD23</f>
        <v>101900</v>
      </c>
      <c r="AC23" s="108">
        <f t="shared" si="2"/>
        <v>2.4657534246575352E-2</v>
      </c>
      <c r="AD23" s="108">
        <f t="shared" si="3"/>
        <v>2.4067681486188652E-2</v>
      </c>
      <c r="AE23" s="151">
        <f>AE20+-AE21+AE22</f>
        <v>101899.84415484048</v>
      </c>
      <c r="AF23" s="149">
        <f t="shared" si="4"/>
        <v>2.4067561009021077E-2</v>
      </c>
      <c r="AG23" s="131"/>
    </row>
    <row r="24" spans="1:34" ht="15.95" customHeight="1" thickBot="1" x14ac:dyDescent="0.3">
      <c r="A24" s="167" t="s">
        <v>14</v>
      </c>
      <c r="B24" s="45">
        <v>0.53</v>
      </c>
      <c r="C24" s="45">
        <v>0.79</v>
      </c>
      <c r="D24" s="45"/>
      <c r="E24" s="46"/>
      <c r="F24" s="47"/>
      <c r="G24" s="48"/>
      <c r="H24" s="49"/>
      <c r="I24" s="56"/>
      <c r="J24" s="40">
        <v>5000</v>
      </c>
      <c r="K24" s="40">
        <v>5100</v>
      </c>
      <c r="L24" s="40">
        <v>5800</v>
      </c>
      <c r="M24" s="40">
        <v>6000</v>
      </c>
      <c r="N24" s="163">
        <v>6100</v>
      </c>
      <c r="O24" s="50">
        <v>6200</v>
      </c>
      <c r="P24" s="241"/>
      <c r="Q24" s="242">
        <v>21</v>
      </c>
      <c r="R24" s="243"/>
      <c r="S24" s="244"/>
      <c r="T24" s="245"/>
      <c r="U24" s="246"/>
      <c r="V24" s="247"/>
      <c r="W24" s="248">
        <v>22</v>
      </c>
      <c r="X24" s="230"/>
      <c r="Y24" s="109">
        <v>6700</v>
      </c>
      <c r="Z24" s="65">
        <v>6800</v>
      </c>
      <c r="AA24" s="102">
        <f>TRENDS!P24</f>
        <v>7700</v>
      </c>
      <c r="AB24" s="98">
        <f>TRENDS!AD24</f>
        <v>10500</v>
      </c>
      <c r="AC24" s="103">
        <f t="shared" si="2"/>
        <v>1.4925373134328401E-2</v>
      </c>
      <c r="AD24" s="103">
        <f t="shared" si="3"/>
        <v>3.3984136641654894E-2</v>
      </c>
      <c r="AE24" s="145">
        <f>AB24</f>
        <v>10500</v>
      </c>
      <c r="AF24" s="147">
        <f t="shared" si="4"/>
        <v>3.3984136641654894E-2</v>
      </c>
    </row>
    <row r="25" spans="1:34" ht="15.95" customHeight="1" thickTop="1" thickBot="1" x14ac:dyDescent="0.3">
      <c r="A25" s="167"/>
      <c r="B25" s="45"/>
      <c r="C25" s="45"/>
      <c r="D25" s="45"/>
      <c r="E25" s="59"/>
      <c r="F25" s="60"/>
      <c r="G25" s="59"/>
      <c r="H25" s="59"/>
      <c r="I25" s="24"/>
      <c r="J25" s="53"/>
      <c r="K25" s="53"/>
      <c r="L25" s="53"/>
      <c r="M25" s="53"/>
      <c r="N25" s="164"/>
      <c r="O25" s="54"/>
      <c r="P25" s="252"/>
      <c r="Q25" s="273"/>
      <c r="R25" s="274"/>
      <c r="S25" s="275"/>
      <c r="T25" s="276"/>
      <c r="U25" s="274"/>
      <c r="V25" s="277"/>
      <c r="W25" s="273"/>
      <c r="X25" s="223"/>
      <c r="Y25" s="110"/>
      <c r="Z25" s="58"/>
      <c r="AA25" s="102"/>
      <c r="AB25" s="98"/>
      <c r="AC25" s="98"/>
      <c r="AD25" s="103"/>
      <c r="AE25" s="145">
        <f>AB25</f>
        <v>0</v>
      </c>
      <c r="AF25" s="147"/>
    </row>
    <row r="26" spans="1:34" ht="15.95" customHeight="1" thickTop="1" x14ac:dyDescent="0.25">
      <c r="A26" s="167" t="s">
        <v>15</v>
      </c>
      <c r="B26" s="45"/>
      <c r="C26" s="45"/>
      <c r="D26" s="45"/>
      <c r="E26" s="27"/>
      <c r="F26" s="38"/>
      <c r="G26" s="39"/>
      <c r="H26" s="30"/>
      <c r="I26" s="56"/>
      <c r="J26" s="40">
        <v>9000</v>
      </c>
      <c r="K26" s="40">
        <v>9400</v>
      </c>
      <c r="L26" s="40">
        <v>10600</v>
      </c>
      <c r="M26" s="40">
        <v>10900</v>
      </c>
      <c r="N26" s="163">
        <v>11200</v>
      </c>
      <c r="O26" s="50">
        <v>11500</v>
      </c>
      <c r="P26" s="241"/>
      <c r="Q26" s="226">
        <v>25</v>
      </c>
      <c r="R26" s="233"/>
      <c r="S26" s="249"/>
      <c r="T26" s="250"/>
      <c r="U26" s="234"/>
      <c r="V26" s="228"/>
      <c r="W26" s="229">
        <v>26</v>
      </c>
      <c r="X26" s="230"/>
      <c r="Y26" s="109">
        <v>13000</v>
      </c>
      <c r="Z26" s="65">
        <v>13400</v>
      </c>
      <c r="AA26" s="102">
        <f>TRENDS!P26</f>
        <v>13500</v>
      </c>
      <c r="AB26" s="98">
        <f>TRENDS!AD26</f>
        <v>21500</v>
      </c>
      <c r="AC26" s="103">
        <f>(((Z26/Y26))^(1/($Z$6-$Y$6)))-1</f>
        <v>3.076923076923066E-2</v>
      </c>
      <c r="AD26" s="103">
        <f>(((AB26/Z26))^(1/($AB$6-$Z$6)))-1</f>
        <v>3.7038541057360153E-2</v>
      </c>
      <c r="AE26" s="145">
        <f>AB26</f>
        <v>21500</v>
      </c>
      <c r="AF26" s="147">
        <f>(((AE26/Z26))^(1/($AE$6-$Z$6)))-1</f>
        <v>3.7038541057360153E-2</v>
      </c>
    </row>
    <row r="27" spans="1:34" ht="15.95" customHeight="1" x14ac:dyDescent="0.25">
      <c r="A27" s="167"/>
      <c r="B27" s="45"/>
      <c r="C27" s="45"/>
      <c r="D27" s="45"/>
      <c r="E27" s="51"/>
      <c r="F27" s="55"/>
      <c r="G27" s="56"/>
      <c r="H27" s="56"/>
      <c r="I27" s="56"/>
      <c r="J27" s="40"/>
      <c r="K27" s="40"/>
      <c r="L27" s="40"/>
      <c r="M27" s="40"/>
      <c r="N27" s="163"/>
      <c r="O27" s="50"/>
      <c r="P27" s="241"/>
      <c r="Q27" s="222"/>
      <c r="R27" s="261"/>
      <c r="S27" s="262"/>
      <c r="T27" s="263"/>
      <c r="U27" s="261"/>
      <c r="V27" s="230"/>
      <c r="W27" s="230"/>
      <c r="X27" s="230"/>
      <c r="Y27" s="109"/>
      <c r="Z27" s="65"/>
      <c r="AA27" s="102"/>
      <c r="AB27" s="98"/>
      <c r="AC27" s="98"/>
      <c r="AD27" s="103"/>
      <c r="AE27" s="145">
        <f>AB27</f>
        <v>0</v>
      </c>
      <c r="AF27" s="147"/>
    </row>
    <row r="28" spans="1:34" s="125" customFormat="1" ht="15.95" customHeight="1" x14ac:dyDescent="0.25">
      <c r="A28" s="240" t="s">
        <v>16</v>
      </c>
      <c r="B28" s="127">
        <v>1.06</v>
      </c>
      <c r="C28" s="127">
        <v>1.32</v>
      </c>
      <c r="D28" s="127"/>
      <c r="E28" s="118"/>
      <c r="F28" s="119"/>
      <c r="G28" s="120"/>
      <c r="H28" s="120"/>
      <c r="I28" s="120"/>
      <c r="J28" s="132">
        <v>58200</v>
      </c>
      <c r="K28" s="121">
        <v>60200</v>
      </c>
      <c r="L28" s="122">
        <v>64900</v>
      </c>
      <c r="M28" s="122">
        <v>66600</v>
      </c>
      <c r="N28" s="161">
        <v>68300</v>
      </c>
      <c r="O28" s="122">
        <v>70000</v>
      </c>
      <c r="P28" s="235"/>
      <c r="Q28" s="268"/>
      <c r="R28" s="269">
        <v>23</v>
      </c>
      <c r="S28" s="278"/>
      <c r="T28" s="271"/>
      <c r="U28" s="269"/>
      <c r="V28" s="272">
        <v>24</v>
      </c>
      <c r="W28" s="272"/>
      <c r="X28" s="272"/>
      <c r="Y28" s="123">
        <v>79300</v>
      </c>
      <c r="Z28" s="124">
        <v>81400</v>
      </c>
      <c r="AA28" s="106">
        <f>TRENDS!P28</f>
        <v>84000</v>
      </c>
      <c r="AB28" s="107">
        <f>TRENDS!AD28</f>
        <v>112900</v>
      </c>
      <c r="AC28" s="108">
        <f>(((Z28/Y28))^(1/($Z$6-$Y$6)))-1</f>
        <v>2.6481715006305251E-2</v>
      </c>
      <c r="AD28" s="108">
        <f>(((AB28/Z28))^(1/($AB$6-$Z$6)))-1</f>
        <v>2.5482907207312611E-2</v>
      </c>
      <c r="AE28" s="151">
        <f>AE23+AE26-AE24</f>
        <v>112899.84415484048</v>
      </c>
      <c r="AF28" s="149">
        <f>(((AE28/Z28))^(1/($AE$6-$Z$6)))-1</f>
        <v>2.5482798318132938E-2</v>
      </c>
      <c r="AG28" s="217">
        <f>AE28/AE12-1</f>
        <v>0.19957107751188841</v>
      </c>
      <c r="AH28" s="217"/>
    </row>
    <row r="29" spans="1:34" ht="15.95" customHeight="1" thickBot="1" x14ac:dyDescent="0.3">
      <c r="A29" s="167"/>
      <c r="B29" s="45"/>
      <c r="C29" s="45"/>
      <c r="D29" s="45"/>
      <c r="E29" s="24"/>
      <c r="F29" s="43"/>
      <c r="G29" s="5"/>
      <c r="H29" s="5"/>
      <c r="I29" s="5"/>
      <c r="J29" s="61"/>
      <c r="K29" s="61"/>
      <c r="L29" s="62"/>
      <c r="M29" s="62"/>
      <c r="N29" s="165"/>
      <c r="O29" s="62"/>
      <c r="P29" s="279"/>
      <c r="Q29" s="280"/>
      <c r="R29" s="281"/>
      <c r="S29" s="282"/>
      <c r="T29" s="170"/>
      <c r="U29" s="281"/>
      <c r="V29" s="252"/>
      <c r="W29" s="252"/>
      <c r="X29" s="252"/>
      <c r="Y29" s="111"/>
      <c r="Z29" s="112"/>
      <c r="AA29" s="102"/>
      <c r="AB29" s="98"/>
      <c r="AC29" s="98"/>
      <c r="AD29" s="103"/>
      <c r="AE29" s="145">
        <f t="shared" ref="AE29:AE39" si="5">AB29</f>
        <v>0</v>
      </c>
      <c r="AF29" s="147"/>
    </row>
    <row r="30" spans="1:34" ht="15.95" customHeight="1" thickTop="1" x14ac:dyDescent="0.25">
      <c r="A30" s="167" t="s">
        <v>17</v>
      </c>
      <c r="B30" s="45">
        <v>1.06</v>
      </c>
      <c r="C30" s="45">
        <v>1.32</v>
      </c>
      <c r="D30" s="45"/>
      <c r="E30" s="27"/>
      <c r="F30" s="38"/>
      <c r="G30" s="39"/>
      <c r="H30" s="30"/>
      <c r="I30" s="56"/>
      <c r="J30" s="63">
        <v>4700</v>
      </c>
      <c r="K30" s="64">
        <v>5000</v>
      </c>
      <c r="L30" s="64">
        <v>5700</v>
      </c>
      <c r="M30" s="64">
        <v>5900</v>
      </c>
      <c r="N30" s="166">
        <v>6100</v>
      </c>
      <c r="O30" s="65">
        <v>6300</v>
      </c>
      <c r="P30" s="283"/>
      <c r="Q30" s="284">
        <v>45</v>
      </c>
      <c r="R30" s="233"/>
      <c r="S30" s="249"/>
      <c r="T30" s="250"/>
      <c r="U30" s="234"/>
      <c r="V30" s="228"/>
      <c r="W30" s="285">
        <v>46</v>
      </c>
      <c r="X30" s="230"/>
      <c r="Y30" s="109">
        <v>7300</v>
      </c>
      <c r="Z30" s="65">
        <v>7500</v>
      </c>
      <c r="AA30" s="102">
        <f>TRENDS!P30</f>
        <v>7300</v>
      </c>
      <c r="AB30" s="98">
        <f>TRENDS!AD30</f>
        <v>9800</v>
      </c>
      <c r="AC30" s="103">
        <f t="shared" ref="AC30:AC39" si="6">(((Z30/Y30))^(1/($Z$6-$Y$6)))-1</f>
        <v>2.7397260273972712E-2</v>
      </c>
      <c r="AD30" s="103">
        <f t="shared" ref="AD30:AD39" si="7">(((AB30/Z30))^(1/($AB$6-$Z$6)))-1</f>
        <v>2.0788467241478203E-2</v>
      </c>
      <c r="AE30" s="145">
        <f t="shared" si="5"/>
        <v>9800</v>
      </c>
      <c r="AF30" s="147">
        <f t="shared" ref="AF30:AF39" si="8">(((AE30/Z30))^(1/($AE$6-$Z$6)))-1</f>
        <v>2.0788467241478203E-2</v>
      </c>
      <c r="AG30" s="218"/>
    </row>
    <row r="31" spans="1:34" s="125" customFormat="1" ht="15.95" customHeight="1" x14ac:dyDescent="0.25">
      <c r="A31" s="304"/>
      <c r="B31" s="127"/>
      <c r="C31" s="127"/>
      <c r="D31" s="127"/>
      <c r="E31" s="128"/>
      <c r="F31" s="129"/>
      <c r="G31" s="130"/>
      <c r="H31" s="130"/>
      <c r="I31" s="130"/>
      <c r="J31" s="132">
        <v>62900</v>
      </c>
      <c r="K31" s="121">
        <v>65200</v>
      </c>
      <c r="L31" s="122">
        <v>70600</v>
      </c>
      <c r="M31" s="122">
        <v>72500</v>
      </c>
      <c r="N31" s="161">
        <v>74400</v>
      </c>
      <c r="O31" s="122">
        <v>76300</v>
      </c>
      <c r="P31" s="235"/>
      <c r="Q31" s="256"/>
      <c r="R31" s="286">
        <v>27</v>
      </c>
      <c r="S31" s="258"/>
      <c r="T31" s="259"/>
      <c r="U31" s="257"/>
      <c r="V31" s="287">
        <v>28</v>
      </c>
      <c r="W31" s="260"/>
      <c r="X31" s="260"/>
      <c r="Y31" s="123">
        <v>86600</v>
      </c>
      <c r="Z31" s="124">
        <v>88900</v>
      </c>
      <c r="AA31" s="106">
        <f>TRENDS!P31</f>
        <v>91300</v>
      </c>
      <c r="AB31" s="107">
        <f>TRENDS!AD31</f>
        <v>122700</v>
      </c>
      <c r="AC31" s="108">
        <f t="shared" si="6"/>
        <v>2.6558891454965261E-2</v>
      </c>
      <c r="AD31" s="108">
        <f t="shared" si="7"/>
        <v>2.5096689303208741E-2</v>
      </c>
      <c r="AE31" s="151">
        <f t="shared" si="5"/>
        <v>122700</v>
      </c>
      <c r="AF31" s="149">
        <f t="shared" si="8"/>
        <v>2.5096689303208741E-2</v>
      </c>
      <c r="AG31" s="219"/>
    </row>
    <row r="32" spans="1:34" ht="15.95" customHeight="1" thickBot="1" x14ac:dyDescent="0.3">
      <c r="A32" s="167" t="s">
        <v>18</v>
      </c>
      <c r="B32" s="45"/>
      <c r="C32" s="45"/>
      <c r="D32" s="45"/>
      <c r="E32" s="46"/>
      <c r="F32" s="47"/>
      <c r="G32" s="48"/>
      <c r="H32" s="49"/>
      <c r="I32" s="56"/>
      <c r="J32" s="64">
        <v>6200</v>
      </c>
      <c r="K32" s="64">
        <v>6300</v>
      </c>
      <c r="L32" s="64">
        <v>7100</v>
      </c>
      <c r="M32" s="64">
        <v>7300</v>
      </c>
      <c r="N32" s="166">
        <v>7500</v>
      </c>
      <c r="O32" s="65">
        <v>7700</v>
      </c>
      <c r="P32" s="283"/>
      <c r="Q32" s="242">
        <v>29</v>
      </c>
      <c r="R32" s="243"/>
      <c r="S32" s="244"/>
      <c r="T32" s="245"/>
      <c r="U32" s="246"/>
      <c r="V32" s="247"/>
      <c r="W32" s="248">
        <v>30</v>
      </c>
      <c r="X32" s="230"/>
      <c r="Y32" s="109">
        <v>8700</v>
      </c>
      <c r="Z32" s="65">
        <v>8900</v>
      </c>
      <c r="AA32" s="102">
        <f>TRENDS!P32</f>
        <v>13400</v>
      </c>
      <c r="AB32" s="98">
        <f>TRENDS!AD32</f>
        <v>22000</v>
      </c>
      <c r="AC32" s="103">
        <f t="shared" si="6"/>
        <v>2.2988505747126409E-2</v>
      </c>
      <c r="AD32" s="103">
        <f t="shared" si="7"/>
        <v>7.2095029770722574E-2</v>
      </c>
      <c r="AE32" s="145">
        <f t="shared" si="5"/>
        <v>22000</v>
      </c>
      <c r="AF32" s="147">
        <f t="shared" si="8"/>
        <v>7.2095029770722574E-2</v>
      </c>
    </row>
    <row r="33" spans="1:32" ht="15.95" customHeight="1" thickTop="1" x14ac:dyDescent="0.25">
      <c r="A33" s="167"/>
      <c r="B33" s="45">
        <v>0.53</v>
      </c>
      <c r="C33" s="45">
        <v>0.79</v>
      </c>
      <c r="D33" s="45"/>
      <c r="E33" s="51"/>
      <c r="F33" s="38"/>
      <c r="G33" s="39"/>
      <c r="H33" s="52"/>
      <c r="I33" s="52"/>
      <c r="J33" s="64">
        <v>14800</v>
      </c>
      <c r="K33" s="64">
        <v>15400</v>
      </c>
      <c r="L33" s="64">
        <v>17400</v>
      </c>
      <c r="M33" s="64">
        <v>17900</v>
      </c>
      <c r="N33" s="166">
        <v>18400</v>
      </c>
      <c r="O33" s="65">
        <v>18900</v>
      </c>
      <c r="P33" s="283"/>
      <c r="Q33" s="222">
        <v>31</v>
      </c>
      <c r="R33" s="233"/>
      <c r="S33" s="249"/>
      <c r="T33" s="250"/>
      <c r="U33" s="234"/>
      <c r="V33" s="228"/>
      <c r="W33" s="251">
        <v>32</v>
      </c>
      <c r="X33" s="251"/>
      <c r="Y33" s="109">
        <v>21700</v>
      </c>
      <c r="Z33" s="65">
        <v>22300</v>
      </c>
      <c r="AA33" s="102">
        <f>TRENDS!P33</f>
        <v>21700</v>
      </c>
      <c r="AB33" s="98">
        <f>TRENDS!AD33</f>
        <v>27800</v>
      </c>
      <c r="AC33" s="103">
        <f t="shared" si="6"/>
        <v>2.7649769585253559E-2</v>
      </c>
      <c r="AD33" s="103">
        <f t="shared" si="7"/>
        <v>1.7102238701226957E-2</v>
      </c>
      <c r="AE33" s="145">
        <f t="shared" si="5"/>
        <v>27800</v>
      </c>
      <c r="AF33" s="147">
        <f t="shared" si="8"/>
        <v>1.7102238701226957E-2</v>
      </c>
    </row>
    <row r="34" spans="1:32" s="125" customFormat="1" ht="15.95" customHeight="1" x14ac:dyDescent="0.25">
      <c r="A34" s="240"/>
      <c r="B34" s="127"/>
      <c r="C34" s="127"/>
      <c r="D34" s="127"/>
      <c r="E34" s="118"/>
      <c r="F34" s="119"/>
      <c r="G34" s="120"/>
      <c r="H34" s="120"/>
      <c r="I34" s="120"/>
      <c r="J34" s="132">
        <v>71500</v>
      </c>
      <c r="K34" s="121">
        <v>74300</v>
      </c>
      <c r="L34" s="122">
        <v>80900</v>
      </c>
      <c r="M34" s="122">
        <v>83100</v>
      </c>
      <c r="N34" s="161">
        <v>85300</v>
      </c>
      <c r="O34" s="122">
        <v>87500</v>
      </c>
      <c r="P34" s="235"/>
      <c r="Q34" s="268"/>
      <c r="R34" s="269">
        <v>33</v>
      </c>
      <c r="S34" s="278"/>
      <c r="T34" s="288"/>
      <c r="U34" s="289"/>
      <c r="V34" s="272">
        <v>34</v>
      </c>
      <c r="W34" s="272"/>
      <c r="X34" s="272"/>
      <c r="Y34" s="123">
        <v>99600</v>
      </c>
      <c r="Z34" s="124">
        <v>102300</v>
      </c>
      <c r="AA34" s="106">
        <f>TRENDS!P34</f>
        <v>99600</v>
      </c>
      <c r="AB34" s="107">
        <f>TRENDS!AD34</f>
        <v>128500</v>
      </c>
      <c r="AC34" s="108">
        <f t="shared" si="6"/>
        <v>2.7108433734939652E-2</v>
      </c>
      <c r="AD34" s="108">
        <f t="shared" si="7"/>
        <v>1.7694668954793658E-2</v>
      </c>
      <c r="AE34" s="151">
        <f t="shared" si="5"/>
        <v>128500</v>
      </c>
      <c r="AF34" s="149">
        <f t="shared" si="8"/>
        <v>1.7694668954793658E-2</v>
      </c>
    </row>
    <row r="35" spans="1:32" ht="15.95" customHeight="1" thickBot="1" x14ac:dyDescent="0.3">
      <c r="A35" s="167" t="s">
        <v>19</v>
      </c>
      <c r="B35" s="45"/>
      <c r="C35" s="45"/>
      <c r="D35" s="45"/>
      <c r="E35" s="46"/>
      <c r="F35" s="47"/>
      <c r="G35" s="48"/>
      <c r="H35" s="49"/>
      <c r="I35" s="56"/>
      <c r="J35" s="64">
        <v>8800</v>
      </c>
      <c r="K35" s="64">
        <v>9000</v>
      </c>
      <c r="L35" s="64">
        <v>10200</v>
      </c>
      <c r="M35" s="64">
        <v>10500</v>
      </c>
      <c r="N35" s="166">
        <v>10700</v>
      </c>
      <c r="O35" s="65">
        <v>10900</v>
      </c>
      <c r="P35" s="283"/>
      <c r="Q35" s="242">
        <v>35</v>
      </c>
      <c r="R35" s="243"/>
      <c r="S35" s="244"/>
      <c r="T35" s="242"/>
      <c r="U35" s="246"/>
      <c r="V35" s="247"/>
      <c r="W35" s="248">
        <v>36</v>
      </c>
      <c r="X35" s="230"/>
      <c r="Y35" s="109">
        <v>12000</v>
      </c>
      <c r="Z35" s="65">
        <v>12200</v>
      </c>
      <c r="AA35" s="102">
        <f>TRENDS!P35</f>
        <v>13300</v>
      </c>
      <c r="AB35" s="98">
        <f>TRENDS!AD35</f>
        <v>17600</v>
      </c>
      <c r="AC35" s="103">
        <f t="shared" si="6"/>
        <v>1.6666666666666607E-2</v>
      </c>
      <c r="AD35" s="103">
        <f t="shared" si="7"/>
        <v>2.8590540376593365E-2</v>
      </c>
      <c r="AE35" s="145">
        <f t="shared" si="5"/>
        <v>17600</v>
      </c>
      <c r="AF35" s="147">
        <f t="shared" si="8"/>
        <v>2.8590540376593365E-2</v>
      </c>
    </row>
    <row r="36" spans="1:32" ht="15.95" customHeight="1" thickTop="1" x14ac:dyDescent="0.25">
      <c r="A36" s="167"/>
      <c r="B36" s="45">
        <v>0.26</v>
      </c>
      <c r="C36" s="45">
        <v>0.53</v>
      </c>
      <c r="D36" s="45"/>
      <c r="E36" s="51"/>
      <c r="F36" s="38"/>
      <c r="G36" s="39"/>
      <c r="H36" s="52"/>
      <c r="I36" s="52"/>
      <c r="J36" s="64">
        <v>7300</v>
      </c>
      <c r="K36" s="64">
        <v>7600</v>
      </c>
      <c r="L36" s="64">
        <v>8600</v>
      </c>
      <c r="M36" s="64">
        <v>8800</v>
      </c>
      <c r="N36" s="166">
        <v>9000</v>
      </c>
      <c r="O36" s="65">
        <v>9200</v>
      </c>
      <c r="P36" s="283"/>
      <c r="Q36" s="222">
        <v>37</v>
      </c>
      <c r="R36" s="233"/>
      <c r="S36" s="249"/>
      <c r="T36" s="226"/>
      <c r="U36" s="234"/>
      <c r="V36" s="228"/>
      <c r="W36" s="251">
        <v>38</v>
      </c>
      <c r="X36" s="251"/>
      <c r="Y36" s="109">
        <v>10500</v>
      </c>
      <c r="Z36" s="65">
        <v>10800</v>
      </c>
      <c r="AA36" s="102">
        <f>TRENDS!P36</f>
        <v>12000</v>
      </c>
      <c r="AB36" s="98">
        <f>TRENDS!AD36</f>
        <v>17700</v>
      </c>
      <c r="AC36" s="103">
        <f t="shared" si="6"/>
        <v>2.857142857142847E-2</v>
      </c>
      <c r="AD36" s="103">
        <f t="shared" si="7"/>
        <v>3.8732711509433804E-2</v>
      </c>
      <c r="AE36" s="145">
        <f t="shared" si="5"/>
        <v>17700</v>
      </c>
      <c r="AF36" s="147">
        <f t="shared" si="8"/>
        <v>3.8732711509433804E-2</v>
      </c>
    </row>
    <row r="37" spans="1:32" s="125" customFormat="1" ht="15.95" customHeight="1" x14ac:dyDescent="0.25">
      <c r="A37" s="240"/>
      <c r="B37" s="133"/>
      <c r="C37" s="133"/>
      <c r="D37" s="133"/>
      <c r="E37" s="118"/>
      <c r="F37" s="119"/>
      <c r="G37" s="120"/>
      <c r="H37" s="120"/>
      <c r="I37" s="120"/>
      <c r="J37" s="132">
        <v>70000</v>
      </c>
      <c r="K37" s="121">
        <v>72900</v>
      </c>
      <c r="L37" s="122">
        <v>79300</v>
      </c>
      <c r="M37" s="122">
        <v>81400</v>
      </c>
      <c r="N37" s="161">
        <v>83600</v>
      </c>
      <c r="O37" s="122">
        <v>85800</v>
      </c>
      <c r="P37" s="235"/>
      <c r="Q37" s="268"/>
      <c r="R37" s="269">
        <v>39</v>
      </c>
      <c r="S37" s="278"/>
      <c r="T37" s="268"/>
      <c r="U37" s="269"/>
      <c r="V37" s="272">
        <v>40</v>
      </c>
      <c r="W37" s="272"/>
      <c r="X37" s="272"/>
      <c r="Y37" s="123">
        <v>98100</v>
      </c>
      <c r="Z37" s="124">
        <v>100900</v>
      </c>
      <c r="AA37" s="106">
        <f>TRENDS!P37</f>
        <v>98300</v>
      </c>
      <c r="AB37" s="107">
        <f>TRENDS!AD37</f>
        <v>128600</v>
      </c>
      <c r="AC37" s="108">
        <f t="shared" si="6"/>
        <v>2.854230377166167E-2</v>
      </c>
      <c r="AD37" s="108">
        <f t="shared" si="7"/>
        <v>1.8834941586767684E-2</v>
      </c>
      <c r="AE37" s="151">
        <f t="shared" si="5"/>
        <v>128600</v>
      </c>
      <c r="AF37" s="149">
        <f t="shared" si="8"/>
        <v>1.8834941586767684E-2</v>
      </c>
    </row>
    <row r="38" spans="1:32" ht="15.95" customHeight="1" thickBot="1" x14ac:dyDescent="0.3">
      <c r="A38" s="167" t="s">
        <v>20</v>
      </c>
      <c r="B38" s="33"/>
      <c r="C38" s="33"/>
      <c r="D38" s="33"/>
      <c r="E38" s="46"/>
      <c r="F38" s="47"/>
      <c r="G38" s="48"/>
      <c r="H38" s="49"/>
      <c r="I38" s="56"/>
      <c r="J38" s="64">
        <v>3000</v>
      </c>
      <c r="K38" s="64">
        <v>3100</v>
      </c>
      <c r="L38" s="64">
        <v>3500</v>
      </c>
      <c r="M38" s="64">
        <v>3600</v>
      </c>
      <c r="N38" s="166">
        <v>3700</v>
      </c>
      <c r="O38" s="65">
        <v>3800</v>
      </c>
      <c r="P38" s="283"/>
      <c r="Q38" s="242">
        <v>41</v>
      </c>
      <c r="R38" s="243"/>
      <c r="S38" s="244"/>
      <c r="T38" s="242"/>
      <c r="U38" s="246"/>
      <c r="V38" s="247"/>
      <c r="W38" s="248">
        <v>42</v>
      </c>
      <c r="X38" s="230"/>
      <c r="Y38" s="109">
        <v>4300</v>
      </c>
      <c r="Z38" s="65">
        <v>4400</v>
      </c>
      <c r="AA38" s="102">
        <f>TRENDS!P38</f>
        <v>4500</v>
      </c>
      <c r="AB38" s="98">
        <f>TRENDS!AD38</f>
        <v>5900</v>
      </c>
      <c r="AC38" s="103">
        <f t="shared" si="6"/>
        <v>2.3255813953488413E-2</v>
      </c>
      <c r="AD38" s="103">
        <f t="shared" si="7"/>
        <v>2.2821736488125133E-2</v>
      </c>
      <c r="AE38" s="145">
        <f t="shared" si="5"/>
        <v>5900</v>
      </c>
      <c r="AF38" s="147">
        <f t="shared" si="8"/>
        <v>2.2821736488125133E-2</v>
      </c>
    </row>
    <row r="39" spans="1:32" s="125" customFormat="1" ht="15.95" customHeight="1" thickTop="1" thickBot="1" x14ac:dyDescent="0.3">
      <c r="A39" s="240"/>
      <c r="B39" s="140"/>
      <c r="C39" s="140"/>
      <c r="D39" s="140"/>
      <c r="E39" s="118"/>
      <c r="F39" s="119"/>
      <c r="G39" s="120"/>
      <c r="H39" s="120"/>
      <c r="I39" s="120"/>
      <c r="J39" s="132">
        <v>67000</v>
      </c>
      <c r="K39" s="121">
        <v>69800</v>
      </c>
      <c r="L39" s="122">
        <v>75800</v>
      </c>
      <c r="M39" s="122">
        <v>77800</v>
      </c>
      <c r="N39" s="161">
        <v>79900</v>
      </c>
      <c r="O39" s="122">
        <v>82000</v>
      </c>
      <c r="P39" s="235"/>
      <c r="Q39" s="268"/>
      <c r="R39" s="269">
        <v>43</v>
      </c>
      <c r="S39" s="290"/>
      <c r="T39" s="291"/>
      <c r="U39" s="269"/>
      <c r="V39" s="272">
        <v>44</v>
      </c>
      <c r="W39" s="272"/>
      <c r="X39" s="272"/>
      <c r="Y39" s="141">
        <v>93800</v>
      </c>
      <c r="Z39" s="142">
        <v>96500</v>
      </c>
      <c r="AA39" s="113">
        <f>TRENDS!P39</f>
        <v>93800</v>
      </c>
      <c r="AB39" s="114">
        <f>TRENDS!AD39</f>
        <v>122700</v>
      </c>
      <c r="AC39" s="115">
        <f t="shared" si="6"/>
        <v>2.8784648187633266E-2</v>
      </c>
      <c r="AD39" s="115">
        <f t="shared" si="7"/>
        <v>1.86486261693668E-2</v>
      </c>
      <c r="AE39" s="153">
        <f t="shared" si="5"/>
        <v>122700</v>
      </c>
      <c r="AF39" s="154">
        <f t="shared" si="8"/>
        <v>1.86486261693668E-2</v>
      </c>
    </row>
    <row r="40" spans="1:32" s="125" customFormat="1" ht="15.95" customHeight="1" thickTop="1" x14ac:dyDescent="0.25">
      <c r="A40" s="240"/>
      <c r="B40" s="126"/>
      <c r="C40" s="126"/>
      <c r="D40" s="126"/>
      <c r="E40" s="134" t="s">
        <v>21</v>
      </c>
      <c r="F40" s="134"/>
      <c r="G40" s="134"/>
      <c r="H40" s="134"/>
      <c r="I40" s="134"/>
      <c r="J40" s="135"/>
      <c r="K40" s="136"/>
      <c r="L40" s="136"/>
      <c r="M40" s="137"/>
      <c r="N40" s="126"/>
      <c r="O40" s="138"/>
      <c r="P40" s="292"/>
      <c r="Q40" s="293" t="s">
        <v>21</v>
      </c>
      <c r="R40" s="293"/>
      <c r="S40" s="293"/>
      <c r="T40" s="293"/>
      <c r="U40" s="293"/>
      <c r="V40" s="293"/>
      <c r="W40" s="293"/>
      <c r="X40" s="293"/>
      <c r="Y40" s="120"/>
      <c r="Z40" s="120"/>
      <c r="AA40" s="139"/>
    </row>
    <row r="41" spans="1:32" ht="15.95" customHeight="1" x14ac:dyDescent="0.25">
      <c r="A41" s="167"/>
      <c r="B41" s="4"/>
      <c r="C41" s="4"/>
      <c r="D41" s="4"/>
      <c r="E41" s="66" t="s">
        <v>22</v>
      </c>
      <c r="F41" s="66"/>
      <c r="G41" s="66"/>
      <c r="H41" s="66"/>
      <c r="I41" s="66"/>
      <c r="J41" s="69"/>
      <c r="K41" s="68"/>
      <c r="L41" s="4"/>
      <c r="M41" s="4"/>
      <c r="N41" s="4"/>
      <c r="O41" s="70"/>
      <c r="P41" s="294"/>
      <c r="Q41" s="295" t="s">
        <v>22</v>
      </c>
      <c r="R41" s="295"/>
      <c r="S41" s="295"/>
      <c r="T41" s="295"/>
      <c r="U41" s="295"/>
      <c r="V41" s="295"/>
      <c r="W41" s="295"/>
      <c r="X41" s="295"/>
      <c r="Y41" s="5"/>
      <c r="Z41" s="5"/>
      <c r="AA41" s="95"/>
    </row>
    <row r="42" spans="1:32" ht="15.95" customHeight="1" x14ac:dyDescent="0.25">
      <c r="A42" s="4"/>
      <c r="B42" s="4"/>
      <c r="C42" s="4"/>
      <c r="D42" s="4"/>
      <c r="E42" s="66"/>
      <c r="F42" s="66"/>
      <c r="G42" s="66"/>
      <c r="H42" s="66"/>
      <c r="I42" s="66"/>
      <c r="J42" s="69"/>
      <c r="K42" s="68"/>
      <c r="L42" s="4"/>
      <c r="M42" s="4"/>
      <c r="N42" s="4"/>
      <c r="O42" s="70"/>
      <c r="P42" s="294"/>
      <c r="Q42" s="295"/>
      <c r="R42" s="295"/>
      <c r="S42" s="298"/>
      <c r="T42" s="295"/>
      <c r="U42" s="295"/>
      <c r="V42" s="295"/>
      <c r="W42" s="295"/>
      <c r="X42" s="295"/>
      <c r="Y42" s="177" t="s">
        <v>42</v>
      </c>
      <c r="Z42" s="5"/>
      <c r="AA42" s="95"/>
    </row>
    <row r="43" spans="1:32" ht="15.95" customHeight="1" x14ac:dyDescent="0.25">
      <c r="A43" s="71" t="s">
        <v>23</v>
      </c>
      <c r="B43" s="4"/>
      <c r="C43" s="4"/>
      <c r="D43" s="4"/>
      <c r="E43" s="72"/>
      <c r="F43" s="25"/>
      <c r="G43" s="25"/>
      <c r="H43" s="25"/>
      <c r="I43" s="25"/>
      <c r="J43" s="4"/>
      <c r="K43" s="4"/>
      <c r="L43" s="4"/>
      <c r="M43" s="4"/>
      <c r="N43" s="4"/>
      <c r="O43" s="73"/>
      <c r="P43" s="299"/>
      <c r="Q43" s="300"/>
      <c r="R43" s="301"/>
      <c r="S43" s="222"/>
      <c r="T43" s="224"/>
      <c r="U43" s="224"/>
      <c r="V43" s="224"/>
      <c r="W43" s="224"/>
      <c r="X43" s="224"/>
      <c r="Y43" s="5"/>
      <c r="Z43" s="5"/>
      <c r="AA43" s="95"/>
    </row>
    <row r="44" spans="1:32" ht="15.95" customHeight="1" x14ac:dyDescent="0.25">
      <c r="A44" s="74" t="s">
        <v>24</v>
      </c>
      <c r="B44" s="75"/>
      <c r="C44" s="75"/>
      <c r="D44" s="75"/>
      <c r="E44" s="76"/>
      <c r="F44" s="76"/>
      <c r="G44" s="77"/>
      <c r="H44" s="77"/>
      <c r="I44" s="77"/>
      <c r="J44" s="57"/>
      <c r="K44" s="57"/>
      <c r="L44" s="57"/>
      <c r="M44" s="57"/>
      <c r="N44" s="57"/>
      <c r="O44" s="54"/>
      <c r="P44" s="252"/>
      <c r="Q44" s="222"/>
      <c r="R44" s="222"/>
      <c r="Y44" s="54"/>
      <c r="Z44" s="54"/>
    </row>
    <row r="45" spans="1:32" ht="15.95" customHeight="1" x14ac:dyDescent="0.25">
      <c r="A45" s="78" t="s">
        <v>25</v>
      </c>
      <c r="Y45" s="5"/>
      <c r="Z45" s="5"/>
      <c r="AA45" s="95"/>
    </row>
    <row r="46" spans="1:32" ht="15.95" customHeight="1" x14ac:dyDescent="0.25">
      <c r="R46" s="231"/>
      <c r="Y46" s="5"/>
      <c r="Z46" s="5"/>
      <c r="AA46" s="95"/>
    </row>
    <row r="47" spans="1:32" ht="15.95" customHeight="1" x14ac:dyDescent="0.25">
      <c r="Y47" s="5"/>
      <c r="Z47" s="5"/>
      <c r="AA47" s="95"/>
    </row>
    <row r="48" spans="1:32" ht="15.95" customHeight="1" x14ac:dyDescent="0.25">
      <c r="Y48" s="5"/>
      <c r="Z48" s="5"/>
      <c r="AA48" s="95"/>
    </row>
    <row r="49" spans="25:27" ht="15.95" customHeight="1" x14ac:dyDescent="0.25">
      <c r="Y49" s="5"/>
      <c r="Z49" s="5"/>
      <c r="AA49" s="95"/>
    </row>
    <row r="50" spans="25:27" ht="15.95" customHeight="1" x14ac:dyDescent="0.25">
      <c r="Y50" s="5"/>
      <c r="Z50" s="5"/>
      <c r="AA50" s="95"/>
    </row>
    <row r="51" spans="25:27" ht="15.95" customHeight="1" x14ac:dyDescent="0.25">
      <c r="Y51" s="5"/>
      <c r="Z51" s="5"/>
      <c r="AA51" s="95"/>
    </row>
    <row r="52" spans="25:27" ht="15.95" customHeight="1" x14ac:dyDescent="0.25">
      <c r="Y52" s="5"/>
      <c r="Z52" s="5"/>
      <c r="AA52" s="95"/>
    </row>
    <row r="53" spans="25:27" ht="15.95" customHeight="1" x14ac:dyDescent="0.25">
      <c r="Y53" s="5"/>
      <c r="Z53" s="5"/>
      <c r="AA53" s="95"/>
    </row>
    <row r="54" spans="25:27" ht="15.95" customHeight="1" x14ac:dyDescent="0.25">
      <c r="Y54" s="5"/>
      <c r="Z54" s="5"/>
      <c r="AA54" s="95"/>
    </row>
    <row r="55" spans="25:27" ht="15.95" customHeight="1" x14ac:dyDescent="0.25">
      <c r="Y55" s="5"/>
      <c r="Z55" s="5"/>
      <c r="AA55" s="95"/>
    </row>
    <row r="56" spans="25:27" ht="15.95" customHeight="1" x14ac:dyDescent="0.25">
      <c r="Y56" s="13"/>
      <c r="Z56" s="13"/>
      <c r="AA56" s="97"/>
    </row>
    <row r="57" spans="25:27" ht="15.95" customHeight="1" x14ac:dyDescent="0.25">
      <c r="Y57" s="5"/>
      <c r="Z57" s="5"/>
      <c r="AA57" s="95"/>
    </row>
    <row r="58" spans="25:27" ht="15.95" customHeight="1" x14ac:dyDescent="0.25">
      <c r="Y58" s="5"/>
      <c r="Z58" s="5"/>
      <c r="AA58" s="95"/>
    </row>
    <row r="59" spans="25:27" ht="15.95" customHeight="1" x14ac:dyDescent="0.25">
      <c r="Y59" s="5"/>
      <c r="Z59" s="5"/>
      <c r="AA59" s="95"/>
    </row>
    <row r="60" spans="25:27" ht="15.95" customHeight="1" x14ac:dyDescent="0.25">
      <c r="Y60" s="5"/>
      <c r="Z60" s="5"/>
      <c r="AA60" s="95"/>
    </row>
    <row r="61" spans="25:27" ht="15.95" customHeight="1" x14ac:dyDescent="0.25">
      <c r="Y61" s="5"/>
      <c r="Z61" s="5"/>
      <c r="AA61" s="95"/>
    </row>
    <row r="62" spans="25:27" ht="15.95" customHeight="1" x14ac:dyDescent="0.25">
      <c r="Y62" s="5"/>
      <c r="Z62" s="5"/>
      <c r="AA62" s="95"/>
    </row>
    <row r="63" spans="25:27" ht="15.95" customHeight="1" x14ac:dyDescent="0.25">
      <c r="Y63" s="5"/>
      <c r="Z63" s="5"/>
      <c r="AA63" s="95"/>
    </row>
    <row r="64" spans="25:27" ht="15.95" customHeight="1" x14ac:dyDescent="0.25">
      <c r="Y64" s="5"/>
      <c r="Z64" s="5"/>
      <c r="AA64" s="95"/>
    </row>
    <row r="65" spans="25:27" ht="15.95" customHeight="1" x14ac:dyDescent="0.25">
      <c r="Y65" s="5"/>
      <c r="Z65" s="5"/>
      <c r="AA65" s="95"/>
    </row>
    <row r="66" spans="25:27" ht="15.95" customHeight="1" x14ac:dyDescent="0.25">
      <c r="Y66" s="5"/>
      <c r="Z66" s="5"/>
      <c r="AA66" s="95"/>
    </row>
    <row r="67" spans="25:27" ht="15.95" customHeight="1" x14ac:dyDescent="0.25">
      <c r="Y67" s="5"/>
      <c r="Z67" s="5"/>
      <c r="AA67" s="95"/>
    </row>
    <row r="68" spans="25:27" ht="15.95" customHeight="1" x14ac:dyDescent="0.25">
      <c r="Y68" s="5"/>
      <c r="Z68" s="5"/>
      <c r="AA68" s="95"/>
    </row>
    <row r="69" spans="25:27" ht="15.95" customHeight="1" x14ac:dyDescent="0.25">
      <c r="Y69" s="5"/>
      <c r="Z69" s="5"/>
      <c r="AA69" s="95"/>
    </row>
    <row r="70" spans="25:27" ht="15.95" customHeight="1" x14ac:dyDescent="0.25">
      <c r="Y70" s="5"/>
      <c r="Z70" s="5"/>
      <c r="AA70" s="95"/>
    </row>
    <row r="71" spans="25:27" ht="15.95" customHeight="1" x14ac:dyDescent="0.25">
      <c r="Y71" s="5"/>
      <c r="Z71" s="5"/>
      <c r="AA71" s="95"/>
    </row>
    <row r="72" spans="25:27" ht="15.95" customHeight="1" x14ac:dyDescent="0.25">
      <c r="Y72" s="5"/>
      <c r="Z72" s="5"/>
      <c r="AA72" s="95"/>
    </row>
    <row r="73" spans="25:27" ht="15.95" customHeight="1" x14ac:dyDescent="0.25">
      <c r="Y73" s="5"/>
      <c r="Z73" s="5"/>
      <c r="AA73" s="95"/>
    </row>
    <row r="74" spans="25:27" ht="15.95" customHeight="1" x14ac:dyDescent="0.25">
      <c r="Y74" s="5"/>
      <c r="Z74" s="5"/>
      <c r="AA74" s="95"/>
    </row>
    <row r="75" spans="25:27" ht="15.95" customHeight="1" x14ac:dyDescent="0.25">
      <c r="Y75" s="5"/>
      <c r="Z75" s="5"/>
      <c r="AA75" s="95"/>
    </row>
    <row r="76" spans="25:27" ht="15.95" customHeight="1" x14ac:dyDescent="0.25">
      <c r="Y76" s="5"/>
      <c r="Z76" s="5"/>
      <c r="AA76" s="95"/>
    </row>
    <row r="77" spans="25:27" ht="15.95" customHeight="1" x14ac:dyDescent="0.25">
      <c r="Y77" s="5"/>
      <c r="Z77" s="5"/>
      <c r="AA77" s="95"/>
    </row>
    <row r="78" spans="25:27" ht="15.95" customHeight="1" x14ac:dyDescent="0.25">
      <c r="Y78" s="5"/>
      <c r="Z78" s="5"/>
      <c r="AA78" s="95"/>
    </row>
    <row r="79" spans="25:27" ht="15.95" customHeight="1" x14ac:dyDescent="0.25">
      <c r="Y79" s="5"/>
      <c r="Z79" s="5"/>
      <c r="AA79" s="95"/>
    </row>
    <row r="80" spans="25:27" ht="15.95" customHeight="1" x14ac:dyDescent="0.25">
      <c r="Y80" s="5"/>
      <c r="Z80" s="5"/>
      <c r="AA80" s="95"/>
    </row>
    <row r="81" spans="25:27" ht="15.95" customHeight="1" x14ac:dyDescent="0.25">
      <c r="Y81" s="5"/>
      <c r="Z81" s="5"/>
      <c r="AA81" s="95"/>
    </row>
    <row r="82" spans="25:27" ht="15.95" customHeight="1" x14ac:dyDescent="0.25">
      <c r="Y82" s="5"/>
      <c r="Z82" s="5"/>
      <c r="AA82" s="95"/>
    </row>
    <row r="83" spans="25:27" ht="15.95" customHeight="1" x14ac:dyDescent="0.25">
      <c r="Y83" s="5"/>
      <c r="Z83" s="5"/>
      <c r="AA83" s="95"/>
    </row>
    <row r="84" spans="25:27" ht="15.95" customHeight="1" x14ac:dyDescent="0.25">
      <c r="Y84" s="5"/>
      <c r="Z84" s="5"/>
      <c r="AA84" s="95"/>
    </row>
    <row r="85" spans="25:27" ht="15.95" customHeight="1" x14ac:dyDescent="0.25">
      <c r="Y85" s="5"/>
      <c r="Z85" s="5"/>
      <c r="AA85" s="95"/>
    </row>
    <row r="86" spans="25:27" ht="15.95" customHeight="1" x14ac:dyDescent="0.25">
      <c r="Y86" s="5"/>
      <c r="Z86" s="5"/>
      <c r="AA86" s="95"/>
    </row>
    <row r="87" spans="25:27" ht="15.95" customHeight="1" x14ac:dyDescent="0.25">
      <c r="Y87" s="5"/>
      <c r="Z87" s="5"/>
      <c r="AA87" s="95"/>
    </row>
    <row r="88" spans="25:27" ht="15.95" customHeight="1" x14ac:dyDescent="0.25">
      <c r="Y88" s="5"/>
      <c r="Z88" s="5"/>
      <c r="AA88" s="95"/>
    </row>
    <row r="89" spans="25:27" ht="15.95" customHeight="1" x14ac:dyDescent="0.25">
      <c r="Y89" s="5"/>
      <c r="Z89" s="5"/>
      <c r="AA89" s="95"/>
    </row>
    <row r="90" spans="25:27" ht="15.95" customHeight="1" x14ac:dyDescent="0.25">
      <c r="Y90" s="5"/>
      <c r="Z90" s="5"/>
      <c r="AA90" s="95"/>
    </row>
    <row r="91" spans="25:27" ht="15.95" customHeight="1" x14ac:dyDescent="0.25">
      <c r="Y91" s="5"/>
      <c r="Z91" s="5"/>
      <c r="AA91" s="95"/>
    </row>
    <row r="92" spans="25:27" ht="15.95" customHeight="1" x14ac:dyDescent="0.25">
      <c r="Y92" s="5"/>
      <c r="Z92" s="5"/>
      <c r="AA92" s="95"/>
    </row>
    <row r="93" spans="25:27" ht="15.95" customHeight="1" x14ac:dyDescent="0.25">
      <c r="Y93" s="5"/>
      <c r="Z93" s="5"/>
      <c r="AA93" s="95"/>
    </row>
    <row r="94" spans="25:27" ht="15.95" customHeight="1" x14ac:dyDescent="0.25">
      <c r="Y94" s="5"/>
      <c r="Z94" s="5"/>
      <c r="AA94" s="95"/>
    </row>
    <row r="95" spans="25:27" ht="15.95" customHeight="1" x14ac:dyDescent="0.25">
      <c r="Y95" s="5"/>
      <c r="Z95" s="5"/>
      <c r="AA95" s="95"/>
    </row>
    <row r="96" spans="25:27" ht="15.95" customHeight="1" x14ac:dyDescent="0.25">
      <c r="Y96" s="5"/>
      <c r="Z96" s="5"/>
      <c r="AA96" s="95"/>
    </row>
    <row r="97" spans="25:27" ht="15.95" customHeight="1" x14ac:dyDescent="0.25">
      <c r="Y97" s="5"/>
      <c r="Z97" s="5"/>
      <c r="AA97" s="95"/>
    </row>
    <row r="98" spans="25:27" ht="15.95" customHeight="1" x14ac:dyDescent="0.25">
      <c r="Y98" s="5"/>
      <c r="Z98" s="5"/>
      <c r="AA98" s="95"/>
    </row>
    <row r="99" spans="25:27" ht="15.95" customHeight="1" x14ac:dyDescent="0.25">
      <c r="Y99" s="5"/>
      <c r="Z99" s="5"/>
      <c r="AA99" s="95"/>
    </row>
    <row r="100" spans="25:27" ht="15.95" customHeight="1" x14ac:dyDescent="0.25">
      <c r="Y100" s="5"/>
      <c r="Z100" s="5"/>
      <c r="AA100" s="95"/>
    </row>
    <row r="101" spans="25:27" ht="15.95" customHeight="1" x14ac:dyDescent="0.25">
      <c r="Y101" s="5"/>
      <c r="Z101" s="5"/>
      <c r="AA101" s="95"/>
    </row>
    <row r="102" spans="25:27" ht="15.95" customHeight="1" x14ac:dyDescent="0.25">
      <c r="Y102" s="5"/>
      <c r="Z102" s="5"/>
      <c r="AA102" s="95"/>
    </row>
    <row r="103" spans="25:27" ht="15.95" customHeight="1" x14ac:dyDescent="0.25">
      <c r="Y103" s="5"/>
      <c r="Z103" s="5"/>
      <c r="AA103" s="95"/>
    </row>
    <row r="104" spans="25:27" ht="15.95" customHeight="1" x14ac:dyDescent="0.25">
      <c r="Y104" s="5"/>
      <c r="Z104" s="5"/>
      <c r="AA104" s="95"/>
    </row>
    <row r="105" spans="25:27" ht="15.95" customHeight="1" x14ac:dyDescent="0.25">
      <c r="Y105" s="5"/>
      <c r="Z105" s="5"/>
      <c r="AA105" s="95"/>
    </row>
    <row r="106" spans="25:27" ht="15.95" customHeight="1" x14ac:dyDescent="0.25">
      <c r="Y106" s="5"/>
      <c r="Z106" s="5"/>
      <c r="AA106" s="95"/>
    </row>
    <row r="107" spans="25:27" ht="15.95" customHeight="1" x14ac:dyDescent="0.25">
      <c r="Y107" s="5"/>
      <c r="Z107" s="5"/>
      <c r="AA107" s="95"/>
    </row>
    <row r="108" spans="25:27" ht="15.95" customHeight="1" x14ac:dyDescent="0.25">
      <c r="Y108" s="5"/>
      <c r="Z108" s="5"/>
      <c r="AA108" s="95"/>
    </row>
    <row r="109" spans="25:27" ht="15.95" customHeight="1" x14ac:dyDescent="0.25">
      <c r="Y109" s="5"/>
      <c r="Z109" s="5"/>
      <c r="AA109" s="95"/>
    </row>
    <row r="110" spans="25:27" ht="15.95" customHeight="1" x14ac:dyDescent="0.25">
      <c r="Y110" s="5"/>
      <c r="Z110" s="5"/>
      <c r="AA110" s="95"/>
    </row>
    <row r="111" spans="25:27" ht="15.95" customHeight="1" x14ac:dyDescent="0.25">
      <c r="Y111" s="5"/>
      <c r="Z111" s="5"/>
      <c r="AA111" s="95"/>
    </row>
    <row r="112" spans="25:27" ht="15.95" customHeight="1" x14ac:dyDescent="0.25">
      <c r="Y112" s="5"/>
      <c r="Z112" s="5"/>
      <c r="AA112" s="95"/>
    </row>
    <row r="113" spans="25:27" ht="15.95" customHeight="1" x14ac:dyDescent="0.25">
      <c r="Y113" s="5"/>
      <c r="Z113" s="5"/>
      <c r="AA113" s="95"/>
    </row>
    <row r="114" spans="25:27" ht="15.95" customHeight="1" x14ac:dyDescent="0.25">
      <c r="Y114" s="5"/>
      <c r="Z114" s="5"/>
      <c r="AA114" s="95"/>
    </row>
    <row r="115" spans="25:27" ht="15.95" customHeight="1" x14ac:dyDescent="0.25">
      <c r="Y115" s="5"/>
      <c r="Z115" s="5"/>
      <c r="AA115" s="95"/>
    </row>
    <row r="116" spans="25:27" ht="15.95" customHeight="1" x14ac:dyDescent="0.25">
      <c r="Y116" s="5"/>
      <c r="Z116" s="5"/>
      <c r="AA116" s="95"/>
    </row>
    <row r="117" spans="25:27" ht="15.95" customHeight="1" x14ac:dyDescent="0.25">
      <c r="Y117" s="5"/>
      <c r="Z117" s="5"/>
      <c r="AA117" s="95"/>
    </row>
    <row r="118" spans="25:27" ht="15.95" customHeight="1" x14ac:dyDescent="0.25">
      <c r="Y118" s="5"/>
      <c r="Z118" s="5"/>
      <c r="AA118" s="95"/>
    </row>
    <row r="119" spans="25:27" ht="15.95" customHeight="1" x14ac:dyDescent="0.25">
      <c r="Y119" s="5"/>
      <c r="Z119" s="5"/>
      <c r="AA119" s="95"/>
    </row>
    <row r="120" spans="25:27" ht="15.95" customHeight="1" x14ac:dyDescent="0.25">
      <c r="Y120" s="5"/>
      <c r="Z120" s="5"/>
      <c r="AA120" s="95"/>
    </row>
    <row r="121" spans="25:27" ht="15.95" customHeight="1" x14ac:dyDescent="0.25">
      <c r="Y121" s="5"/>
      <c r="Z121" s="5"/>
      <c r="AA121" s="95"/>
    </row>
    <row r="122" spans="25:27" ht="15.95" customHeight="1" x14ac:dyDescent="0.25">
      <c r="Y122" s="5"/>
      <c r="Z122" s="5"/>
      <c r="AA122" s="95"/>
    </row>
    <row r="123" spans="25:27" ht="15.95" customHeight="1" x14ac:dyDescent="0.25">
      <c r="Y123" s="5"/>
      <c r="Z123" s="5"/>
      <c r="AA123" s="95"/>
    </row>
    <row r="124" spans="25:27" ht="15.95" customHeight="1" x14ac:dyDescent="0.25">
      <c r="Y124" s="5"/>
      <c r="Z124" s="5"/>
      <c r="AA124" s="95"/>
    </row>
    <row r="125" spans="25:27" ht="15.95" customHeight="1" x14ac:dyDescent="0.25">
      <c r="Y125" s="5"/>
      <c r="Z125" s="5"/>
      <c r="AA125" s="95"/>
    </row>
    <row r="126" spans="25:27" ht="15.95" customHeight="1" x14ac:dyDescent="0.25">
      <c r="Y126" s="5"/>
      <c r="Z126" s="5"/>
      <c r="AA126" s="95"/>
    </row>
    <row r="127" spans="25:27" ht="15.95" customHeight="1" x14ac:dyDescent="0.25">
      <c r="Y127" s="5"/>
      <c r="Z127" s="5"/>
      <c r="AA127" s="95"/>
    </row>
    <row r="128" spans="25:27" ht="15.95" customHeight="1" x14ac:dyDescent="0.25">
      <c r="Y128" s="5"/>
      <c r="Z128" s="5"/>
      <c r="AA128" s="95"/>
    </row>
    <row r="129" spans="25:27" ht="15.95" customHeight="1" x14ac:dyDescent="0.25">
      <c r="Y129" s="5"/>
      <c r="Z129" s="5"/>
      <c r="AA129" s="95"/>
    </row>
    <row r="130" spans="25:27" ht="15.95" customHeight="1" x14ac:dyDescent="0.25">
      <c r="Y130" s="5"/>
      <c r="Z130" s="5"/>
      <c r="AA130" s="95"/>
    </row>
    <row r="131" spans="25:27" ht="15.95" customHeight="1" x14ac:dyDescent="0.25">
      <c r="Y131" s="5"/>
      <c r="Z131" s="5"/>
      <c r="AA131" s="95"/>
    </row>
    <row r="132" spans="25:27" ht="15.95" customHeight="1" x14ac:dyDescent="0.25">
      <c r="Y132" s="5"/>
      <c r="Z132" s="5"/>
      <c r="AA132" s="95"/>
    </row>
    <row r="133" spans="25:27" ht="15.95" customHeight="1" x14ac:dyDescent="0.25">
      <c r="Y133" s="5"/>
      <c r="Z133" s="5"/>
      <c r="AA133" s="95"/>
    </row>
    <row r="134" spans="25:27" ht="15.95" customHeight="1" x14ac:dyDescent="0.25">
      <c r="Y134" s="5"/>
      <c r="Z134" s="5"/>
      <c r="AA134" s="95"/>
    </row>
    <row r="135" spans="25:27" ht="15.95" customHeight="1" x14ac:dyDescent="0.25">
      <c r="Y135" s="5"/>
      <c r="Z135" s="5"/>
      <c r="AA135" s="95"/>
    </row>
    <row r="136" spans="25:27" ht="15.95" customHeight="1" x14ac:dyDescent="0.25">
      <c r="Y136" s="5"/>
      <c r="Z136" s="5"/>
      <c r="AA136" s="95"/>
    </row>
    <row r="137" spans="25:27" ht="15.95" customHeight="1" x14ac:dyDescent="0.25">
      <c r="Y137" s="5"/>
      <c r="Z137" s="5"/>
      <c r="AA137" s="95"/>
    </row>
    <row r="138" spans="25:27" ht="15.95" customHeight="1" x14ac:dyDescent="0.25">
      <c r="Y138" s="5"/>
      <c r="Z138" s="5"/>
      <c r="AA138" s="95"/>
    </row>
    <row r="139" spans="25:27" ht="15.95" customHeight="1" x14ac:dyDescent="0.25">
      <c r="Y139" s="5"/>
      <c r="Z139" s="5"/>
      <c r="AA139" s="95"/>
    </row>
    <row r="140" spans="25:27" ht="15.95" customHeight="1" x14ac:dyDescent="0.25">
      <c r="Y140" s="5"/>
      <c r="Z140" s="5"/>
      <c r="AA140" s="95"/>
    </row>
  </sheetData>
  <mergeCells count="10">
    <mergeCell ref="Y5:Z5"/>
    <mergeCell ref="J5:O5"/>
    <mergeCell ref="AA5:AB5"/>
    <mergeCell ref="AC5:AD5"/>
    <mergeCell ref="AE5:AF5"/>
    <mergeCell ref="S1:V1"/>
    <mergeCell ref="S2:V2"/>
    <mergeCell ref="S3:V3"/>
    <mergeCell ref="S4:V4"/>
    <mergeCell ref="S5:V5"/>
  </mergeCells>
  <conditionalFormatting sqref="AD10 AD20 AD23 AD39 AD37 AD34 AD31 AD27:AD29 AD25 AD15:AD17 AD12">
    <cfRule type="expression" dxfId="14" priority="8">
      <formula>AC10&lt;AD10</formula>
    </cfRule>
    <cfRule type="expression" dxfId="13" priority="9">
      <formula>"Z12&gt; Y12"</formula>
    </cfRule>
    <cfRule type="expression" priority="10">
      <formula>AC10&lt;AD10</formula>
    </cfRule>
  </conditionalFormatting>
  <conditionalFormatting sqref="AF10 AF31 AF34 AF39 AF37 AF27:AF29 AF25 AF23 AF20 AF15:AF17 AF12">
    <cfRule type="expression" dxfId="12" priority="2">
      <formula>AE10&lt;AF10</formula>
    </cfRule>
    <cfRule type="expression" dxfId="11" priority="3">
      <formula>"Z12&gt; Y12"</formula>
    </cfRule>
    <cfRule type="expression" priority="4">
      <formula>AE10&lt;AF10</formula>
    </cfRule>
  </conditionalFormatting>
  <conditionalFormatting sqref="AF10 AF31 AF34 AF39 AF37 AF27:AF29 AF25 AF23 AF20 AF15:AF17 AF12">
    <cfRule type="expression" dxfId="10" priority="1">
      <formula>AF10&gt;AC10</formula>
    </cfRule>
  </conditionalFormatting>
  <pageMargins left="0.7" right="0.7" top="0.75" bottom="0.75" header="0.3" footer="0.3"/>
  <pageSetup paperSize="256" scale="6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AG140"/>
  <sheetViews>
    <sheetView zoomScale="85" zoomScaleNormal="85" workbookViewId="0">
      <pane xSplit="11" ySplit="6" topLeftCell="L7" activePane="bottomRight" state="frozen"/>
      <selection pane="topRight" activeCell="G1" sqref="G1"/>
      <selection pane="bottomLeft" activeCell="A7" sqref="A7"/>
      <selection pane="bottomRight" activeCell="A19" sqref="A19"/>
    </sheetView>
  </sheetViews>
  <sheetFormatPr defaultColWidth="12.5703125" defaultRowHeight="15" x14ac:dyDescent="0.25"/>
  <cols>
    <col min="1" max="1" width="39.5703125" customWidth="1"/>
    <col min="2" max="2" width="8.5703125" hidden="1" customWidth="1"/>
    <col min="3" max="3" width="9.7109375" hidden="1" customWidth="1"/>
    <col min="4" max="4" width="3.28515625" style="10" customWidth="1"/>
    <col min="5" max="5" width="4.28515625" style="10" customWidth="1"/>
    <col min="6" max="8" width="3.5703125" style="10" customWidth="1"/>
    <col min="9" max="9" width="4.42578125" style="10" customWidth="1"/>
    <col min="10" max="11" width="3.42578125" style="10" customWidth="1"/>
    <col min="12" max="12" width="12.5703125" customWidth="1"/>
    <col min="13" max="15" width="12.5703125" hidden="1" customWidth="1"/>
    <col min="16" max="16" width="11.85546875" customWidth="1"/>
    <col min="17" max="17" width="12.140625" style="10" hidden="1" customWidth="1"/>
    <col min="18" max="18" width="12.140625" style="10" customWidth="1"/>
    <col min="19" max="19" width="4.5703125" style="10" hidden="1" customWidth="1"/>
    <col min="20" max="21" width="12.5703125" style="10" hidden="1" customWidth="1"/>
    <col min="22" max="22" width="1" style="96" hidden="1" customWidth="1"/>
    <col min="23" max="23" width="10.7109375" hidden="1" customWidth="1"/>
    <col min="24" max="24" width="13.28515625" hidden="1" customWidth="1"/>
    <col min="25" max="25" width="0.140625" hidden="1" customWidth="1"/>
    <col min="26" max="26" width="11.140625" hidden="1" customWidth="1"/>
    <col min="27" max="27" width="0" hidden="1" customWidth="1"/>
    <col min="28" max="28" width="11.42578125" hidden="1" customWidth="1"/>
    <col min="29" max="29" width="8" customWidth="1"/>
    <col min="30" max="30" width="19" bestFit="1" customWidth="1"/>
    <col min="31" max="31" width="8" customWidth="1"/>
  </cols>
  <sheetData>
    <row r="1" spans="1:33" ht="15.95" customHeight="1" x14ac:dyDescent="0.25">
      <c r="A1" s="305" t="s">
        <v>0</v>
      </c>
      <c r="B1" s="2"/>
      <c r="C1" s="2"/>
      <c r="D1" s="167"/>
      <c r="E1" s="168"/>
      <c r="F1" s="412" t="s">
        <v>29</v>
      </c>
      <c r="G1" s="412"/>
      <c r="H1" s="412"/>
      <c r="I1" s="412"/>
      <c r="J1" s="167"/>
      <c r="K1" s="167"/>
      <c r="L1" s="423" t="s">
        <v>57</v>
      </c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171"/>
      <c r="AD1" s="171"/>
      <c r="AE1" s="171"/>
      <c r="AF1" s="171"/>
      <c r="AG1" s="171"/>
    </row>
    <row r="2" spans="1:33" ht="15.95" customHeight="1" x14ac:dyDescent="0.25">
      <c r="A2" s="305"/>
      <c r="B2" s="2"/>
      <c r="C2" s="2"/>
      <c r="D2" s="167"/>
      <c r="E2" s="169"/>
      <c r="F2" s="412" t="s">
        <v>30</v>
      </c>
      <c r="G2" s="412"/>
      <c r="H2" s="412"/>
      <c r="I2" s="412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323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</row>
    <row r="3" spans="1:33" ht="15.95" customHeight="1" thickBot="1" x14ac:dyDescent="0.3">
      <c r="A3" s="305"/>
      <c r="B3" s="6" t="s">
        <v>1</v>
      </c>
      <c r="C3" s="6"/>
      <c r="D3" s="167"/>
      <c r="E3" s="170"/>
      <c r="F3" s="413" t="s">
        <v>31</v>
      </c>
      <c r="G3" s="412"/>
      <c r="H3" s="412"/>
      <c r="I3" s="412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323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</row>
    <row r="4" spans="1:33" ht="15.95" customHeight="1" thickBot="1" x14ac:dyDescent="0.3">
      <c r="A4" s="171"/>
      <c r="B4" s="8" t="s">
        <v>2</v>
      </c>
      <c r="C4" s="9"/>
      <c r="D4" s="171"/>
      <c r="E4" s="172"/>
      <c r="F4" s="412" t="s">
        <v>32</v>
      </c>
      <c r="G4" s="412"/>
      <c r="H4" s="412"/>
      <c r="I4" s="412"/>
      <c r="J4" s="171"/>
      <c r="K4" s="171"/>
      <c r="L4" s="338"/>
      <c r="M4" s="339"/>
      <c r="N4" s="339"/>
      <c r="O4" s="339"/>
      <c r="P4" s="340" t="s">
        <v>40</v>
      </c>
      <c r="Q4" s="339"/>
      <c r="R4" s="341"/>
      <c r="S4" s="171"/>
      <c r="T4" s="167"/>
      <c r="U4" s="167"/>
      <c r="V4" s="369"/>
      <c r="W4" s="339"/>
      <c r="X4" s="339"/>
      <c r="Y4" s="339"/>
      <c r="Z4" s="340" t="s">
        <v>40</v>
      </c>
      <c r="AA4" s="339"/>
      <c r="AB4" s="341"/>
      <c r="AC4" s="171"/>
      <c r="AD4" s="424">
        <v>0.33333333333333331</v>
      </c>
      <c r="AE4" s="424"/>
      <c r="AF4" s="424"/>
      <c r="AG4" s="171"/>
    </row>
    <row r="5" spans="1:33" ht="15.95" customHeight="1" thickTop="1" x14ac:dyDescent="0.25">
      <c r="A5" s="306"/>
      <c r="B5" s="12" t="s">
        <v>3</v>
      </c>
      <c r="C5" s="8"/>
      <c r="D5" s="173"/>
      <c r="E5" s="174"/>
      <c r="F5" s="412" t="s">
        <v>33</v>
      </c>
      <c r="G5" s="412"/>
      <c r="H5" s="412"/>
      <c r="I5" s="412"/>
      <c r="J5" s="173"/>
      <c r="K5" s="173"/>
      <c r="L5" s="421" t="s">
        <v>34</v>
      </c>
      <c r="M5" s="422"/>
      <c r="N5" s="422"/>
      <c r="O5" s="422"/>
      <c r="P5" s="422"/>
      <c r="Q5" s="422"/>
      <c r="R5" s="342" t="s">
        <v>58</v>
      </c>
      <c r="S5" s="296"/>
      <c r="T5" s="426" t="s">
        <v>34</v>
      </c>
      <c r="U5" s="427"/>
      <c r="V5" s="421" t="s">
        <v>35</v>
      </c>
      <c r="W5" s="422"/>
      <c r="X5" s="422" t="s">
        <v>39</v>
      </c>
      <c r="Y5" s="422"/>
      <c r="Z5" s="422" t="s">
        <v>38</v>
      </c>
      <c r="AA5" s="422"/>
      <c r="AB5" s="342" t="s">
        <v>58</v>
      </c>
      <c r="AC5" s="296"/>
      <c r="AD5" s="296"/>
      <c r="AE5" s="296"/>
      <c r="AF5" s="171"/>
      <c r="AG5" s="171"/>
    </row>
    <row r="6" spans="1:33" ht="15.95" customHeight="1" thickBot="1" x14ac:dyDescent="0.3">
      <c r="A6" s="307" t="s">
        <v>5</v>
      </c>
      <c r="B6" s="17" t="s">
        <v>6</v>
      </c>
      <c r="C6" s="18" t="s">
        <v>7</v>
      </c>
      <c r="D6" s="297"/>
      <c r="E6" s="297"/>
      <c r="F6" s="297"/>
      <c r="G6" s="297"/>
      <c r="H6" s="297"/>
      <c r="I6" s="297"/>
      <c r="J6" s="297"/>
      <c r="K6" s="297"/>
      <c r="L6" s="343">
        <v>2016</v>
      </c>
      <c r="M6" s="297">
        <f>L6+1</f>
        <v>2017</v>
      </c>
      <c r="N6" s="297">
        <f>M6+1</f>
        <v>2018</v>
      </c>
      <c r="O6" s="297">
        <f>N6+1</f>
        <v>2019</v>
      </c>
      <c r="P6" s="324">
        <f>O6+1</f>
        <v>2020</v>
      </c>
      <c r="Q6" s="297">
        <f>P6+1</f>
        <v>2021</v>
      </c>
      <c r="R6" s="344">
        <v>2020</v>
      </c>
      <c r="S6" s="381"/>
      <c r="T6" s="297">
        <v>2026</v>
      </c>
      <c r="U6" s="297">
        <f>T6+1</f>
        <v>2027</v>
      </c>
      <c r="V6" s="343">
        <f>TRENDS!P4</f>
        <v>2026</v>
      </c>
      <c r="W6" s="297">
        <f>TRENDS!AD4</f>
        <v>2040</v>
      </c>
      <c r="X6" s="297" t="s">
        <v>36</v>
      </c>
      <c r="Y6" s="297" t="s">
        <v>37</v>
      </c>
      <c r="Z6" s="324">
        <f>W6</f>
        <v>2040</v>
      </c>
      <c r="AA6" s="297" t="s">
        <v>37</v>
      </c>
      <c r="AB6" s="344">
        <v>2040</v>
      </c>
      <c r="AC6" s="381"/>
      <c r="AD6" s="381" t="s">
        <v>73</v>
      </c>
      <c r="AE6" s="381"/>
      <c r="AF6" s="408" t="s">
        <v>58</v>
      </c>
      <c r="AG6" s="171"/>
    </row>
    <row r="7" spans="1:33" ht="15.95" customHeight="1" thickTop="1" x14ac:dyDescent="0.25">
      <c r="A7" s="223"/>
      <c r="B7" s="23"/>
      <c r="C7" s="23"/>
      <c r="D7" s="167" t="s">
        <v>43</v>
      </c>
      <c r="E7" s="223"/>
      <c r="F7" s="223"/>
      <c r="G7" s="223"/>
      <c r="H7" s="223"/>
      <c r="I7" s="224" t="s">
        <v>43</v>
      </c>
      <c r="J7" s="223"/>
      <c r="K7" s="223"/>
      <c r="L7" s="345"/>
      <c r="M7" s="223"/>
      <c r="N7" s="223"/>
      <c r="O7" s="223"/>
      <c r="P7" s="327"/>
      <c r="Q7" s="223"/>
      <c r="R7" s="346"/>
      <c r="S7" s="223"/>
      <c r="T7" s="223"/>
      <c r="U7" s="223"/>
      <c r="V7" s="370"/>
      <c r="W7" s="314"/>
      <c r="X7" s="314"/>
      <c r="Y7" s="314"/>
      <c r="Z7" s="316"/>
      <c r="AA7" s="329"/>
      <c r="AB7" s="371"/>
      <c r="AC7" s="171"/>
      <c r="AD7" s="294" t="s">
        <v>74</v>
      </c>
      <c r="AE7" s="171"/>
      <c r="AF7" s="171" t="s">
        <v>72</v>
      </c>
      <c r="AG7" s="171"/>
    </row>
    <row r="8" spans="1:33" ht="15.95" customHeight="1" thickBot="1" x14ac:dyDescent="0.3">
      <c r="A8" s="167"/>
      <c r="B8" s="4"/>
      <c r="C8" s="4"/>
      <c r="D8" s="224"/>
      <c r="E8" s="224"/>
      <c r="F8" s="224"/>
      <c r="G8" s="224"/>
      <c r="H8" s="224"/>
      <c r="I8" s="224"/>
      <c r="J8" s="224"/>
      <c r="K8" s="224"/>
      <c r="L8" s="345"/>
      <c r="M8" s="223"/>
      <c r="N8" s="223"/>
      <c r="O8" s="223"/>
      <c r="P8" s="327"/>
      <c r="Q8" s="223"/>
      <c r="R8" s="346"/>
      <c r="S8" s="167"/>
      <c r="T8" s="328"/>
      <c r="U8" s="223"/>
      <c r="V8" s="370"/>
      <c r="W8" s="314"/>
      <c r="X8" s="314"/>
      <c r="Y8" s="314"/>
      <c r="Z8" s="316"/>
      <c r="AA8" s="329"/>
      <c r="AB8" s="371"/>
      <c r="AC8" s="171"/>
      <c r="AD8" s="425" t="s">
        <v>75</v>
      </c>
      <c r="AE8" s="171"/>
      <c r="AF8" s="425" t="s">
        <v>76</v>
      </c>
      <c r="AG8" s="171"/>
    </row>
    <row r="9" spans="1:33" ht="15.95" customHeight="1" thickTop="1" x14ac:dyDescent="0.25">
      <c r="A9" s="167" t="s">
        <v>8</v>
      </c>
      <c r="B9" s="26"/>
      <c r="C9" s="26"/>
      <c r="D9" s="226">
        <v>1</v>
      </c>
      <c r="E9" s="227"/>
      <c r="F9" s="226"/>
      <c r="G9" s="226"/>
      <c r="H9" s="226"/>
      <c r="I9" s="228"/>
      <c r="J9" s="229">
        <v>2</v>
      </c>
      <c r="K9" s="230"/>
      <c r="L9" s="347">
        <v>10700</v>
      </c>
      <c r="M9" s="32">
        <v>11100</v>
      </c>
      <c r="N9" s="32">
        <v>12600</v>
      </c>
      <c r="O9" s="32">
        <v>12900</v>
      </c>
      <c r="P9" s="348">
        <v>13200</v>
      </c>
      <c r="Q9" s="32">
        <v>13600</v>
      </c>
      <c r="R9" s="349">
        <f>IFERROR(VLOOKUP(D9,ODME_Validation!A:C,3,FALSE),IFERROR(VLOOKUP(E9,ODME_Validation!A:C,3,FALSE),""))+IFERROR(VLOOKUP(J9,ODME_Validation!A:C,3,FALSE),IFERROR(VLOOKUP(I9,ODME_Validation!A:C,3,FALSE),""))</f>
        <v>13206.07</v>
      </c>
      <c r="S9" s="225"/>
      <c r="T9" s="326">
        <v>15500</v>
      </c>
      <c r="U9" s="319">
        <v>15900</v>
      </c>
      <c r="V9" s="372">
        <f>TRENDS!P9</f>
        <v>16500</v>
      </c>
      <c r="W9" s="32">
        <f>TRENDS!AD9</f>
        <v>22200</v>
      </c>
      <c r="X9" s="32">
        <f>(((U9/T9))^(1/($U$6-$T$6)))-1</f>
        <v>2.5806451612903292E-2</v>
      </c>
      <c r="Y9" s="32">
        <f>(((W9/U9))^(1/($W$6-$U$6)))-1</f>
        <v>2.6007298194454576E-2</v>
      </c>
      <c r="Z9" s="32">
        <f>W9</f>
        <v>22200</v>
      </c>
      <c r="AA9" s="348">
        <f>(((Z9/U9))^(1/($Z$6-$U$6)))-1</f>
        <v>2.6007298194454576E-2</v>
      </c>
      <c r="AB9" s="373">
        <f>IFERROR(VLOOKUP(D9,ODME_Validation!A:E,5,FALSE),IFERROR(VLOOKUP(E9,ODME_Validation!A:E,5,FALSE),""))+IFERROR(VLOOKUP(J9,ODME_Validation!A:E,5,FALSE),IFERROR(VLOOKUP(I9,ODME_Validation!A:E,5,FALSE),""))</f>
        <v>21167.75</v>
      </c>
      <c r="AC9" s="171"/>
      <c r="AD9" s="425"/>
      <c r="AE9" s="171"/>
      <c r="AF9" s="425"/>
      <c r="AG9" s="171"/>
    </row>
    <row r="10" spans="1:33" ht="15.95" customHeight="1" thickBot="1" x14ac:dyDescent="0.3">
      <c r="A10" s="171"/>
      <c r="B10" s="33"/>
      <c r="C10" s="33"/>
      <c r="D10" s="231"/>
      <c r="E10" s="232"/>
      <c r="F10" s="231"/>
      <c r="G10" s="231"/>
      <c r="H10" s="232"/>
      <c r="I10" s="231"/>
      <c r="J10" s="231"/>
      <c r="K10" s="231"/>
      <c r="L10" s="350"/>
      <c r="M10" s="351"/>
      <c r="N10" s="351"/>
      <c r="O10" s="351"/>
      <c r="P10" s="327"/>
      <c r="Q10" s="223"/>
      <c r="R10" s="346" t="str">
        <f>IFERROR(VLOOKUP(D10,ODME_Validation!A:C,3,FALSE),IFERROR(VLOOKUP(J12,ODME_Validation!A:C,3,FALSE),""))</f>
        <v/>
      </c>
      <c r="S10" s="167"/>
      <c r="T10" s="325"/>
      <c r="U10" s="231"/>
      <c r="V10" s="372"/>
      <c r="W10" s="314"/>
      <c r="X10" s="314"/>
      <c r="Y10" s="315"/>
      <c r="Z10" s="316">
        <f>W10</f>
        <v>0</v>
      </c>
      <c r="AA10" s="317"/>
      <c r="AB10" s="346"/>
      <c r="AC10" s="171"/>
      <c r="AD10" s="425"/>
      <c r="AE10" s="171"/>
      <c r="AF10" s="425"/>
      <c r="AG10" s="171"/>
    </row>
    <row r="11" spans="1:33" ht="15.95" customHeight="1" thickTop="1" x14ac:dyDescent="0.25">
      <c r="A11" s="167" t="s">
        <v>9</v>
      </c>
      <c r="B11" s="37"/>
      <c r="C11" s="37"/>
      <c r="D11" s="226">
        <v>3</v>
      </c>
      <c r="E11" s="233"/>
      <c r="F11" s="226"/>
      <c r="G11" s="226"/>
      <c r="H11" s="234"/>
      <c r="I11" s="228"/>
      <c r="J11" s="229">
        <v>4</v>
      </c>
      <c r="K11" s="230"/>
      <c r="L11" s="352">
        <v>40000</v>
      </c>
      <c r="M11" s="319">
        <v>40900</v>
      </c>
      <c r="N11" s="319">
        <v>43100</v>
      </c>
      <c r="O11" s="319">
        <v>44200</v>
      </c>
      <c r="P11" s="322">
        <v>45200</v>
      </c>
      <c r="Q11" s="319">
        <v>46100</v>
      </c>
      <c r="R11" s="353">
        <f>IFERROR(VLOOKUP(D11,ODME_Validation!A:C,3,FALSE),IFERROR(VLOOKUP(E11,ODME_Validation!A:C,3,FALSE),""))+IFERROR(VLOOKUP(J11,ODME_Validation!A:C,3,FALSE),IFERROR(VLOOKUP(I11,ODME_Validation!A:C,3,FALSE),""))</f>
        <v>45204.5</v>
      </c>
      <c r="S11" s="225"/>
      <c r="T11" s="326">
        <v>51100</v>
      </c>
      <c r="U11" s="319">
        <v>52100</v>
      </c>
      <c r="V11" s="372">
        <f>TRENDS!P11</f>
        <v>56900</v>
      </c>
      <c r="W11" s="314">
        <f>TRENDS!AD11</f>
        <v>76800</v>
      </c>
      <c r="X11" s="315">
        <f t="shared" ref="X11:X14" si="0">(((U11/T11))^(1/($U$6-$T$6)))-1</f>
        <v>1.9569471624266255E-2</v>
      </c>
      <c r="Y11" s="315">
        <f t="shared" ref="Y11:Y14" si="1">(((W11/U11))^(1/($W$6-$U$6)))-1</f>
        <v>3.0299160369149813E-2</v>
      </c>
      <c r="Z11" s="322">
        <f>W11</f>
        <v>76800</v>
      </c>
      <c r="AA11" s="317">
        <f>(((Z11/U11))^(1/($Z$6-$U$6)))-1</f>
        <v>3.0299160369149813E-2</v>
      </c>
      <c r="AB11" s="353">
        <f>IFERROR(VLOOKUP(D11,ODME_Validation!A:E,5,FALSE),IFERROR(VLOOKUP(E11,ODME_Validation!A:E,5,FALSE),""))+IFERROR(VLOOKUP(J11,ODME_Validation!A:E,5,FALSE),IFERROR(VLOOKUP(I11,ODME_Validation!A:E,5,FALSE),""))</f>
        <v>75756.640630000009</v>
      </c>
      <c r="AC11" s="171"/>
      <c r="AD11" s="425"/>
      <c r="AE11" s="171"/>
      <c r="AF11" s="425"/>
      <c r="AG11" s="171"/>
    </row>
    <row r="12" spans="1:33" s="125" customFormat="1" ht="15.95" customHeight="1" x14ac:dyDescent="0.25">
      <c r="A12" s="308"/>
      <c r="B12" s="117"/>
      <c r="C12" s="117"/>
      <c r="D12" s="236"/>
      <c r="E12" s="237"/>
      <c r="F12" s="238"/>
      <c r="G12" s="236"/>
      <c r="H12" s="239"/>
      <c r="I12" s="240"/>
      <c r="J12" s="240"/>
      <c r="K12" s="240"/>
      <c r="L12" s="354">
        <v>50700</v>
      </c>
      <c r="M12" s="132">
        <v>52000</v>
      </c>
      <c r="N12" s="124">
        <v>55700</v>
      </c>
      <c r="O12" s="124">
        <v>57100</v>
      </c>
      <c r="P12" s="355">
        <v>58400</v>
      </c>
      <c r="Q12" s="124">
        <v>59700</v>
      </c>
      <c r="R12" s="356">
        <f>29412+29416</f>
        <v>58828</v>
      </c>
      <c r="S12" s="311">
        <f>R12/P12-1</f>
        <v>7.3287671232875606E-3</v>
      </c>
      <c r="T12" s="330">
        <v>66600</v>
      </c>
      <c r="U12" s="331">
        <v>68000</v>
      </c>
      <c r="V12" s="374">
        <f>TRENDS!P12</f>
        <v>73400</v>
      </c>
      <c r="W12" s="379">
        <f>TRENDS!AD12</f>
        <v>99000</v>
      </c>
      <c r="X12" s="108">
        <f t="shared" si="0"/>
        <v>2.1021021021021102E-2</v>
      </c>
      <c r="Y12" s="108">
        <f t="shared" si="1"/>
        <v>2.9314700947915107E-2</v>
      </c>
      <c r="Z12" s="355">
        <f>U12*(1+X12)^(W$6-U$6)+5000</f>
        <v>94116.844154840481</v>
      </c>
      <c r="AA12" s="216">
        <f>(((Z12/U12))^(1/($Z$6-$U$6)))-1</f>
        <v>2.5317433646179444E-2</v>
      </c>
      <c r="AB12" s="356">
        <f>48901+48915</f>
        <v>97816</v>
      </c>
      <c r="AC12" s="311"/>
      <c r="AD12" s="425"/>
      <c r="AE12" s="311"/>
      <c r="AF12" s="425"/>
      <c r="AG12" s="304"/>
    </row>
    <row r="13" spans="1:33" ht="15.95" customHeight="1" thickBot="1" x14ac:dyDescent="0.3">
      <c r="A13" s="167" t="s">
        <v>10</v>
      </c>
      <c r="B13" s="45">
        <v>0.53</v>
      </c>
      <c r="C13" s="45">
        <v>0.79</v>
      </c>
      <c r="D13" s="242">
        <v>5</v>
      </c>
      <c r="E13" s="243"/>
      <c r="F13" s="244"/>
      <c r="G13" s="245"/>
      <c r="H13" s="246"/>
      <c r="I13" s="247"/>
      <c r="J13" s="248">
        <v>6</v>
      </c>
      <c r="K13" s="230"/>
      <c r="L13" s="352">
        <v>4500</v>
      </c>
      <c r="M13" s="319">
        <v>4600</v>
      </c>
      <c r="N13" s="319">
        <v>5200</v>
      </c>
      <c r="O13" s="319">
        <v>5300</v>
      </c>
      <c r="P13" s="322">
        <v>5400</v>
      </c>
      <c r="Q13" s="283">
        <v>5500</v>
      </c>
      <c r="R13" s="353">
        <f>IFERROR(VLOOKUP(D13,ODME_Validation!A:C,3,FALSE),IFERROR(VLOOKUP(E13,ODME_Validation!A:C,3,FALSE),""))+IFERROR(VLOOKUP(J13,ODME_Validation!A:C,3,FALSE),IFERROR(VLOOKUP(I13,ODME_Validation!A:C,3,FALSE),""))</f>
        <v>5394.67</v>
      </c>
      <c r="S13" s="171"/>
      <c r="T13" s="313">
        <v>6000</v>
      </c>
      <c r="U13" s="283">
        <v>6100</v>
      </c>
      <c r="V13" s="372">
        <f>TRENDS!P13</f>
        <v>7400</v>
      </c>
      <c r="W13" s="314">
        <f>TRENDS!AD13</f>
        <v>10200</v>
      </c>
      <c r="X13" s="315">
        <f t="shared" si="0"/>
        <v>1.6666666666666607E-2</v>
      </c>
      <c r="Y13" s="315">
        <f t="shared" si="1"/>
        <v>4.0338429302133161E-2</v>
      </c>
      <c r="Z13" s="322">
        <f>W13</f>
        <v>10200</v>
      </c>
      <c r="AA13" s="317">
        <f>(((Z13/U13))^(1/($Z$6-$U$6)))-1</f>
        <v>4.0338429302133161E-2</v>
      </c>
      <c r="AB13" s="353">
        <f>IFERROR(VLOOKUP(D13,ODME_Validation!A:E,5,FALSE),IFERROR(VLOOKUP(E13,ODME_Validation!A:E,5,FALSE),""))+IFERROR(VLOOKUP(J13,ODME_Validation!A:E,5,FALSE),IFERROR(VLOOKUP(I13,ODME_Validation!A:E,5,FALSE),""))</f>
        <v>11221.970000000001</v>
      </c>
      <c r="AC13" s="171"/>
      <c r="AD13" s="425"/>
      <c r="AE13" s="171"/>
      <c r="AF13" s="425"/>
      <c r="AG13" s="171"/>
    </row>
    <row r="14" spans="1:33" ht="15.95" customHeight="1" thickTop="1" x14ac:dyDescent="0.25">
      <c r="A14" s="167"/>
      <c r="B14" s="45"/>
      <c r="C14" s="45"/>
      <c r="D14" s="222">
        <v>7</v>
      </c>
      <c r="E14" s="233"/>
      <c r="F14" s="249"/>
      <c r="G14" s="250"/>
      <c r="H14" s="234"/>
      <c r="I14" s="228"/>
      <c r="J14" s="251">
        <v>8</v>
      </c>
      <c r="K14" s="251"/>
      <c r="L14" s="352">
        <v>3300</v>
      </c>
      <c r="M14" s="319">
        <v>3400</v>
      </c>
      <c r="N14" s="319">
        <v>3800</v>
      </c>
      <c r="O14" s="319">
        <v>3900</v>
      </c>
      <c r="P14" s="322">
        <v>4000</v>
      </c>
      <c r="Q14" s="283">
        <v>4100</v>
      </c>
      <c r="R14" s="353">
        <f>IFERROR(VLOOKUP(D14,ODME_Validation!A:C,3,FALSE),IFERROR(VLOOKUP(E14,ODME_Validation!A:C,3,FALSE),""))+IFERROR(VLOOKUP(J14,ODME_Validation!A:C,3,FALSE),IFERROR(VLOOKUP(I14,ODME_Validation!A:C,3,FALSE),""))</f>
        <v>4009.2</v>
      </c>
      <c r="S14" s="171"/>
      <c r="T14" s="313">
        <v>4600</v>
      </c>
      <c r="U14" s="283">
        <v>4700</v>
      </c>
      <c r="V14" s="372">
        <f>TRENDS!P14</f>
        <v>4800</v>
      </c>
      <c r="W14" s="314">
        <f>TRENDS!AD14</f>
        <v>6700</v>
      </c>
      <c r="X14" s="315">
        <f t="shared" si="0"/>
        <v>2.1739130434782705E-2</v>
      </c>
      <c r="Y14" s="315">
        <f t="shared" si="1"/>
        <v>2.7647997659716372E-2</v>
      </c>
      <c r="Z14" s="322">
        <f>W14+2000</f>
        <v>8700</v>
      </c>
      <c r="AA14" s="317">
        <f>(((Z14/U14))^(1/($Z$6-$U$6)))-1</f>
        <v>4.8505894947038275E-2</v>
      </c>
      <c r="AB14" s="353">
        <f>IFERROR(VLOOKUP(D14,ODME_Validation!A:E,5,FALSE),IFERROR(VLOOKUP(E14,ODME_Validation!A:E,5,FALSE),""))+IFERROR(VLOOKUP(J14,ODME_Validation!A:E,5,FALSE),IFERROR(VLOOKUP(I14,ODME_Validation!A:E,5,FALSE),""))</f>
        <v>7683.74</v>
      </c>
      <c r="AC14" s="171"/>
      <c r="AD14" s="425"/>
      <c r="AE14" s="171"/>
      <c r="AF14" s="425"/>
      <c r="AG14" s="171"/>
    </row>
    <row r="15" spans="1:33" ht="15.95" customHeight="1" x14ac:dyDescent="0.25">
      <c r="A15" s="167"/>
      <c r="B15" s="45"/>
      <c r="C15" s="45"/>
      <c r="D15" s="223"/>
      <c r="E15" s="253"/>
      <c r="F15" s="254"/>
      <c r="G15" s="255"/>
      <c r="H15" s="253"/>
      <c r="I15" s="167"/>
      <c r="J15" s="167"/>
      <c r="K15" s="167"/>
      <c r="L15" s="357"/>
      <c r="M15" s="358"/>
      <c r="N15" s="358"/>
      <c r="O15" s="358"/>
      <c r="P15" s="359"/>
      <c r="Q15" s="280"/>
      <c r="R15" s="360"/>
      <c r="S15" s="171"/>
      <c r="T15" s="313"/>
      <c r="U15" s="283"/>
      <c r="V15" s="372"/>
      <c r="W15" s="314"/>
      <c r="X15" s="314"/>
      <c r="Y15" s="315"/>
      <c r="Z15" s="359"/>
      <c r="AA15" s="317"/>
      <c r="AB15" s="360"/>
      <c r="AC15" s="171"/>
      <c r="AD15" s="425"/>
      <c r="AE15" s="171"/>
      <c r="AF15" s="425"/>
      <c r="AG15" s="171"/>
    </row>
    <row r="16" spans="1:33" s="125" customFormat="1" ht="15.95" customHeight="1" x14ac:dyDescent="0.25">
      <c r="A16" s="240" t="s">
        <v>11</v>
      </c>
      <c r="B16" s="127">
        <v>0.79</v>
      </c>
      <c r="C16" s="127">
        <v>1.06</v>
      </c>
      <c r="D16" s="256"/>
      <c r="E16" s="257">
        <v>9</v>
      </c>
      <c r="F16" s="258"/>
      <c r="G16" s="259"/>
      <c r="H16" s="257"/>
      <c r="I16" s="260">
        <v>10</v>
      </c>
      <c r="J16" s="260"/>
      <c r="K16" s="260"/>
      <c r="L16" s="354">
        <v>49500</v>
      </c>
      <c r="M16" s="132">
        <v>50800</v>
      </c>
      <c r="N16" s="124">
        <v>54300</v>
      </c>
      <c r="O16" s="124">
        <v>55700</v>
      </c>
      <c r="P16" s="355">
        <v>57000</v>
      </c>
      <c r="Q16" s="124">
        <v>58300</v>
      </c>
      <c r="R16" s="356">
        <f>IFERROR(VLOOKUP(D16,ODME_Validation!A:C,3,FALSE),IFERROR(VLOOKUP(E16,ODME_Validation!A:C,3,FALSE),""))+IFERROR(VLOOKUP(J16,ODME_Validation!A:C,3,FALSE),IFERROR(VLOOKUP(I16,ODME_Validation!A:C,3,FALSE),""))</f>
        <v>57025.099610000005</v>
      </c>
      <c r="S16" s="309">
        <f>R16/P16-1</f>
        <v>4.4034403508774744E-4</v>
      </c>
      <c r="T16" s="123">
        <v>65200</v>
      </c>
      <c r="U16" s="124">
        <v>66600</v>
      </c>
      <c r="V16" s="374">
        <f>TRENDS!P16</f>
        <v>70800</v>
      </c>
      <c r="W16" s="379">
        <f>TRENDS!AD16</f>
        <v>95500</v>
      </c>
      <c r="X16" s="108">
        <f>(((U16/T16))^(1/($U$6-$T$6)))-1</f>
        <v>2.1472392638036908E-2</v>
      </c>
      <c r="Y16" s="108">
        <f>(((W16/U16))^(1/($W$6-$U$6)))-1</f>
        <v>2.8112651131094957E-2</v>
      </c>
      <c r="Z16" s="355">
        <f>Z12-Z13+Z14</f>
        <v>92616.844154840481</v>
      </c>
      <c r="AA16" s="216">
        <f>(((Z16/U16))^(1/($Z$6-$U$6)))-1</f>
        <v>2.5691121230308811E-2</v>
      </c>
      <c r="AB16" s="356">
        <f>IFERROR(VLOOKUP(D16,ODME_Validation!A:E,5,FALSE),IFERROR(VLOOKUP(E16,ODME_Validation!A:E,5,FALSE),""))+IFERROR(VLOOKUP(J16,ODME_Validation!A:E,5,FALSE),IFERROR(VLOOKUP(I16,ODME_Validation!A:E,5,FALSE),""))</f>
        <v>93386.160159999999</v>
      </c>
      <c r="AC16" s="309"/>
      <c r="AD16" s="425"/>
      <c r="AE16" s="309"/>
      <c r="AF16" s="425"/>
      <c r="AG16" s="304"/>
    </row>
    <row r="17" spans="1:33" ht="15.95" customHeight="1" x14ac:dyDescent="0.25">
      <c r="A17" s="167"/>
      <c r="B17" s="45"/>
      <c r="C17" s="45"/>
      <c r="D17" s="222"/>
      <c r="E17" s="261"/>
      <c r="F17" s="262"/>
      <c r="G17" s="263"/>
      <c r="H17" s="261"/>
      <c r="I17" s="230"/>
      <c r="J17" s="230"/>
      <c r="K17" s="230"/>
      <c r="L17" s="357"/>
      <c r="M17" s="358"/>
      <c r="N17" s="358"/>
      <c r="O17" s="358"/>
      <c r="P17" s="359"/>
      <c r="Q17" s="280"/>
      <c r="R17" s="360"/>
      <c r="S17" s="171"/>
      <c r="T17" s="313"/>
      <c r="U17" s="283"/>
      <c r="V17" s="372"/>
      <c r="W17" s="314"/>
      <c r="X17" s="314"/>
      <c r="Y17" s="315"/>
      <c r="Z17" s="359"/>
      <c r="AA17" s="317"/>
      <c r="AB17" s="360"/>
      <c r="AC17" s="171"/>
      <c r="AD17" s="425"/>
      <c r="AE17" s="171"/>
      <c r="AF17" s="425"/>
      <c r="AG17" s="171"/>
    </row>
    <row r="18" spans="1:33" ht="15.95" customHeight="1" thickBot="1" x14ac:dyDescent="0.3">
      <c r="A18" s="167" t="s">
        <v>12</v>
      </c>
      <c r="B18" s="45"/>
      <c r="C18" s="45"/>
      <c r="D18" s="242">
        <v>11</v>
      </c>
      <c r="E18" s="243"/>
      <c r="F18" s="244"/>
      <c r="G18" s="245"/>
      <c r="H18" s="246"/>
      <c r="I18" s="247"/>
      <c r="J18" s="248">
        <v>12</v>
      </c>
      <c r="K18" s="230"/>
      <c r="L18" s="352">
        <v>4400</v>
      </c>
      <c r="M18" s="319">
        <v>4500</v>
      </c>
      <c r="N18" s="319">
        <v>5100</v>
      </c>
      <c r="O18" s="319">
        <v>5200</v>
      </c>
      <c r="P18" s="322">
        <v>5300</v>
      </c>
      <c r="Q18" s="283">
        <v>5400</v>
      </c>
      <c r="R18" s="353">
        <f>IFERROR(VLOOKUP(D18,ODME_Validation!A:C,3,FALSE),IFERROR(VLOOKUP(E18,ODME_Validation!A:C,3,FALSE),""))+IFERROR(VLOOKUP(J18,ODME_Validation!A:C,3,FALSE),IFERROR(VLOOKUP(I18,ODME_Validation!A:C,3,FALSE),""))</f>
        <v>5267.7</v>
      </c>
      <c r="S18" s="171"/>
      <c r="T18" s="313">
        <v>5900</v>
      </c>
      <c r="U18" s="283">
        <v>6000</v>
      </c>
      <c r="V18" s="372">
        <f>TRENDS!P18</f>
        <v>6700</v>
      </c>
      <c r="W18" s="314">
        <f>TRENDS!AD18</f>
        <v>9500</v>
      </c>
      <c r="X18" s="315">
        <f t="shared" ref="X18:X24" si="2">(((U18/T18))^(1/($U$6-$T$6)))-1</f>
        <v>1.6949152542372836E-2</v>
      </c>
      <c r="Y18" s="315">
        <f t="shared" ref="Y18:Y24" si="3">(((W18/U18))^(1/($W$6-$U$6)))-1</f>
        <v>3.5980830949299936E-2</v>
      </c>
      <c r="Z18" s="322">
        <f>W18-1500</f>
        <v>8000</v>
      </c>
      <c r="AA18" s="317">
        <f t="shared" ref="AA18:AA24" si="4">(((Z18/U18))^(1/($Z$6-$U$6)))-1</f>
        <v>2.2376061343984732E-2</v>
      </c>
      <c r="AB18" s="353">
        <f>IFERROR(VLOOKUP(D18,ODME_Validation!A:E,5,FALSE),IFERROR(VLOOKUP(E18,ODME_Validation!A:E,5,FALSE),""))+IFERROR(VLOOKUP(J18,ODME_Validation!A:E,5,FALSE),IFERROR(VLOOKUP(I18,ODME_Validation!A:E,5,FALSE),""))</f>
        <v>8242.5600000000013</v>
      </c>
      <c r="AC18" s="171"/>
      <c r="AD18" s="425"/>
      <c r="AE18" s="171"/>
      <c r="AF18" s="425"/>
      <c r="AG18" s="171"/>
    </row>
    <row r="19" spans="1:33" ht="15.95" customHeight="1" thickTop="1" x14ac:dyDescent="0.25">
      <c r="A19" s="167"/>
      <c r="B19" s="45"/>
      <c r="C19" s="45"/>
      <c r="D19" s="222">
        <v>13</v>
      </c>
      <c r="E19" s="233"/>
      <c r="F19" s="249"/>
      <c r="G19" s="250"/>
      <c r="H19" s="234"/>
      <c r="I19" s="228"/>
      <c r="J19" s="251">
        <v>14</v>
      </c>
      <c r="K19" s="251"/>
      <c r="L19" s="352">
        <v>9600</v>
      </c>
      <c r="M19" s="319">
        <v>10000</v>
      </c>
      <c r="N19" s="319">
        <v>11300</v>
      </c>
      <c r="O19" s="319">
        <v>11600</v>
      </c>
      <c r="P19" s="322">
        <v>11900</v>
      </c>
      <c r="Q19" s="283">
        <v>12200</v>
      </c>
      <c r="R19" s="353">
        <f>IFERROR(VLOOKUP(D19,ODME_Validation!A:C,3,FALSE),IFERROR(VLOOKUP(E19,ODME_Validation!A:C,3,FALSE),""))+IFERROR(VLOOKUP(J19,ODME_Validation!A:C,3,FALSE),IFERROR(VLOOKUP(I19,ODME_Validation!A:C,3,FALSE),""))</f>
        <v>11933.41</v>
      </c>
      <c r="S19" s="171"/>
      <c r="T19" s="313">
        <v>14100</v>
      </c>
      <c r="U19" s="283">
        <v>14500</v>
      </c>
      <c r="V19" s="372">
        <f>TRENDS!P19</f>
        <v>14800</v>
      </c>
      <c r="W19" s="314">
        <f>TRENDS!AD19</f>
        <v>17000</v>
      </c>
      <c r="X19" s="315">
        <f t="shared" si="2"/>
        <v>2.8368794326241176E-2</v>
      </c>
      <c r="Y19" s="315">
        <f t="shared" si="3"/>
        <v>1.2310908723206504E-2</v>
      </c>
      <c r="Z19" s="322">
        <f>W19</f>
        <v>17000</v>
      </c>
      <c r="AA19" s="317">
        <f t="shared" si="4"/>
        <v>1.2310908723206504E-2</v>
      </c>
      <c r="AB19" s="353">
        <f>IFERROR(VLOOKUP(D19,ODME_Validation!A:E,5,FALSE),IFERROR(VLOOKUP(E19,ODME_Validation!A:E,5,FALSE),""))+IFERROR(VLOOKUP(J19,ODME_Validation!A:E,5,FALSE),IFERROR(VLOOKUP(I19,ODME_Validation!A:E,5,FALSE),""))</f>
        <v>16760.32</v>
      </c>
      <c r="AC19" s="171"/>
      <c r="AD19" s="425"/>
      <c r="AE19" s="171"/>
      <c r="AF19" s="425"/>
      <c r="AG19" s="171"/>
    </row>
    <row r="20" spans="1:33" s="125" customFormat="1" ht="15.95" customHeight="1" x14ac:dyDescent="0.25">
      <c r="A20" s="240"/>
      <c r="B20" s="127"/>
      <c r="C20" s="127"/>
      <c r="D20" s="236"/>
      <c r="E20" s="237">
        <v>15</v>
      </c>
      <c r="F20" s="264"/>
      <c r="G20" s="265"/>
      <c r="H20" s="237"/>
      <c r="I20" s="240">
        <v>16</v>
      </c>
      <c r="J20" s="240"/>
      <c r="K20" s="240"/>
      <c r="L20" s="354">
        <v>54700</v>
      </c>
      <c r="M20" s="132">
        <v>56300</v>
      </c>
      <c r="N20" s="124">
        <v>60500</v>
      </c>
      <c r="O20" s="124">
        <v>62100</v>
      </c>
      <c r="P20" s="355">
        <v>63600</v>
      </c>
      <c r="Q20" s="124">
        <v>65100</v>
      </c>
      <c r="R20" s="356">
        <f>IFERROR(VLOOKUP(D20,ODME_Validation!A:C,3,FALSE),IFERROR(VLOOKUP(E20,ODME_Validation!A:C,3,FALSE),""))+IFERROR(VLOOKUP(J20,ODME_Validation!A:C,3,FALSE),IFERROR(VLOOKUP(I20,ODME_Validation!A:C,3,FALSE),""))</f>
        <v>63690.810550000002</v>
      </c>
      <c r="S20" s="309">
        <f>R20/P20-1</f>
        <v>1.4278388364781236E-3</v>
      </c>
      <c r="T20" s="123">
        <v>73400</v>
      </c>
      <c r="U20" s="124">
        <v>75100</v>
      </c>
      <c r="V20" s="374">
        <f>TRENDS!P20</f>
        <v>78900</v>
      </c>
      <c r="W20" s="379">
        <f>TRENDS!AD20</f>
        <v>103000</v>
      </c>
      <c r="X20" s="108">
        <f t="shared" si="2"/>
        <v>2.3160762942779245E-2</v>
      </c>
      <c r="Y20" s="108">
        <f t="shared" si="3"/>
        <v>2.4598315453451258E-2</v>
      </c>
      <c r="Z20" s="355">
        <f>Z16-Z18+Z19</f>
        <v>101616.84415484048</v>
      </c>
      <c r="AA20" s="216">
        <f t="shared" si="4"/>
        <v>2.353331247602708E-2</v>
      </c>
      <c r="AB20" s="356">
        <f>IFERROR(VLOOKUP(D20,ODME_Validation!A:E,5,FALSE),IFERROR(VLOOKUP(E20,ODME_Validation!A:E,5,FALSE),""))+IFERROR(VLOOKUP(J20,ODME_Validation!A:E,5,FALSE),IFERROR(VLOOKUP(I20,ODME_Validation!A:E,5,FALSE),""))</f>
        <v>101903.92188000001</v>
      </c>
      <c r="AC20" s="309"/>
      <c r="AD20" s="425"/>
      <c r="AE20" s="309"/>
      <c r="AF20" s="425"/>
      <c r="AG20" s="304"/>
    </row>
    <row r="21" spans="1:33" ht="15.95" customHeight="1" thickBot="1" x14ac:dyDescent="0.3">
      <c r="A21" s="167" t="s">
        <v>13</v>
      </c>
      <c r="B21" s="45">
        <v>0.26</v>
      </c>
      <c r="C21" s="45">
        <v>0.53</v>
      </c>
      <c r="D21" s="242">
        <v>17</v>
      </c>
      <c r="E21" s="243"/>
      <c r="F21" s="244"/>
      <c r="G21" s="245"/>
      <c r="H21" s="246"/>
      <c r="I21" s="247"/>
      <c r="J21" s="248">
        <v>18</v>
      </c>
      <c r="K21" s="230"/>
      <c r="L21" s="352">
        <v>7100</v>
      </c>
      <c r="M21" s="319">
        <v>7300</v>
      </c>
      <c r="N21" s="319">
        <v>8200</v>
      </c>
      <c r="O21" s="319">
        <v>8400</v>
      </c>
      <c r="P21" s="322">
        <v>8600</v>
      </c>
      <c r="Q21" s="283">
        <v>8800</v>
      </c>
      <c r="R21" s="353">
        <f>IFERROR(VLOOKUP(D21,ODME_Validation!A:C,3,FALSE),IFERROR(VLOOKUP(E21,ODME_Validation!A:C,3,FALSE),""))+IFERROR(VLOOKUP(J21,ODME_Validation!A:C,3,FALSE),IFERROR(VLOOKUP(I21,ODME_Validation!A:C,3,FALSE),""))</f>
        <v>8474.26</v>
      </c>
      <c r="S21" s="171"/>
      <c r="T21" s="313">
        <v>9800</v>
      </c>
      <c r="U21" s="283">
        <v>10000</v>
      </c>
      <c r="V21" s="372">
        <f>TRENDS!P21</f>
        <v>10800</v>
      </c>
      <c r="W21" s="314">
        <f>TRENDS!AD21</f>
        <v>14700</v>
      </c>
      <c r="X21" s="315">
        <f t="shared" si="2"/>
        <v>2.0408163265306145E-2</v>
      </c>
      <c r="Y21" s="315">
        <f t="shared" si="3"/>
        <v>3.0079073096610287E-2</v>
      </c>
      <c r="Z21" s="322">
        <f>W21</f>
        <v>14700</v>
      </c>
      <c r="AA21" s="317">
        <f t="shared" si="4"/>
        <v>3.0079073096610287E-2</v>
      </c>
      <c r="AB21" s="353">
        <f>IFERROR(VLOOKUP(D21,ODME_Validation!A:E,5,FALSE),IFERROR(VLOOKUP(E21,ODME_Validation!A:E,5,FALSE),""))+IFERROR(VLOOKUP(J21,ODME_Validation!A:E,5,FALSE),IFERROR(VLOOKUP(I21,ODME_Validation!A:E,5,FALSE),""))</f>
        <v>14643.41</v>
      </c>
      <c r="AC21" s="171"/>
      <c r="AD21" s="425"/>
      <c r="AE21" s="171"/>
      <c r="AF21" s="425"/>
      <c r="AG21" s="171"/>
    </row>
    <row r="22" spans="1:33" ht="15.95" customHeight="1" thickTop="1" x14ac:dyDescent="0.25">
      <c r="A22" s="167"/>
      <c r="B22" s="45"/>
      <c r="C22" s="45"/>
      <c r="D22" s="222">
        <v>19</v>
      </c>
      <c r="E22" s="233"/>
      <c r="F22" s="266"/>
      <c r="G22" s="250"/>
      <c r="H22" s="267"/>
      <c r="I22" s="228"/>
      <c r="J22" s="251">
        <v>20</v>
      </c>
      <c r="K22" s="251"/>
      <c r="L22" s="352">
        <v>6600</v>
      </c>
      <c r="M22" s="319">
        <v>6900</v>
      </c>
      <c r="N22" s="319">
        <v>7800</v>
      </c>
      <c r="O22" s="319">
        <v>8000</v>
      </c>
      <c r="P22" s="322">
        <v>8200</v>
      </c>
      <c r="Q22" s="283">
        <v>8400</v>
      </c>
      <c r="R22" s="353">
        <f>IFERROR(VLOOKUP(D22,ODME_Validation!A:C,3,FALSE),IFERROR(VLOOKUP(E22,ODME_Validation!A:C,3,FALSE),""))+IFERROR(VLOOKUP(J22,ODME_Validation!A:C,3,FALSE),IFERROR(VLOOKUP(I22,ODME_Validation!A:C,3,FALSE),""))</f>
        <v>8326.52</v>
      </c>
      <c r="S22" s="171"/>
      <c r="T22" s="313">
        <v>9400</v>
      </c>
      <c r="U22" s="283">
        <v>9700</v>
      </c>
      <c r="V22" s="372">
        <f>TRENDS!P22</f>
        <v>10100</v>
      </c>
      <c r="W22" s="314">
        <f>TRENDS!AD22</f>
        <v>13600</v>
      </c>
      <c r="X22" s="315">
        <f t="shared" si="2"/>
        <v>3.1914893617021267E-2</v>
      </c>
      <c r="Y22" s="315">
        <f t="shared" si="3"/>
        <v>2.6336519998071184E-2</v>
      </c>
      <c r="Z22" s="322">
        <f>W22+1383</f>
        <v>14983</v>
      </c>
      <c r="AA22" s="317">
        <f t="shared" si="4"/>
        <v>3.4010996285026351E-2</v>
      </c>
      <c r="AB22" s="353">
        <f>IFERROR(VLOOKUP(D22,ODME_Validation!A:E,5,FALSE),IFERROR(VLOOKUP(E22,ODME_Validation!A:E,5,FALSE),""))+IFERROR(VLOOKUP(J22,ODME_Validation!A:E,5,FALSE),IFERROR(VLOOKUP(I22,ODME_Validation!A:E,5,FALSE),""))</f>
        <v>15033</v>
      </c>
      <c r="AC22" s="171"/>
      <c r="AD22" s="425"/>
      <c r="AE22" s="171"/>
      <c r="AF22" s="425"/>
      <c r="AG22" s="171"/>
    </row>
    <row r="23" spans="1:33" s="125" customFormat="1" ht="15.95" customHeight="1" x14ac:dyDescent="0.25">
      <c r="A23" s="240"/>
      <c r="B23" s="127"/>
      <c r="C23" s="127"/>
      <c r="D23" s="268"/>
      <c r="E23" s="269">
        <v>47</v>
      </c>
      <c r="F23" s="270"/>
      <c r="G23" s="271"/>
      <c r="H23" s="239"/>
      <c r="I23" s="272">
        <v>48</v>
      </c>
      <c r="J23" s="272"/>
      <c r="K23" s="272"/>
      <c r="L23" s="354">
        <v>54200</v>
      </c>
      <c r="M23" s="132">
        <v>55900</v>
      </c>
      <c r="N23" s="124">
        <v>60100</v>
      </c>
      <c r="O23" s="124">
        <v>61700</v>
      </c>
      <c r="P23" s="355">
        <v>63200</v>
      </c>
      <c r="Q23" s="124">
        <v>64700</v>
      </c>
      <c r="R23" s="356">
        <f>IFERROR(VLOOKUP(D23,ODME_Validation!A:C,3,FALSE),IFERROR(VLOOKUP(E23,ODME_Validation!A:C,3,FALSE),""))+IFERROR(VLOOKUP(J23,ODME_Validation!A:C,3,FALSE),IFERROR(VLOOKUP(I23,ODME_Validation!A:C,3,FALSE),""))</f>
        <v>63543.068359999997</v>
      </c>
      <c r="S23" s="309">
        <f>R23/P23-1</f>
        <v>5.4282968354431027E-3</v>
      </c>
      <c r="T23" s="123">
        <v>73000</v>
      </c>
      <c r="U23" s="124">
        <v>74800</v>
      </c>
      <c r="V23" s="374">
        <f>TRENDS!P23</f>
        <v>78200</v>
      </c>
      <c r="W23" s="379">
        <f>TRENDS!AD23</f>
        <v>101900</v>
      </c>
      <c r="X23" s="108">
        <f t="shared" si="2"/>
        <v>2.4657534246575352E-2</v>
      </c>
      <c r="Y23" s="108">
        <f t="shared" si="3"/>
        <v>2.4067681486188652E-2</v>
      </c>
      <c r="Z23" s="355">
        <f>Z20+-Z21+Z22</f>
        <v>101899.84415484048</v>
      </c>
      <c r="AA23" s="216">
        <f t="shared" si="4"/>
        <v>2.4067561009021077E-2</v>
      </c>
      <c r="AB23" s="356">
        <f>IFERROR(VLOOKUP(D23,ODME_Validation!A:E,5,FALSE),IFERROR(VLOOKUP(E23,ODME_Validation!A:E,5,FALSE),""))+IFERROR(VLOOKUP(J23,ODME_Validation!A:E,5,FALSE),IFERROR(VLOOKUP(I23,ODME_Validation!A:E,5,FALSE),""))</f>
        <v>102293.50781000001</v>
      </c>
      <c r="AC23" s="309"/>
      <c r="AD23" s="425"/>
      <c r="AE23" s="309"/>
      <c r="AF23" s="425"/>
      <c r="AG23" s="304"/>
    </row>
    <row r="24" spans="1:33" ht="15.95" customHeight="1" thickBot="1" x14ac:dyDescent="0.3">
      <c r="A24" s="167" t="s">
        <v>14</v>
      </c>
      <c r="B24" s="45">
        <v>0.53</v>
      </c>
      <c r="C24" s="45">
        <v>0.79</v>
      </c>
      <c r="D24" s="242">
        <v>21</v>
      </c>
      <c r="E24" s="243"/>
      <c r="F24" s="244"/>
      <c r="G24" s="245"/>
      <c r="H24" s="246"/>
      <c r="I24" s="247"/>
      <c r="J24" s="248">
        <v>22</v>
      </c>
      <c r="K24" s="230"/>
      <c r="L24" s="352">
        <v>5000</v>
      </c>
      <c r="M24" s="319">
        <v>5100</v>
      </c>
      <c r="N24" s="319">
        <v>5800</v>
      </c>
      <c r="O24" s="319">
        <v>6000</v>
      </c>
      <c r="P24" s="322">
        <v>6100</v>
      </c>
      <c r="Q24" s="283">
        <v>6200</v>
      </c>
      <c r="R24" s="353">
        <f>IFERROR(VLOOKUP(D24,ODME_Validation!A:C,3,FALSE),IFERROR(VLOOKUP(E24,ODME_Validation!A:C,3,FALSE),""))+IFERROR(VLOOKUP(J24,ODME_Validation!A:C,3,FALSE),IFERROR(VLOOKUP(I24,ODME_Validation!A:C,3,FALSE),""))</f>
        <v>5628.59</v>
      </c>
      <c r="S24" s="310"/>
      <c r="T24" s="313">
        <v>6700</v>
      </c>
      <c r="U24" s="283">
        <v>6800</v>
      </c>
      <c r="V24" s="372">
        <f>TRENDS!P24</f>
        <v>7700</v>
      </c>
      <c r="W24" s="314">
        <f>TRENDS!AD24</f>
        <v>10500</v>
      </c>
      <c r="X24" s="315">
        <f t="shared" si="2"/>
        <v>1.4925373134328401E-2</v>
      </c>
      <c r="Y24" s="315">
        <f t="shared" si="3"/>
        <v>3.3984136641654894E-2</v>
      </c>
      <c r="Z24" s="322">
        <f>W24</f>
        <v>10500</v>
      </c>
      <c r="AA24" s="317">
        <f t="shared" si="4"/>
        <v>3.3984136641654894E-2</v>
      </c>
      <c r="AB24" s="353">
        <f>IFERROR(VLOOKUP(D24,ODME_Validation!A:E,5,FALSE),IFERROR(VLOOKUP(E24,ODME_Validation!A:E,5,FALSE),""))+IFERROR(VLOOKUP(J24,ODME_Validation!A:E,5,FALSE),IFERROR(VLOOKUP(I24,ODME_Validation!A:E,5,FALSE),""))</f>
        <v>10027.790000000001</v>
      </c>
      <c r="AC24" s="310"/>
      <c r="AD24" s="425"/>
      <c r="AE24" s="310"/>
      <c r="AF24" s="425"/>
      <c r="AG24" s="171"/>
    </row>
    <row r="25" spans="1:33" ht="15.95" customHeight="1" thickTop="1" thickBot="1" x14ac:dyDescent="0.3">
      <c r="A25" s="167"/>
      <c r="B25" s="45"/>
      <c r="C25" s="45"/>
      <c r="D25" s="273"/>
      <c r="E25" s="274"/>
      <c r="F25" s="275"/>
      <c r="G25" s="276"/>
      <c r="H25" s="274"/>
      <c r="I25" s="277"/>
      <c r="J25" s="273"/>
      <c r="K25" s="223"/>
      <c r="L25" s="357"/>
      <c r="M25" s="358"/>
      <c r="N25" s="358"/>
      <c r="O25" s="358"/>
      <c r="P25" s="359"/>
      <c r="Q25" s="280"/>
      <c r="R25" s="360"/>
      <c r="S25" s="171"/>
      <c r="T25" s="318"/>
      <c r="U25" s="280"/>
      <c r="V25" s="372"/>
      <c r="W25" s="314"/>
      <c r="X25" s="314"/>
      <c r="Y25" s="315"/>
      <c r="Z25" s="359"/>
      <c r="AA25" s="317"/>
      <c r="AB25" s="360"/>
      <c r="AC25" s="171"/>
      <c r="AD25" s="425"/>
      <c r="AE25" s="171"/>
      <c r="AF25" s="425"/>
      <c r="AG25" s="171"/>
    </row>
    <row r="26" spans="1:33" ht="15.95" customHeight="1" thickTop="1" x14ac:dyDescent="0.25">
      <c r="A26" s="167" t="s">
        <v>15</v>
      </c>
      <c r="B26" s="45"/>
      <c r="C26" s="45"/>
      <c r="D26" s="226">
        <v>25</v>
      </c>
      <c r="E26" s="233"/>
      <c r="F26" s="249"/>
      <c r="G26" s="250"/>
      <c r="H26" s="234"/>
      <c r="I26" s="228"/>
      <c r="J26" s="229">
        <v>26</v>
      </c>
      <c r="K26" s="230"/>
      <c r="L26" s="352">
        <v>9000</v>
      </c>
      <c r="M26" s="319">
        <v>9400</v>
      </c>
      <c r="N26" s="319">
        <v>10600</v>
      </c>
      <c r="O26" s="319">
        <v>10900</v>
      </c>
      <c r="P26" s="322">
        <v>11200</v>
      </c>
      <c r="Q26" s="283">
        <v>11500</v>
      </c>
      <c r="R26" s="353">
        <f>IFERROR(VLOOKUP(D26,ODME_Validation!A:C,3,FALSE),IFERROR(VLOOKUP(E26,ODME_Validation!A:C,3,FALSE),""))+IFERROR(VLOOKUP(J26,ODME_Validation!A:C,3,FALSE),IFERROR(VLOOKUP(I26,ODME_Validation!A:C,3,FALSE),""))</f>
        <v>11671.48</v>
      </c>
      <c r="S26" s="171"/>
      <c r="T26" s="313">
        <v>13000</v>
      </c>
      <c r="U26" s="283">
        <v>13400</v>
      </c>
      <c r="V26" s="372">
        <f>TRENDS!P26</f>
        <v>13500</v>
      </c>
      <c r="W26" s="314">
        <f>TRENDS!AD26</f>
        <v>21500</v>
      </c>
      <c r="X26" s="315">
        <f>(((U26/T26))^(1/($U$6-$T$6)))-1</f>
        <v>3.076923076923066E-2</v>
      </c>
      <c r="Y26" s="315">
        <f>(((W26/U26))^(1/($W$6-$U$6)))-1</f>
        <v>3.7038541057360153E-2</v>
      </c>
      <c r="Z26" s="322">
        <f>W26</f>
        <v>21500</v>
      </c>
      <c r="AA26" s="317">
        <f>(((Z26/U26))^(1/($Z$6-$U$6)))-1</f>
        <v>3.7038541057360153E-2</v>
      </c>
      <c r="AB26" s="353">
        <f>IFERROR(VLOOKUP(D26,ODME_Validation!A:E,5,FALSE),IFERROR(VLOOKUP(E26,ODME_Validation!A:E,5,FALSE),""))+IFERROR(VLOOKUP(J26,ODME_Validation!A:E,5,FALSE),IFERROR(VLOOKUP(I26,ODME_Validation!A:E,5,FALSE),""))</f>
        <v>21966.16</v>
      </c>
      <c r="AC26" s="171"/>
      <c r="AD26" s="425"/>
      <c r="AE26" s="171"/>
      <c r="AF26" s="425"/>
      <c r="AG26" s="171"/>
    </row>
    <row r="27" spans="1:33" ht="15.95" customHeight="1" x14ac:dyDescent="0.25">
      <c r="A27" s="167"/>
      <c r="B27" s="45"/>
      <c r="C27" s="45"/>
      <c r="D27" s="222"/>
      <c r="E27" s="261"/>
      <c r="F27" s="262"/>
      <c r="G27" s="263"/>
      <c r="H27" s="261"/>
      <c r="I27" s="230"/>
      <c r="J27" s="230"/>
      <c r="K27" s="230"/>
      <c r="L27" s="352"/>
      <c r="M27" s="319"/>
      <c r="N27" s="319"/>
      <c r="O27" s="319"/>
      <c r="P27" s="322"/>
      <c r="Q27" s="283"/>
      <c r="R27" s="353"/>
      <c r="S27" s="171"/>
      <c r="T27" s="313"/>
      <c r="U27" s="283"/>
      <c r="V27" s="372"/>
      <c r="W27" s="314"/>
      <c r="X27" s="314"/>
      <c r="Y27" s="315"/>
      <c r="Z27" s="322"/>
      <c r="AA27" s="317"/>
      <c r="AB27" s="353"/>
      <c r="AC27" s="171"/>
      <c r="AD27" s="425"/>
      <c r="AE27" s="171"/>
      <c r="AF27" s="425"/>
      <c r="AG27" s="171"/>
    </row>
    <row r="28" spans="1:33" s="125" customFormat="1" ht="15.95" customHeight="1" x14ac:dyDescent="0.25">
      <c r="A28" s="240" t="s">
        <v>16</v>
      </c>
      <c r="B28" s="127">
        <v>1.06</v>
      </c>
      <c r="C28" s="127">
        <v>1.32</v>
      </c>
      <c r="D28" s="268"/>
      <c r="E28" s="269">
        <v>23</v>
      </c>
      <c r="F28" s="278"/>
      <c r="G28" s="271"/>
      <c r="H28" s="269"/>
      <c r="I28" s="272">
        <v>24</v>
      </c>
      <c r="J28" s="272"/>
      <c r="K28" s="272"/>
      <c r="L28" s="354">
        <v>58200</v>
      </c>
      <c r="M28" s="132">
        <v>60200</v>
      </c>
      <c r="N28" s="124">
        <v>64900</v>
      </c>
      <c r="O28" s="124">
        <v>66600</v>
      </c>
      <c r="P28" s="355">
        <v>68300</v>
      </c>
      <c r="Q28" s="124">
        <v>70000</v>
      </c>
      <c r="R28" s="356">
        <f>IFERROR(VLOOKUP(D28,ODME_Validation!A:C,3,FALSE),IFERROR(VLOOKUP(E28,ODME_Validation!A:C,3,FALSE),""))+IFERROR(VLOOKUP(J28,ODME_Validation!A:C,3,FALSE),IFERROR(VLOOKUP(I28,ODME_Validation!A:C,3,FALSE),""))</f>
        <v>69585.960940000004</v>
      </c>
      <c r="S28" s="309">
        <f>R28/P28-1</f>
        <v>1.882812503660336E-2</v>
      </c>
      <c r="T28" s="123">
        <v>79300</v>
      </c>
      <c r="U28" s="124">
        <v>81400</v>
      </c>
      <c r="V28" s="374">
        <f>TRENDS!P28</f>
        <v>84000</v>
      </c>
      <c r="W28" s="379">
        <f>TRENDS!AD28</f>
        <v>112900</v>
      </c>
      <c r="X28" s="108">
        <f>(((U28/T28))^(1/($U$6-$T$6)))-1</f>
        <v>2.6481715006305251E-2</v>
      </c>
      <c r="Y28" s="108">
        <f>(((W28/U28))^(1/($W$6-$U$6)))-1</f>
        <v>2.5482907207312611E-2</v>
      </c>
      <c r="Z28" s="355">
        <f>Z23+Z26-Z24</f>
        <v>112899.84415484048</v>
      </c>
      <c r="AA28" s="216">
        <f>(((Z28/U28))^(1/($Z$6-$U$6)))-1</f>
        <v>2.5482798318132938E-2</v>
      </c>
      <c r="AB28" s="375">
        <f>IFERROR(VLOOKUP(D28,ODME_Validation!A:E,5,FALSE),IFERROR(VLOOKUP(E28,ODME_Validation!A:E,5,FALSE),""))+IFERROR(VLOOKUP(J28,ODME_Validation!A:E,5,FALSE),IFERROR(VLOOKUP(I28,ODME_Validation!A:E,5,FALSE),""))</f>
        <v>114231.87891</v>
      </c>
      <c r="AC28" s="309"/>
      <c r="AD28" s="409">
        <v>5400</v>
      </c>
      <c r="AE28" s="309"/>
      <c r="AF28" s="407">
        <f>P28*13%/2</f>
        <v>4439.5</v>
      </c>
      <c r="AG28" s="304"/>
    </row>
    <row r="29" spans="1:33" ht="15.95" customHeight="1" thickBot="1" x14ac:dyDescent="0.3">
      <c r="A29" s="167"/>
      <c r="B29" s="45"/>
      <c r="C29" s="45"/>
      <c r="D29" s="280"/>
      <c r="E29" s="281"/>
      <c r="F29" s="282"/>
      <c r="G29" s="170"/>
      <c r="H29" s="281"/>
      <c r="I29" s="252"/>
      <c r="J29" s="252"/>
      <c r="K29" s="252"/>
      <c r="L29" s="352"/>
      <c r="M29" s="319"/>
      <c r="N29" s="321"/>
      <c r="O29" s="321"/>
      <c r="P29" s="361"/>
      <c r="Q29" s="321"/>
      <c r="R29" s="362"/>
      <c r="S29" s="171"/>
      <c r="T29" s="320"/>
      <c r="U29" s="321"/>
      <c r="V29" s="372"/>
      <c r="W29" s="314"/>
      <c r="X29" s="314"/>
      <c r="Y29" s="315"/>
      <c r="Z29" s="361"/>
      <c r="AA29" s="317"/>
      <c r="AB29" s="362"/>
      <c r="AC29" s="171"/>
      <c r="AD29" s="410"/>
      <c r="AE29" s="171"/>
      <c r="AF29" s="171"/>
      <c r="AG29" s="171"/>
    </row>
    <row r="30" spans="1:33" ht="15.95" customHeight="1" thickTop="1" x14ac:dyDescent="0.25">
      <c r="A30" s="167" t="s">
        <v>17</v>
      </c>
      <c r="B30" s="45">
        <v>1.06</v>
      </c>
      <c r="C30" s="45">
        <v>1.32</v>
      </c>
      <c r="D30" s="284">
        <v>45</v>
      </c>
      <c r="E30" s="233"/>
      <c r="F30" s="249"/>
      <c r="G30" s="250"/>
      <c r="H30" s="234"/>
      <c r="I30" s="228"/>
      <c r="J30" s="285">
        <v>46</v>
      </c>
      <c r="K30" s="230"/>
      <c r="L30" s="363">
        <v>4700</v>
      </c>
      <c r="M30" s="319">
        <v>5000</v>
      </c>
      <c r="N30" s="319">
        <v>5700</v>
      </c>
      <c r="O30" s="319">
        <v>5900</v>
      </c>
      <c r="P30" s="322">
        <v>6100</v>
      </c>
      <c r="Q30" s="283">
        <v>6300</v>
      </c>
      <c r="R30" s="353">
        <f>IFERROR(VLOOKUP(D30,ODME_Validation!A:C,3,FALSE),IFERROR(VLOOKUP(E30,ODME_Validation!A:C,3,FALSE),""))+IFERROR(VLOOKUP(J30,ODME_Validation!A:C,3,FALSE),IFERROR(VLOOKUP(I30,ODME_Validation!A:C,3,FALSE),""))</f>
        <v>7863.1</v>
      </c>
      <c r="S30" s="310"/>
      <c r="T30" s="313">
        <v>7300</v>
      </c>
      <c r="U30" s="283">
        <v>7500</v>
      </c>
      <c r="V30" s="372">
        <f>TRENDS!P30</f>
        <v>7300</v>
      </c>
      <c r="W30" s="314">
        <f>TRENDS!AD30</f>
        <v>9800</v>
      </c>
      <c r="X30" s="315">
        <f t="shared" ref="X30:X39" si="5">(((U30/T30))^(1/($U$6-$T$6)))-1</f>
        <v>2.7397260273972712E-2</v>
      </c>
      <c r="Y30" s="315">
        <f t="shared" ref="Y30:Y39" si="6">(((W30/U30))^(1/($W$6-$U$6)))-1</f>
        <v>2.0788467241478203E-2</v>
      </c>
      <c r="Z30" s="322">
        <f t="shared" ref="Z30:Z39" si="7">W30</f>
        <v>9800</v>
      </c>
      <c r="AA30" s="317">
        <f t="shared" ref="AA30:AA39" si="8">(((Z30/U30))^(1/($Z$6-$U$6)))-1</f>
        <v>2.0788467241478203E-2</v>
      </c>
      <c r="AB30" s="353">
        <f>IFERROR(VLOOKUP(D30,ODME_Validation!A:E,5,FALSE),IFERROR(VLOOKUP(E30,ODME_Validation!A:E,5,FALSE),""))+IFERROR(VLOOKUP(J30,ODME_Validation!A:E,5,FALSE),IFERROR(VLOOKUP(I30,ODME_Validation!A:E,5,FALSE),""))</f>
        <v>11489.75</v>
      </c>
      <c r="AC30" s="310"/>
      <c r="AD30" s="410"/>
      <c r="AE30" s="310"/>
      <c r="AF30" s="171"/>
      <c r="AG30" s="171"/>
    </row>
    <row r="31" spans="1:33" s="125" customFormat="1" ht="15.95" customHeight="1" x14ac:dyDescent="0.25">
      <c r="A31" s="304"/>
      <c r="B31" s="127"/>
      <c r="C31" s="127"/>
      <c r="D31" s="256"/>
      <c r="E31" s="286">
        <v>27</v>
      </c>
      <c r="F31" s="258"/>
      <c r="G31" s="259"/>
      <c r="H31" s="257"/>
      <c r="I31" s="287">
        <v>28</v>
      </c>
      <c r="J31" s="260"/>
      <c r="K31" s="260"/>
      <c r="L31" s="354">
        <v>62900</v>
      </c>
      <c r="M31" s="132">
        <v>65200</v>
      </c>
      <c r="N31" s="124">
        <v>70600</v>
      </c>
      <c r="O31" s="124">
        <v>72500</v>
      </c>
      <c r="P31" s="355">
        <v>74400</v>
      </c>
      <c r="Q31" s="124">
        <v>76300</v>
      </c>
      <c r="R31" s="356">
        <f>IFERROR(VLOOKUP(D31,ODME_Validation!A:C,3,FALSE),IFERROR(VLOOKUP(E31,ODME_Validation!A:C,3,FALSE),""))+IFERROR(VLOOKUP(J31,ODME_Validation!A:C,3,FALSE),IFERROR(VLOOKUP(I31,ODME_Validation!A:C,3,FALSE),""))</f>
        <v>71706.589840000001</v>
      </c>
      <c r="S31" s="311">
        <f>R31/P31-1</f>
        <v>-3.620174946236554E-2</v>
      </c>
      <c r="T31" s="123">
        <v>86600</v>
      </c>
      <c r="U31" s="124">
        <v>88900</v>
      </c>
      <c r="V31" s="374">
        <f>TRENDS!P31</f>
        <v>91300</v>
      </c>
      <c r="W31" s="379">
        <f>TRENDS!AD31</f>
        <v>122700</v>
      </c>
      <c r="X31" s="108">
        <f t="shared" si="5"/>
        <v>2.6558891454965261E-2</v>
      </c>
      <c r="Y31" s="108">
        <f t="shared" si="6"/>
        <v>2.5096689303208741E-2</v>
      </c>
      <c r="Z31" s="355">
        <f t="shared" si="7"/>
        <v>122700</v>
      </c>
      <c r="AA31" s="216">
        <f t="shared" si="8"/>
        <v>2.5096689303208741E-2</v>
      </c>
      <c r="AB31" s="356">
        <f>IFERROR(VLOOKUP(D31,ODME_Validation!A:E,5,FALSE),IFERROR(VLOOKUP(E31,ODME_Validation!A:E,5,FALSE),""))+IFERROR(VLOOKUP(J31,ODME_Validation!A:E,5,FALSE),IFERROR(VLOOKUP(I31,ODME_Validation!A:E,5,FALSE),""))</f>
        <v>115742.66016</v>
      </c>
      <c r="AC31" s="311"/>
      <c r="AD31" s="409">
        <v>7000</v>
      </c>
      <c r="AE31" s="311"/>
      <c r="AF31" s="407">
        <f>P31*13%/2</f>
        <v>4836</v>
      </c>
      <c r="AG31" s="407"/>
    </row>
    <row r="32" spans="1:33" ht="15.95" customHeight="1" thickBot="1" x14ac:dyDescent="0.3">
      <c r="A32" s="167" t="s">
        <v>18</v>
      </c>
      <c r="B32" s="45"/>
      <c r="C32" s="45"/>
      <c r="D32" s="302">
        <v>29</v>
      </c>
      <c r="E32" s="243"/>
      <c r="F32" s="244"/>
      <c r="G32" s="245"/>
      <c r="H32" s="246"/>
      <c r="I32" s="247"/>
      <c r="J32" s="248">
        <v>30</v>
      </c>
      <c r="K32" s="230"/>
      <c r="L32" s="352">
        <v>6200</v>
      </c>
      <c r="M32" s="319">
        <v>6300</v>
      </c>
      <c r="N32" s="319">
        <v>7100</v>
      </c>
      <c r="O32" s="319">
        <v>7300</v>
      </c>
      <c r="P32" s="322">
        <v>7500</v>
      </c>
      <c r="Q32" s="283">
        <v>7700</v>
      </c>
      <c r="R32" s="353">
        <f>IFERROR(VLOOKUP(D32,ODME_Validation!A:C,3,FALSE),IFERROR(VLOOKUP(E32,ODME_Validation!A:C,3,FALSE),""))+IFERROR(VLOOKUP(J32,ODME_Validation!A:C,3,FALSE),IFERROR(VLOOKUP(I32,ODME_Validation!A:C,3,FALSE),""))</f>
        <v>5742.47</v>
      </c>
      <c r="S32" s="312"/>
      <c r="T32" s="313">
        <v>8700</v>
      </c>
      <c r="U32" s="283">
        <v>8900</v>
      </c>
      <c r="V32" s="372">
        <f>TRENDS!P32</f>
        <v>13400</v>
      </c>
      <c r="W32" s="314">
        <f>TRENDS!AD32</f>
        <v>22000</v>
      </c>
      <c r="X32" s="315">
        <f t="shared" si="5"/>
        <v>2.2988505747126409E-2</v>
      </c>
      <c r="Y32" s="315">
        <f t="shared" si="6"/>
        <v>7.2095029770722574E-2</v>
      </c>
      <c r="Z32" s="322">
        <f t="shared" si="7"/>
        <v>22000</v>
      </c>
      <c r="AA32" s="317">
        <f t="shared" si="8"/>
        <v>7.2095029770722574E-2</v>
      </c>
      <c r="AB32" s="353">
        <f>IFERROR(VLOOKUP(D32,ODME_Validation!A:E,5,FALSE),IFERROR(VLOOKUP(E32,ODME_Validation!A:E,5,FALSE),""))+IFERROR(VLOOKUP(J32,ODME_Validation!A:E,5,FALSE),IFERROR(VLOOKUP(I32,ODME_Validation!A:E,5,FALSE),""))</f>
        <v>15789.93816</v>
      </c>
      <c r="AC32" s="312"/>
      <c r="AD32" s="312"/>
      <c r="AE32" s="312"/>
      <c r="AF32" s="171"/>
      <c r="AG32" s="171"/>
    </row>
    <row r="33" spans="1:33" ht="15.95" customHeight="1" thickTop="1" x14ac:dyDescent="0.25">
      <c r="A33" s="167"/>
      <c r="B33" s="45">
        <v>0.53</v>
      </c>
      <c r="C33" s="45">
        <v>0.79</v>
      </c>
      <c r="D33" s="222">
        <v>31</v>
      </c>
      <c r="E33" s="233"/>
      <c r="F33" s="249"/>
      <c r="G33" s="250"/>
      <c r="H33" s="234"/>
      <c r="I33" s="228"/>
      <c r="J33" s="303">
        <v>32</v>
      </c>
      <c r="K33" s="251"/>
      <c r="L33" s="352">
        <v>14800</v>
      </c>
      <c r="M33" s="319">
        <v>15400</v>
      </c>
      <c r="N33" s="319">
        <v>17400</v>
      </c>
      <c r="O33" s="319">
        <v>17900</v>
      </c>
      <c r="P33" s="322">
        <v>18400</v>
      </c>
      <c r="Q33" s="283">
        <v>18900</v>
      </c>
      <c r="R33" s="353">
        <f>IFERROR(VLOOKUP(D33,ODME_Validation!A:C,3,FALSE),IFERROR(VLOOKUP(E33,ODME_Validation!A:C,3,FALSE),""))+IFERROR(VLOOKUP(J33,ODME_Validation!A:C,3,FALSE),IFERROR(VLOOKUP(I33,ODME_Validation!A:C,3,FALSE),""))</f>
        <v>14269.11</v>
      </c>
      <c r="S33" s="312"/>
      <c r="T33" s="313">
        <v>21700</v>
      </c>
      <c r="U33" s="283">
        <v>22300</v>
      </c>
      <c r="V33" s="372">
        <f>TRENDS!P33</f>
        <v>21700</v>
      </c>
      <c r="W33" s="314">
        <f>TRENDS!AD33</f>
        <v>27800</v>
      </c>
      <c r="X33" s="315">
        <f t="shared" si="5"/>
        <v>2.7649769585253559E-2</v>
      </c>
      <c r="Y33" s="315">
        <f t="shared" si="6"/>
        <v>1.7102238701226957E-2</v>
      </c>
      <c r="Z33" s="322">
        <f t="shared" si="7"/>
        <v>27800</v>
      </c>
      <c r="AA33" s="317">
        <f t="shared" si="8"/>
        <v>1.7102238701226957E-2</v>
      </c>
      <c r="AB33" s="353">
        <f>IFERROR(VLOOKUP(D33,ODME_Validation!A:E,5,FALSE),IFERROR(VLOOKUP(E33,ODME_Validation!A:E,5,FALSE),""))+IFERROR(VLOOKUP(J33,ODME_Validation!A:E,5,FALSE),IFERROR(VLOOKUP(I33,ODME_Validation!A:E,5,FALSE),""))</f>
        <v>16646.690000000002</v>
      </c>
      <c r="AC33" s="312"/>
      <c r="AD33" s="312"/>
      <c r="AE33" s="312"/>
      <c r="AF33" s="171"/>
      <c r="AG33" s="171"/>
    </row>
    <row r="34" spans="1:33" s="125" customFormat="1" ht="15.95" customHeight="1" x14ac:dyDescent="0.25">
      <c r="A34" s="240"/>
      <c r="B34" s="127"/>
      <c r="C34" s="127"/>
      <c r="D34" s="268"/>
      <c r="E34" s="269">
        <v>33</v>
      </c>
      <c r="F34" s="278"/>
      <c r="G34" s="288"/>
      <c r="H34" s="289"/>
      <c r="I34" s="272">
        <v>34</v>
      </c>
      <c r="J34" s="272"/>
      <c r="K34" s="272"/>
      <c r="L34" s="354">
        <v>71500</v>
      </c>
      <c r="M34" s="132">
        <v>74300</v>
      </c>
      <c r="N34" s="124">
        <v>80900</v>
      </c>
      <c r="O34" s="124">
        <v>83100</v>
      </c>
      <c r="P34" s="355">
        <v>85300</v>
      </c>
      <c r="Q34" s="124">
        <v>87500</v>
      </c>
      <c r="R34" s="356">
        <f>IFERROR(VLOOKUP(D34,ODME_Validation!A:C,3,FALSE),IFERROR(VLOOKUP(E34,ODME_Validation!A:C,3,FALSE),""))+IFERROR(VLOOKUP(J34,ODME_Validation!A:C,3,FALSE),IFERROR(VLOOKUP(I34,ODME_Validation!A:C,3,FALSE),""))</f>
        <v>85975.69922000001</v>
      </c>
      <c r="S34" s="309">
        <f>R34/P34-1</f>
        <v>7.9214445486519569E-3</v>
      </c>
      <c r="T34" s="123">
        <v>99600</v>
      </c>
      <c r="U34" s="124">
        <v>102300</v>
      </c>
      <c r="V34" s="374">
        <f>TRENDS!P34</f>
        <v>99600</v>
      </c>
      <c r="W34" s="379">
        <f>TRENDS!AD34</f>
        <v>128500</v>
      </c>
      <c r="X34" s="108">
        <f t="shared" si="5"/>
        <v>2.7108433734939652E-2</v>
      </c>
      <c r="Y34" s="108">
        <f t="shared" si="6"/>
        <v>1.7694668954793658E-2</v>
      </c>
      <c r="Z34" s="355">
        <f t="shared" si="7"/>
        <v>128500</v>
      </c>
      <c r="AA34" s="216">
        <f t="shared" si="8"/>
        <v>1.7694668954793658E-2</v>
      </c>
      <c r="AB34" s="356">
        <f>IFERROR(VLOOKUP(D34,ODME_Validation!A:E,5,FALSE),IFERROR(VLOOKUP(E34,ODME_Validation!A:E,5,FALSE),""))+IFERROR(VLOOKUP(J34,ODME_Validation!A:E,5,FALSE),IFERROR(VLOOKUP(I34,ODME_Validation!A:E,5,FALSE),""))</f>
        <v>132389.35157</v>
      </c>
      <c r="AC34" s="309"/>
      <c r="AD34" s="309"/>
      <c r="AE34" s="309"/>
      <c r="AF34" s="407"/>
      <c r="AG34" s="407"/>
    </row>
    <row r="35" spans="1:33" ht="15.95" customHeight="1" thickBot="1" x14ac:dyDescent="0.3">
      <c r="A35" s="167" t="s">
        <v>19</v>
      </c>
      <c r="B35" s="45"/>
      <c r="C35" s="45"/>
      <c r="D35" s="242">
        <v>35</v>
      </c>
      <c r="E35" s="243"/>
      <c r="F35" s="244"/>
      <c r="G35" s="242"/>
      <c r="H35" s="246"/>
      <c r="I35" s="247"/>
      <c r="J35" s="248">
        <v>36</v>
      </c>
      <c r="K35" s="230"/>
      <c r="L35" s="352">
        <v>8800</v>
      </c>
      <c r="M35" s="319">
        <v>9000</v>
      </c>
      <c r="N35" s="319">
        <v>10200</v>
      </c>
      <c r="O35" s="319">
        <v>10500</v>
      </c>
      <c r="P35" s="322">
        <v>10700</v>
      </c>
      <c r="Q35" s="283">
        <v>10900</v>
      </c>
      <c r="R35" s="353">
        <f>IFERROR(VLOOKUP(D35,ODME_Validation!A:C,3,FALSE),IFERROR(VLOOKUP(E35,ODME_Validation!A:C,3,FALSE),""))+IFERROR(VLOOKUP(J35,ODME_Validation!A:C,3,FALSE),IFERROR(VLOOKUP(I35,ODME_Validation!A:C,3,FALSE),""))</f>
        <v>10953.12016</v>
      </c>
      <c r="S35" s="171"/>
      <c r="T35" s="313">
        <v>12000</v>
      </c>
      <c r="U35" s="283">
        <v>12200</v>
      </c>
      <c r="V35" s="372">
        <f>TRENDS!P35</f>
        <v>13300</v>
      </c>
      <c r="W35" s="314">
        <f>TRENDS!AD35</f>
        <v>17600</v>
      </c>
      <c r="X35" s="315">
        <f t="shared" si="5"/>
        <v>1.6666666666666607E-2</v>
      </c>
      <c r="Y35" s="315">
        <f t="shared" si="6"/>
        <v>2.8590540376593365E-2</v>
      </c>
      <c r="Z35" s="322">
        <f t="shared" si="7"/>
        <v>17600</v>
      </c>
      <c r="AA35" s="317">
        <f t="shared" si="8"/>
        <v>2.8590540376593365E-2</v>
      </c>
      <c r="AB35" s="353">
        <f>IFERROR(VLOOKUP(D35,ODME_Validation!A:E,5,FALSE),IFERROR(VLOOKUP(E35,ODME_Validation!A:E,5,FALSE),""))+IFERROR(VLOOKUP(J35,ODME_Validation!A:E,5,FALSE),IFERROR(VLOOKUP(I35,ODME_Validation!A:E,5,FALSE),""))</f>
        <v>18973.07863</v>
      </c>
      <c r="AC35" s="171"/>
      <c r="AD35" s="171"/>
      <c r="AE35" s="171"/>
      <c r="AF35" s="171"/>
      <c r="AG35" s="171"/>
    </row>
    <row r="36" spans="1:33" ht="15.95" customHeight="1" thickTop="1" x14ac:dyDescent="0.25">
      <c r="A36" s="167"/>
      <c r="B36" s="45">
        <v>0.26</v>
      </c>
      <c r="C36" s="45">
        <v>0.53</v>
      </c>
      <c r="D36" s="222">
        <v>37</v>
      </c>
      <c r="E36" s="233"/>
      <c r="F36" s="249"/>
      <c r="G36" s="226"/>
      <c r="H36" s="234"/>
      <c r="I36" s="228"/>
      <c r="J36" s="251">
        <v>38</v>
      </c>
      <c r="K36" s="251"/>
      <c r="L36" s="352">
        <v>7300</v>
      </c>
      <c r="M36" s="319">
        <v>7600</v>
      </c>
      <c r="N36" s="319">
        <v>8600</v>
      </c>
      <c r="O36" s="319">
        <v>8800</v>
      </c>
      <c r="P36" s="322">
        <v>9000</v>
      </c>
      <c r="Q36" s="283">
        <v>9200</v>
      </c>
      <c r="R36" s="353">
        <f>IFERROR(VLOOKUP(D36,ODME_Validation!A:C,3,FALSE),IFERROR(VLOOKUP(E36,ODME_Validation!A:C,3,FALSE),""))+IFERROR(VLOOKUP(J36,ODME_Validation!A:C,3,FALSE),IFERROR(VLOOKUP(I36,ODME_Validation!A:C,3,FALSE),""))</f>
        <v>8746.4560600000004</v>
      </c>
      <c r="S36" s="171"/>
      <c r="T36" s="313">
        <v>10500</v>
      </c>
      <c r="U36" s="283">
        <v>10800</v>
      </c>
      <c r="V36" s="372">
        <f>TRENDS!P36</f>
        <v>12000</v>
      </c>
      <c r="W36" s="314">
        <f>TRENDS!AD36</f>
        <v>17700</v>
      </c>
      <c r="X36" s="315">
        <f t="shared" si="5"/>
        <v>2.857142857142847E-2</v>
      </c>
      <c r="Y36" s="315">
        <f t="shared" si="6"/>
        <v>3.8732711509433804E-2</v>
      </c>
      <c r="Z36" s="322">
        <f t="shared" si="7"/>
        <v>17700</v>
      </c>
      <c r="AA36" s="317">
        <f t="shared" si="8"/>
        <v>3.8732711509433804E-2</v>
      </c>
      <c r="AB36" s="353">
        <f>IFERROR(VLOOKUP(D36,ODME_Validation!A:E,5,FALSE),IFERROR(VLOOKUP(E36,ODME_Validation!A:E,5,FALSE),""))+IFERROR(VLOOKUP(J36,ODME_Validation!A:E,5,FALSE),IFERROR(VLOOKUP(I36,ODME_Validation!A:E,5,FALSE),""))</f>
        <v>16324.12256</v>
      </c>
      <c r="AC36" s="171"/>
      <c r="AD36" s="171"/>
      <c r="AE36" s="171"/>
      <c r="AF36" s="171"/>
      <c r="AG36" s="171"/>
    </row>
    <row r="37" spans="1:33" s="125" customFormat="1" ht="15.95" customHeight="1" x14ac:dyDescent="0.25">
      <c r="A37" s="240"/>
      <c r="B37" s="133"/>
      <c r="C37" s="133"/>
      <c r="D37" s="268"/>
      <c r="E37" s="269">
        <v>39</v>
      </c>
      <c r="F37" s="278"/>
      <c r="G37" s="268"/>
      <c r="H37" s="269"/>
      <c r="I37" s="272">
        <v>40</v>
      </c>
      <c r="J37" s="272"/>
      <c r="K37" s="272"/>
      <c r="L37" s="354">
        <v>70000</v>
      </c>
      <c r="M37" s="132">
        <v>72900</v>
      </c>
      <c r="N37" s="124">
        <v>79300</v>
      </c>
      <c r="O37" s="124">
        <v>81400</v>
      </c>
      <c r="P37" s="355">
        <v>83600</v>
      </c>
      <c r="Q37" s="124">
        <v>85800</v>
      </c>
      <c r="R37" s="356">
        <f>IFERROR(VLOOKUP(D37,ODME_Validation!A:C,3,FALSE),IFERROR(VLOOKUP(E37,ODME_Validation!A:C,3,FALSE),""))+IFERROR(VLOOKUP(J37,ODME_Validation!A:C,3,FALSE),IFERROR(VLOOKUP(I37,ODME_Validation!A:C,3,FALSE),""))</f>
        <v>83769.035159999999</v>
      </c>
      <c r="S37" s="309">
        <f>R37/P37-1</f>
        <v>2.0219516746411426E-3</v>
      </c>
      <c r="T37" s="123">
        <v>98100</v>
      </c>
      <c r="U37" s="124">
        <v>100900</v>
      </c>
      <c r="V37" s="374">
        <f>TRENDS!P37</f>
        <v>98300</v>
      </c>
      <c r="W37" s="379">
        <f>TRENDS!AD37</f>
        <v>128600</v>
      </c>
      <c r="X37" s="108">
        <f t="shared" si="5"/>
        <v>2.854230377166167E-2</v>
      </c>
      <c r="Y37" s="108">
        <f t="shared" si="6"/>
        <v>1.8834941586767684E-2</v>
      </c>
      <c r="Z37" s="355">
        <f t="shared" si="7"/>
        <v>128600</v>
      </c>
      <c r="AA37" s="216">
        <f t="shared" si="8"/>
        <v>1.8834941586767684E-2</v>
      </c>
      <c r="AB37" s="356">
        <f>IFERROR(VLOOKUP(D37,ODME_Validation!A:E,5,FALSE),IFERROR(VLOOKUP(E37,ODME_Validation!A:E,5,FALSE),""))+IFERROR(VLOOKUP(J37,ODME_Validation!A:E,5,FALSE),IFERROR(VLOOKUP(I37,ODME_Validation!A:E,5,FALSE),""))</f>
        <v>129740.39452999999</v>
      </c>
      <c r="AC37" s="309"/>
      <c r="AD37" s="309"/>
      <c r="AE37" s="309"/>
      <c r="AF37" s="407"/>
      <c r="AG37" s="407"/>
    </row>
    <row r="38" spans="1:33" ht="15.95" customHeight="1" thickBot="1" x14ac:dyDescent="0.3">
      <c r="A38" s="167" t="s">
        <v>20</v>
      </c>
      <c r="B38" s="33"/>
      <c r="C38" s="33"/>
      <c r="D38" s="242">
        <v>41</v>
      </c>
      <c r="E38" s="243"/>
      <c r="F38" s="244"/>
      <c r="G38" s="242"/>
      <c r="H38" s="246"/>
      <c r="I38" s="247"/>
      <c r="J38" s="248">
        <v>42</v>
      </c>
      <c r="K38" s="230"/>
      <c r="L38" s="352">
        <v>3000</v>
      </c>
      <c r="M38" s="319">
        <v>3100</v>
      </c>
      <c r="N38" s="319">
        <v>3500</v>
      </c>
      <c r="O38" s="319">
        <v>3600</v>
      </c>
      <c r="P38" s="322">
        <v>3700</v>
      </c>
      <c r="Q38" s="283">
        <v>3800</v>
      </c>
      <c r="R38" s="353">
        <f>IFERROR(VLOOKUP(D38,ODME_Validation!A:C,3,FALSE),IFERROR(VLOOKUP(E38,ODME_Validation!A:C,3,FALSE),""))+IFERROR(VLOOKUP(J38,ODME_Validation!A:C,3,FALSE),IFERROR(VLOOKUP(I38,ODME_Validation!A:C,3,FALSE),""))</f>
        <v>3782.0052500000002</v>
      </c>
      <c r="S38" s="171"/>
      <c r="T38" s="313">
        <v>4300</v>
      </c>
      <c r="U38" s="283">
        <v>4400</v>
      </c>
      <c r="V38" s="372">
        <f>TRENDS!P38</f>
        <v>4500</v>
      </c>
      <c r="W38" s="314">
        <f>TRENDS!AD38</f>
        <v>5900</v>
      </c>
      <c r="X38" s="315">
        <f t="shared" si="5"/>
        <v>2.3255813953488413E-2</v>
      </c>
      <c r="Y38" s="315">
        <f t="shared" si="6"/>
        <v>2.2821736488125133E-2</v>
      </c>
      <c r="Z38" s="322">
        <f t="shared" si="7"/>
        <v>5900</v>
      </c>
      <c r="AA38" s="317">
        <f t="shared" si="8"/>
        <v>2.2821736488125133E-2</v>
      </c>
      <c r="AB38" s="353">
        <f>IFERROR(VLOOKUP(D38,ODME_Validation!A:E,5,FALSE),IFERROR(VLOOKUP(E38,ODME_Validation!A:E,5,FALSE),""))+IFERROR(VLOOKUP(J38,ODME_Validation!A:E,5,FALSE),IFERROR(VLOOKUP(I38,ODME_Validation!A:E,5,FALSE),""))</f>
        <v>6137.66309</v>
      </c>
      <c r="AC38" s="171"/>
      <c r="AD38" s="171"/>
      <c r="AE38" s="171"/>
      <c r="AF38" s="171"/>
      <c r="AG38" s="171"/>
    </row>
    <row r="39" spans="1:33" s="125" customFormat="1" ht="15.95" customHeight="1" thickTop="1" thickBot="1" x14ac:dyDescent="0.3">
      <c r="A39" s="240"/>
      <c r="B39" s="140"/>
      <c r="C39" s="140"/>
      <c r="D39" s="268"/>
      <c r="E39" s="269">
        <v>43</v>
      </c>
      <c r="F39" s="290"/>
      <c r="G39" s="291"/>
      <c r="H39" s="269"/>
      <c r="I39" s="272">
        <v>44</v>
      </c>
      <c r="J39" s="272"/>
      <c r="K39" s="272"/>
      <c r="L39" s="364">
        <v>67000</v>
      </c>
      <c r="M39" s="365">
        <v>69800</v>
      </c>
      <c r="N39" s="366">
        <v>75800</v>
      </c>
      <c r="O39" s="366">
        <v>77800</v>
      </c>
      <c r="P39" s="367">
        <v>79900</v>
      </c>
      <c r="Q39" s="366">
        <v>82000</v>
      </c>
      <c r="R39" s="368">
        <f>IFERROR(VLOOKUP(D39,ODME_Validation!A:C,3,FALSE),IFERROR(VLOOKUP(E39,ODME_Validation!A:C,3,FALSE),""))+IFERROR(VLOOKUP(J39,ODME_Validation!A:C,3,FALSE),IFERROR(VLOOKUP(I39,ODME_Validation!A:C,3,FALSE),""))</f>
        <v>79980.847659999999</v>
      </c>
      <c r="S39" s="309">
        <f>R39/P39-1</f>
        <v>1.0118605757196697E-3</v>
      </c>
      <c r="T39" s="141">
        <v>93800</v>
      </c>
      <c r="U39" s="142">
        <v>96500</v>
      </c>
      <c r="V39" s="376">
        <f>TRENDS!P39</f>
        <v>93800</v>
      </c>
      <c r="W39" s="380">
        <f>TRENDS!AD39</f>
        <v>122700</v>
      </c>
      <c r="X39" s="377">
        <f t="shared" si="5"/>
        <v>2.8784648187633266E-2</v>
      </c>
      <c r="Y39" s="377">
        <f t="shared" si="6"/>
        <v>1.86486261693668E-2</v>
      </c>
      <c r="Z39" s="367">
        <f t="shared" si="7"/>
        <v>122700</v>
      </c>
      <c r="AA39" s="378">
        <f t="shared" si="8"/>
        <v>1.86486261693668E-2</v>
      </c>
      <c r="AB39" s="368">
        <f>IFERROR(VLOOKUP(D39,ODME_Validation!A:E,5,FALSE),IFERROR(VLOOKUP(E39,ODME_Validation!A:E,5,FALSE),""))+IFERROR(VLOOKUP(J39,ODME_Validation!A:E,5,FALSE),IFERROR(VLOOKUP(I39,ODME_Validation!A:E,5,FALSE),""))</f>
        <v>122965.96875</v>
      </c>
      <c r="AC39" s="309"/>
      <c r="AD39" s="309"/>
      <c r="AE39" s="309"/>
      <c r="AF39" s="304"/>
      <c r="AG39" s="304"/>
    </row>
    <row r="40" spans="1:33" s="125" customFormat="1" ht="15.95" customHeight="1" x14ac:dyDescent="0.25">
      <c r="A40" s="240"/>
      <c r="B40" s="126"/>
      <c r="C40" s="126"/>
      <c r="D40" s="293" t="s">
        <v>21</v>
      </c>
      <c r="E40" s="293"/>
      <c r="F40" s="293"/>
      <c r="G40" s="293"/>
      <c r="H40" s="293"/>
      <c r="I40" s="293"/>
      <c r="J40" s="293"/>
      <c r="K40" s="293"/>
      <c r="L40" s="332"/>
      <c r="M40" s="333"/>
      <c r="N40" s="333"/>
      <c r="O40" s="334"/>
      <c r="P40" s="240"/>
      <c r="Q40" s="292"/>
      <c r="R40" s="292"/>
      <c r="S40" s="292"/>
      <c r="T40" s="240"/>
      <c r="U40" s="240"/>
      <c r="V40" s="335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</row>
    <row r="41" spans="1:33" ht="15.95" customHeight="1" x14ac:dyDescent="0.25">
      <c r="A41" s="167"/>
      <c r="B41" s="4"/>
      <c r="C41" s="4"/>
      <c r="D41" s="295" t="s">
        <v>22</v>
      </c>
      <c r="E41" s="295"/>
      <c r="F41" s="295"/>
      <c r="G41" s="295"/>
      <c r="H41" s="295"/>
      <c r="I41" s="295"/>
      <c r="J41" s="295"/>
      <c r="K41" s="295"/>
      <c r="L41" s="336"/>
      <c r="M41" s="337"/>
      <c r="N41" s="167"/>
      <c r="O41" s="167"/>
      <c r="P41" s="167"/>
      <c r="Q41" s="294"/>
      <c r="R41" s="294"/>
      <c r="S41" s="294"/>
      <c r="T41" s="167"/>
      <c r="U41" s="167"/>
      <c r="V41" s="323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</row>
    <row r="42" spans="1:33" ht="15.95" customHeight="1" x14ac:dyDescent="0.25">
      <c r="A42" s="4"/>
      <c r="B42" s="4"/>
      <c r="C42" s="4"/>
      <c r="D42" s="66"/>
      <c r="E42" s="66"/>
      <c r="F42" s="93"/>
      <c r="G42" s="66"/>
      <c r="H42" s="66"/>
      <c r="I42" s="66"/>
      <c r="J42" s="66"/>
      <c r="K42" s="66"/>
      <c r="L42" s="69"/>
      <c r="M42" s="68"/>
      <c r="N42" s="4"/>
      <c r="O42" s="4"/>
      <c r="P42" s="4"/>
      <c r="Q42" s="70"/>
      <c r="R42" s="70"/>
      <c r="S42" s="70"/>
      <c r="T42" s="177" t="s">
        <v>42</v>
      </c>
      <c r="U42" s="5"/>
      <c r="V42" s="95"/>
    </row>
    <row r="43" spans="1:33" ht="15.95" customHeight="1" x14ac:dyDescent="0.25">
      <c r="A43" s="71" t="s">
        <v>23</v>
      </c>
      <c r="B43" s="4"/>
      <c r="C43" s="4"/>
      <c r="D43" s="72"/>
      <c r="E43" s="94"/>
      <c r="F43" s="51"/>
      <c r="G43" s="25"/>
      <c r="H43" s="25"/>
      <c r="I43" s="25"/>
      <c r="J43" s="25"/>
      <c r="K43" s="25"/>
      <c r="L43" s="4"/>
      <c r="M43" s="4"/>
      <c r="N43" s="4"/>
      <c r="O43" s="4"/>
      <c r="P43" s="4"/>
      <c r="Q43" s="73"/>
      <c r="R43" s="73"/>
      <c r="S43" s="73"/>
      <c r="T43" s="5"/>
      <c r="U43" s="5"/>
      <c r="V43" s="95"/>
    </row>
    <row r="44" spans="1:33" ht="15.95" customHeight="1" x14ac:dyDescent="0.25">
      <c r="A44" s="74" t="s">
        <v>24</v>
      </c>
      <c r="B44" s="75"/>
      <c r="C44" s="75"/>
      <c r="D44" s="76"/>
      <c r="E44" s="76"/>
      <c r="L44" s="57"/>
      <c r="M44" s="57"/>
      <c r="N44" s="57"/>
      <c r="O44" s="57"/>
      <c r="P44" s="57"/>
      <c r="Q44" s="54"/>
      <c r="R44" s="54"/>
      <c r="S44" s="54"/>
      <c r="T44" s="54"/>
      <c r="U44" s="54"/>
    </row>
    <row r="45" spans="1:33" ht="15.95" customHeight="1" x14ac:dyDescent="0.25">
      <c r="A45" s="78" t="s">
        <v>25</v>
      </c>
      <c r="T45" s="5"/>
      <c r="U45" s="5"/>
      <c r="V45" s="95"/>
    </row>
    <row r="46" spans="1:33" ht="15.95" customHeight="1" x14ac:dyDescent="0.25">
      <c r="E46" s="34"/>
      <c r="T46" s="5"/>
      <c r="U46" s="5"/>
      <c r="V46" s="95"/>
    </row>
    <row r="47" spans="1:33" ht="15.95" customHeight="1" x14ac:dyDescent="0.25">
      <c r="T47" s="5"/>
      <c r="U47" s="5"/>
      <c r="V47" s="95"/>
    </row>
    <row r="48" spans="1:33" ht="15.95" customHeight="1" x14ac:dyDescent="0.25">
      <c r="T48" s="5"/>
      <c r="U48" s="5"/>
      <c r="V48" s="95"/>
    </row>
    <row r="49" spans="20:22" ht="15.95" customHeight="1" x14ac:dyDescent="0.25">
      <c r="T49" s="5"/>
      <c r="U49" s="5"/>
      <c r="V49" s="95"/>
    </row>
    <row r="50" spans="20:22" ht="15.95" customHeight="1" x14ac:dyDescent="0.25">
      <c r="T50" s="5"/>
      <c r="U50" s="5"/>
      <c r="V50" s="95"/>
    </row>
    <row r="51" spans="20:22" ht="15.95" customHeight="1" x14ac:dyDescent="0.25">
      <c r="T51" s="5"/>
      <c r="U51" s="5"/>
      <c r="V51" s="95"/>
    </row>
    <row r="52" spans="20:22" ht="15.95" customHeight="1" x14ac:dyDescent="0.25">
      <c r="T52" s="5"/>
      <c r="U52" s="5"/>
      <c r="V52" s="95"/>
    </row>
    <row r="53" spans="20:22" ht="15.95" customHeight="1" x14ac:dyDescent="0.25">
      <c r="T53" s="5"/>
      <c r="U53" s="5"/>
      <c r="V53" s="95"/>
    </row>
    <row r="54" spans="20:22" ht="15.95" customHeight="1" x14ac:dyDescent="0.25">
      <c r="T54" s="5"/>
      <c r="U54" s="5"/>
      <c r="V54" s="95"/>
    </row>
    <row r="55" spans="20:22" ht="15.95" customHeight="1" x14ac:dyDescent="0.25">
      <c r="T55" s="5"/>
      <c r="U55" s="5"/>
      <c r="V55" s="95"/>
    </row>
    <row r="56" spans="20:22" ht="15.95" customHeight="1" x14ac:dyDescent="0.25">
      <c r="T56" s="13"/>
      <c r="U56" s="13"/>
      <c r="V56" s="97"/>
    </row>
    <row r="57" spans="20:22" ht="15.95" customHeight="1" x14ac:dyDescent="0.25">
      <c r="T57" s="5"/>
      <c r="U57" s="5"/>
      <c r="V57" s="95"/>
    </row>
    <row r="58" spans="20:22" ht="15.95" customHeight="1" x14ac:dyDescent="0.25">
      <c r="T58" s="5"/>
      <c r="U58" s="5"/>
      <c r="V58" s="95"/>
    </row>
    <row r="59" spans="20:22" ht="15.95" customHeight="1" x14ac:dyDescent="0.25">
      <c r="T59" s="5"/>
      <c r="U59" s="5"/>
      <c r="V59" s="95"/>
    </row>
    <row r="60" spans="20:22" ht="15.95" customHeight="1" x14ac:dyDescent="0.25">
      <c r="T60" s="5"/>
      <c r="U60" s="5"/>
      <c r="V60" s="95"/>
    </row>
    <row r="61" spans="20:22" ht="15.95" customHeight="1" x14ac:dyDescent="0.25">
      <c r="T61" s="5"/>
      <c r="U61" s="5"/>
      <c r="V61" s="95"/>
    </row>
    <row r="62" spans="20:22" ht="15.95" customHeight="1" x14ac:dyDescent="0.25">
      <c r="T62" s="5"/>
      <c r="U62" s="5"/>
      <c r="V62" s="95"/>
    </row>
    <row r="63" spans="20:22" ht="15.95" customHeight="1" x14ac:dyDescent="0.25">
      <c r="T63" s="5"/>
      <c r="U63" s="5"/>
      <c r="V63" s="95"/>
    </row>
    <row r="64" spans="20:22" ht="15.95" customHeight="1" x14ac:dyDescent="0.25">
      <c r="T64" s="5"/>
      <c r="U64" s="5"/>
      <c r="V64" s="95"/>
    </row>
    <row r="65" spans="20:22" ht="15.95" customHeight="1" x14ac:dyDescent="0.25">
      <c r="T65" s="5"/>
      <c r="U65" s="5"/>
      <c r="V65" s="95"/>
    </row>
    <row r="66" spans="20:22" ht="15.95" customHeight="1" x14ac:dyDescent="0.25">
      <c r="T66" s="5"/>
      <c r="U66" s="5"/>
      <c r="V66" s="95"/>
    </row>
    <row r="67" spans="20:22" ht="15.95" customHeight="1" x14ac:dyDescent="0.25">
      <c r="T67" s="5"/>
      <c r="U67" s="5"/>
      <c r="V67" s="95"/>
    </row>
    <row r="68" spans="20:22" ht="15.95" customHeight="1" x14ac:dyDescent="0.25">
      <c r="T68" s="5"/>
      <c r="U68" s="5"/>
      <c r="V68" s="95"/>
    </row>
    <row r="69" spans="20:22" ht="15.95" customHeight="1" x14ac:dyDescent="0.25">
      <c r="T69" s="5"/>
      <c r="U69" s="5"/>
      <c r="V69" s="95"/>
    </row>
    <row r="70" spans="20:22" ht="15.95" customHeight="1" x14ac:dyDescent="0.25">
      <c r="T70" s="5"/>
      <c r="U70" s="5"/>
      <c r="V70" s="95"/>
    </row>
    <row r="71" spans="20:22" ht="15.95" customHeight="1" x14ac:dyDescent="0.25">
      <c r="T71" s="5"/>
      <c r="U71" s="5"/>
      <c r="V71" s="95"/>
    </row>
    <row r="72" spans="20:22" ht="15.95" customHeight="1" x14ac:dyDescent="0.25">
      <c r="T72" s="5"/>
      <c r="U72" s="5"/>
      <c r="V72" s="95"/>
    </row>
    <row r="73" spans="20:22" ht="15.95" customHeight="1" x14ac:dyDescent="0.25">
      <c r="T73" s="5"/>
      <c r="U73" s="5"/>
      <c r="V73" s="95"/>
    </row>
    <row r="74" spans="20:22" ht="15.95" customHeight="1" x14ac:dyDescent="0.25">
      <c r="T74" s="5"/>
      <c r="U74" s="5"/>
      <c r="V74" s="95"/>
    </row>
    <row r="75" spans="20:22" ht="15.95" customHeight="1" x14ac:dyDescent="0.25">
      <c r="T75" s="5"/>
      <c r="U75" s="5"/>
      <c r="V75" s="95"/>
    </row>
    <row r="76" spans="20:22" ht="15.95" customHeight="1" x14ac:dyDescent="0.25">
      <c r="T76" s="5"/>
      <c r="U76" s="5"/>
      <c r="V76" s="95"/>
    </row>
    <row r="77" spans="20:22" ht="15.95" customHeight="1" x14ac:dyDescent="0.25">
      <c r="T77" s="5"/>
      <c r="U77" s="5"/>
      <c r="V77" s="95"/>
    </row>
    <row r="78" spans="20:22" ht="15.95" customHeight="1" x14ac:dyDescent="0.25">
      <c r="T78" s="5"/>
      <c r="U78" s="5"/>
      <c r="V78" s="95"/>
    </row>
    <row r="79" spans="20:22" ht="15.95" customHeight="1" x14ac:dyDescent="0.25">
      <c r="T79" s="5"/>
      <c r="U79" s="5"/>
      <c r="V79" s="95"/>
    </row>
    <row r="80" spans="20:22" ht="15.95" customHeight="1" x14ac:dyDescent="0.25">
      <c r="T80" s="5"/>
      <c r="U80" s="5"/>
      <c r="V80" s="95"/>
    </row>
    <row r="81" spans="20:22" ht="15.95" customHeight="1" x14ac:dyDescent="0.25">
      <c r="T81" s="5"/>
      <c r="U81" s="5"/>
      <c r="V81" s="95"/>
    </row>
    <row r="82" spans="20:22" ht="15.95" customHeight="1" x14ac:dyDescent="0.25">
      <c r="T82" s="5"/>
      <c r="U82" s="5"/>
      <c r="V82" s="95"/>
    </row>
    <row r="83" spans="20:22" ht="15.95" customHeight="1" x14ac:dyDescent="0.25">
      <c r="T83" s="5"/>
      <c r="U83" s="5"/>
      <c r="V83" s="95"/>
    </row>
    <row r="84" spans="20:22" ht="15.95" customHeight="1" x14ac:dyDescent="0.25">
      <c r="T84" s="5"/>
      <c r="U84" s="5"/>
      <c r="V84" s="95"/>
    </row>
    <row r="85" spans="20:22" ht="15.95" customHeight="1" x14ac:dyDescent="0.25">
      <c r="T85" s="5"/>
      <c r="U85" s="5"/>
      <c r="V85" s="95"/>
    </row>
    <row r="86" spans="20:22" ht="15.95" customHeight="1" x14ac:dyDescent="0.25">
      <c r="T86" s="5"/>
      <c r="U86" s="5"/>
      <c r="V86" s="95"/>
    </row>
    <row r="87" spans="20:22" ht="15.95" customHeight="1" x14ac:dyDescent="0.25">
      <c r="T87" s="5"/>
      <c r="U87" s="5"/>
      <c r="V87" s="95"/>
    </row>
    <row r="88" spans="20:22" ht="15.95" customHeight="1" x14ac:dyDescent="0.25">
      <c r="T88" s="5"/>
      <c r="U88" s="5"/>
      <c r="V88" s="95"/>
    </row>
    <row r="89" spans="20:22" ht="15.95" customHeight="1" x14ac:dyDescent="0.25">
      <c r="T89" s="5"/>
      <c r="U89" s="5"/>
      <c r="V89" s="95"/>
    </row>
    <row r="90" spans="20:22" ht="15.95" customHeight="1" x14ac:dyDescent="0.25">
      <c r="T90" s="5"/>
      <c r="U90" s="5"/>
      <c r="V90" s="95"/>
    </row>
    <row r="91" spans="20:22" ht="15.95" customHeight="1" x14ac:dyDescent="0.25">
      <c r="T91" s="5"/>
      <c r="U91" s="5"/>
      <c r="V91" s="95"/>
    </row>
    <row r="92" spans="20:22" ht="15.95" customHeight="1" x14ac:dyDescent="0.25">
      <c r="T92" s="5"/>
      <c r="U92" s="5"/>
      <c r="V92" s="95"/>
    </row>
    <row r="93" spans="20:22" ht="15.95" customHeight="1" x14ac:dyDescent="0.25">
      <c r="T93" s="5"/>
      <c r="U93" s="5"/>
      <c r="V93" s="95"/>
    </row>
    <row r="94" spans="20:22" ht="15.95" customHeight="1" x14ac:dyDescent="0.25">
      <c r="T94" s="5"/>
      <c r="U94" s="5"/>
      <c r="V94" s="95"/>
    </row>
    <row r="95" spans="20:22" ht="15.95" customHeight="1" x14ac:dyDescent="0.25">
      <c r="T95" s="5"/>
      <c r="U95" s="5"/>
      <c r="V95" s="95"/>
    </row>
    <row r="96" spans="20:22" ht="15.95" customHeight="1" x14ac:dyDescent="0.25">
      <c r="T96" s="5"/>
      <c r="U96" s="5"/>
      <c r="V96" s="95"/>
    </row>
    <row r="97" spans="20:22" ht="15.95" customHeight="1" x14ac:dyDescent="0.25">
      <c r="T97" s="5"/>
      <c r="U97" s="5"/>
      <c r="V97" s="95"/>
    </row>
    <row r="98" spans="20:22" ht="15.95" customHeight="1" x14ac:dyDescent="0.25">
      <c r="T98" s="5"/>
      <c r="U98" s="5"/>
      <c r="V98" s="95"/>
    </row>
    <row r="99" spans="20:22" ht="15.95" customHeight="1" x14ac:dyDescent="0.25">
      <c r="T99" s="5"/>
      <c r="U99" s="5"/>
      <c r="V99" s="95"/>
    </row>
    <row r="100" spans="20:22" ht="15.95" customHeight="1" x14ac:dyDescent="0.25">
      <c r="T100" s="5"/>
      <c r="U100" s="5"/>
      <c r="V100" s="95"/>
    </row>
    <row r="101" spans="20:22" ht="15.95" customHeight="1" x14ac:dyDescent="0.25">
      <c r="T101" s="5"/>
      <c r="U101" s="5"/>
      <c r="V101" s="95"/>
    </row>
    <row r="102" spans="20:22" ht="15.95" customHeight="1" x14ac:dyDescent="0.25">
      <c r="T102" s="5"/>
      <c r="U102" s="5"/>
      <c r="V102" s="95"/>
    </row>
    <row r="103" spans="20:22" ht="15.95" customHeight="1" x14ac:dyDescent="0.25">
      <c r="T103" s="5"/>
      <c r="U103" s="5"/>
      <c r="V103" s="95"/>
    </row>
    <row r="104" spans="20:22" ht="15.95" customHeight="1" x14ac:dyDescent="0.25">
      <c r="T104" s="5"/>
      <c r="U104" s="5"/>
      <c r="V104" s="95"/>
    </row>
    <row r="105" spans="20:22" ht="15.95" customHeight="1" x14ac:dyDescent="0.25">
      <c r="T105" s="5"/>
      <c r="U105" s="5"/>
      <c r="V105" s="95"/>
    </row>
    <row r="106" spans="20:22" ht="15.95" customHeight="1" x14ac:dyDescent="0.25">
      <c r="T106" s="5"/>
      <c r="U106" s="5"/>
      <c r="V106" s="95"/>
    </row>
    <row r="107" spans="20:22" ht="15.95" customHeight="1" x14ac:dyDescent="0.25">
      <c r="T107" s="5"/>
      <c r="U107" s="5"/>
      <c r="V107" s="95"/>
    </row>
    <row r="108" spans="20:22" ht="15.95" customHeight="1" x14ac:dyDescent="0.25">
      <c r="T108" s="5"/>
      <c r="U108" s="5"/>
      <c r="V108" s="95"/>
    </row>
    <row r="109" spans="20:22" ht="15.95" customHeight="1" x14ac:dyDescent="0.25">
      <c r="T109" s="5"/>
      <c r="U109" s="5"/>
      <c r="V109" s="95"/>
    </row>
    <row r="110" spans="20:22" ht="15.95" customHeight="1" x14ac:dyDescent="0.25">
      <c r="T110" s="5"/>
      <c r="U110" s="5"/>
      <c r="V110" s="95"/>
    </row>
    <row r="111" spans="20:22" ht="15.95" customHeight="1" x14ac:dyDescent="0.25">
      <c r="T111" s="5"/>
      <c r="U111" s="5"/>
      <c r="V111" s="95"/>
    </row>
    <row r="112" spans="20:22" ht="15.95" customHeight="1" x14ac:dyDescent="0.25">
      <c r="T112" s="5"/>
      <c r="U112" s="5"/>
      <c r="V112" s="95"/>
    </row>
    <row r="113" spans="20:22" ht="15.95" customHeight="1" x14ac:dyDescent="0.25">
      <c r="T113" s="5"/>
      <c r="U113" s="5"/>
      <c r="V113" s="95"/>
    </row>
    <row r="114" spans="20:22" ht="15.95" customHeight="1" x14ac:dyDescent="0.25">
      <c r="T114" s="5"/>
      <c r="U114" s="5"/>
      <c r="V114" s="95"/>
    </row>
    <row r="115" spans="20:22" ht="15.95" customHeight="1" x14ac:dyDescent="0.25">
      <c r="T115" s="5"/>
      <c r="U115" s="5"/>
      <c r="V115" s="95"/>
    </row>
    <row r="116" spans="20:22" ht="15.95" customHeight="1" x14ac:dyDescent="0.25">
      <c r="T116" s="5"/>
      <c r="U116" s="5"/>
      <c r="V116" s="95"/>
    </row>
    <row r="117" spans="20:22" ht="15.95" customHeight="1" x14ac:dyDescent="0.25">
      <c r="T117" s="5"/>
      <c r="U117" s="5"/>
      <c r="V117" s="95"/>
    </row>
    <row r="118" spans="20:22" ht="15.95" customHeight="1" x14ac:dyDescent="0.25">
      <c r="T118" s="5"/>
      <c r="U118" s="5"/>
      <c r="V118" s="95"/>
    </row>
    <row r="119" spans="20:22" ht="15.95" customHeight="1" x14ac:dyDescent="0.25">
      <c r="T119" s="5"/>
      <c r="U119" s="5"/>
      <c r="V119" s="95"/>
    </row>
    <row r="120" spans="20:22" ht="15.95" customHeight="1" x14ac:dyDescent="0.25">
      <c r="T120" s="5"/>
      <c r="U120" s="5"/>
      <c r="V120" s="95"/>
    </row>
    <row r="121" spans="20:22" ht="15.95" customHeight="1" x14ac:dyDescent="0.25">
      <c r="T121" s="5"/>
      <c r="U121" s="5"/>
      <c r="V121" s="95"/>
    </row>
    <row r="122" spans="20:22" ht="15.95" customHeight="1" x14ac:dyDescent="0.25">
      <c r="T122" s="5"/>
      <c r="U122" s="5"/>
      <c r="V122" s="95"/>
    </row>
    <row r="123" spans="20:22" ht="15.95" customHeight="1" x14ac:dyDescent="0.25">
      <c r="T123" s="5"/>
      <c r="U123" s="5"/>
      <c r="V123" s="95"/>
    </row>
    <row r="124" spans="20:22" ht="15.95" customHeight="1" x14ac:dyDescent="0.25">
      <c r="T124" s="5"/>
      <c r="U124" s="5"/>
      <c r="V124" s="95"/>
    </row>
    <row r="125" spans="20:22" ht="15.95" customHeight="1" x14ac:dyDescent="0.25">
      <c r="T125" s="5"/>
      <c r="U125" s="5"/>
      <c r="V125" s="95"/>
    </row>
    <row r="126" spans="20:22" ht="15.95" customHeight="1" x14ac:dyDescent="0.25">
      <c r="T126" s="5"/>
      <c r="U126" s="5"/>
      <c r="V126" s="95"/>
    </row>
    <row r="127" spans="20:22" ht="15.95" customHeight="1" x14ac:dyDescent="0.25">
      <c r="T127" s="5"/>
      <c r="U127" s="5"/>
      <c r="V127" s="95"/>
    </row>
    <row r="128" spans="20:22" ht="15.95" customHeight="1" x14ac:dyDescent="0.25">
      <c r="T128" s="5"/>
      <c r="U128" s="5"/>
      <c r="V128" s="95"/>
    </row>
    <row r="129" spans="20:22" ht="15.95" customHeight="1" x14ac:dyDescent="0.25">
      <c r="T129" s="5"/>
      <c r="U129" s="5"/>
      <c r="V129" s="95"/>
    </row>
    <row r="130" spans="20:22" ht="15.95" customHeight="1" x14ac:dyDescent="0.25">
      <c r="T130" s="5"/>
      <c r="U130" s="5"/>
      <c r="V130" s="95"/>
    </row>
    <row r="131" spans="20:22" ht="15.95" customHeight="1" x14ac:dyDescent="0.25">
      <c r="T131" s="5"/>
      <c r="U131" s="5"/>
      <c r="V131" s="95"/>
    </row>
    <row r="132" spans="20:22" ht="15.95" customHeight="1" x14ac:dyDescent="0.25">
      <c r="T132" s="5"/>
      <c r="U132" s="5"/>
      <c r="V132" s="95"/>
    </row>
    <row r="133" spans="20:22" ht="15.95" customHeight="1" x14ac:dyDescent="0.25">
      <c r="T133" s="5"/>
      <c r="U133" s="5"/>
      <c r="V133" s="95"/>
    </row>
    <row r="134" spans="20:22" ht="15.95" customHeight="1" x14ac:dyDescent="0.25">
      <c r="T134" s="5"/>
      <c r="U134" s="5"/>
      <c r="V134" s="95"/>
    </row>
    <row r="135" spans="20:22" ht="15.95" customHeight="1" x14ac:dyDescent="0.25">
      <c r="T135" s="5"/>
      <c r="U135" s="5"/>
      <c r="V135" s="95"/>
    </row>
    <row r="136" spans="20:22" ht="15.95" customHeight="1" x14ac:dyDescent="0.25">
      <c r="T136" s="5"/>
      <c r="U136" s="5"/>
      <c r="V136" s="95"/>
    </row>
    <row r="137" spans="20:22" ht="15.95" customHeight="1" x14ac:dyDescent="0.25">
      <c r="T137" s="5"/>
      <c r="U137" s="5"/>
      <c r="V137" s="95"/>
    </row>
    <row r="138" spans="20:22" ht="15.95" customHeight="1" x14ac:dyDescent="0.25">
      <c r="T138" s="5"/>
      <c r="U138" s="5"/>
      <c r="V138" s="95"/>
    </row>
    <row r="139" spans="20:22" ht="15.95" customHeight="1" x14ac:dyDescent="0.25">
      <c r="T139" s="5"/>
      <c r="U139" s="5"/>
      <c r="V139" s="95"/>
    </row>
    <row r="140" spans="20:22" ht="15.95" customHeight="1" x14ac:dyDescent="0.25">
      <c r="T140" s="5"/>
      <c r="U140" s="5"/>
      <c r="V140" s="95"/>
    </row>
  </sheetData>
  <mergeCells count="12">
    <mergeCell ref="AD4:AF4"/>
    <mergeCell ref="AD8:AD27"/>
    <mergeCell ref="AF8:AF27"/>
    <mergeCell ref="T5:U5"/>
    <mergeCell ref="V5:AA5"/>
    <mergeCell ref="L5:Q5"/>
    <mergeCell ref="F5:I5"/>
    <mergeCell ref="L1:AB1"/>
    <mergeCell ref="F1:I1"/>
    <mergeCell ref="F2:I2"/>
    <mergeCell ref="F3:I3"/>
    <mergeCell ref="F4:I4"/>
  </mergeCells>
  <conditionalFormatting sqref="Y10 Y20 Y23 Y39 Y37 Y34 Y31 Y27:Y29 Y25 Y15:Y17 Y12">
    <cfRule type="expression" dxfId="9" priority="5">
      <formula>X10&lt;Y10</formula>
    </cfRule>
    <cfRule type="expression" dxfId="8" priority="6">
      <formula>"Z12&gt; Y12"</formula>
    </cfRule>
    <cfRule type="expression" priority="7">
      <formula>X10&lt;Y10</formula>
    </cfRule>
  </conditionalFormatting>
  <conditionalFormatting sqref="AA10 AA31 AA34 AA39 AA37 AA27:AA29 AA25 AA23 AA20 AA15:AA17 AA12">
    <cfRule type="expression" dxfId="7" priority="2">
      <formula>Z10&lt;AA10</formula>
    </cfRule>
    <cfRule type="expression" dxfId="6" priority="3">
      <formula>"Z12&gt; Y12"</formula>
    </cfRule>
    <cfRule type="expression" priority="4">
      <formula>Z10&lt;AA10</formula>
    </cfRule>
  </conditionalFormatting>
  <conditionalFormatting sqref="AA10 AA31 AA34 AA39 AA37 AA27:AA29 AA25 AA23 AA20 AA15:AA17 AA12">
    <cfRule type="expression" dxfId="5" priority="1">
      <formula>AA10&gt;X10</formula>
    </cfRule>
  </conditionalFormatting>
  <pageMargins left="0.7" right="0.7" top="0.75" bottom="0.75" header="0.3" footer="0.3"/>
  <pageSetup paperSize="256" scale="6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0E13-E0A1-4924-A0B4-3CFA2A25AF84}">
  <sheetPr>
    <tabColor rgb="FFFF0000"/>
    <pageSetUpPr fitToPage="1"/>
  </sheetPr>
  <dimension ref="A1:AG140"/>
  <sheetViews>
    <sheetView zoomScale="115" zoomScaleNormal="115" workbookViewId="0">
      <pane xSplit="11" ySplit="6" topLeftCell="L21" activePane="bottomRight" state="frozen"/>
      <selection pane="topRight" activeCell="G1" sqref="G1"/>
      <selection pane="bottomLeft" activeCell="A7" sqref="A7"/>
      <selection pane="bottomRight" activeCell="Q37" sqref="Q37"/>
    </sheetView>
  </sheetViews>
  <sheetFormatPr defaultColWidth="12.5703125" defaultRowHeight="15" x14ac:dyDescent="0.25"/>
  <cols>
    <col min="1" max="1" width="39.5703125" customWidth="1"/>
    <col min="2" max="2" width="8.5703125" hidden="1" customWidth="1"/>
    <col min="3" max="3" width="9.7109375" hidden="1" customWidth="1"/>
    <col min="4" max="4" width="4.85546875" style="10" customWidth="1"/>
    <col min="5" max="5" width="4.28515625" style="10" customWidth="1"/>
    <col min="6" max="8" width="3.5703125" style="10" customWidth="1"/>
    <col min="9" max="9" width="4.42578125" style="10" customWidth="1"/>
    <col min="10" max="11" width="3.42578125" style="10" customWidth="1"/>
    <col min="12" max="15" width="12.5703125" hidden="1" customWidth="1"/>
    <col min="16" max="16" width="11.85546875" customWidth="1"/>
    <col min="17" max="18" width="12.140625" style="10" customWidth="1"/>
    <col min="19" max="19" width="4.5703125" style="10" hidden="1" customWidth="1"/>
    <col min="20" max="21" width="12.5703125" style="10" hidden="1" customWidth="1"/>
    <col min="22" max="22" width="1" style="96" hidden="1" customWidth="1"/>
    <col min="23" max="23" width="10.7109375" hidden="1" customWidth="1"/>
    <col min="24" max="24" width="13.28515625" hidden="1" customWidth="1"/>
    <col min="25" max="25" width="0.140625" hidden="1" customWidth="1"/>
    <col min="26" max="26" width="11.140625" hidden="1" customWidth="1"/>
    <col min="27" max="27" width="0" hidden="1" customWidth="1"/>
    <col min="28" max="28" width="11.42578125" hidden="1" customWidth="1"/>
    <col min="29" max="29" width="8" customWidth="1"/>
    <col min="30" max="30" width="19" bestFit="1" customWidth="1"/>
    <col min="31" max="31" width="8" customWidth="1"/>
  </cols>
  <sheetData>
    <row r="1" spans="1:33" ht="15.95" customHeight="1" x14ac:dyDescent="0.25">
      <c r="A1" s="305" t="s">
        <v>0</v>
      </c>
      <c r="B1" s="2"/>
      <c r="C1" s="2"/>
      <c r="D1" s="167"/>
      <c r="E1" s="168"/>
      <c r="F1" s="412" t="s">
        <v>29</v>
      </c>
      <c r="G1" s="412"/>
      <c r="H1" s="412"/>
      <c r="I1" s="412"/>
      <c r="J1" s="167"/>
      <c r="K1" s="167"/>
      <c r="L1" s="423" t="s">
        <v>57</v>
      </c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171"/>
      <c r="AD1" s="171"/>
      <c r="AE1" s="171"/>
      <c r="AF1" s="171"/>
      <c r="AG1" s="171"/>
    </row>
    <row r="2" spans="1:33" ht="15.95" customHeight="1" x14ac:dyDescent="0.25">
      <c r="A2" s="305"/>
      <c r="B2" s="2"/>
      <c r="C2" s="2"/>
      <c r="D2" s="167"/>
      <c r="E2" s="169"/>
      <c r="F2" s="412" t="s">
        <v>30</v>
      </c>
      <c r="G2" s="412"/>
      <c r="H2" s="412"/>
      <c r="I2" s="412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323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</row>
    <row r="3" spans="1:33" ht="15.95" customHeight="1" thickBot="1" x14ac:dyDescent="0.3">
      <c r="A3" s="305"/>
      <c r="B3" s="6" t="s">
        <v>1</v>
      </c>
      <c r="C3" s="6"/>
      <c r="D3" s="167"/>
      <c r="E3" s="170"/>
      <c r="F3" s="413" t="s">
        <v>31</v>
      </c>
      <c r="G3" s="412"/>
      <c r="H3" s="412"/>
      <c r="I3" s="412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323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</row>
    <row r="4" spans="1:33" ht="15.95" customHeight="1" thickBot="1" x14ac:dyDescent="0.3">
      <c r="A4" s="171"/>
      <c r="B4" s="8" t="s">
        <v>2</v>
      </c>
      <c r="C4" s="9"/>
      <c r="D4" s="171"/>
      <c r="E4" s="172"/>
      <c r="F4" s="412" t="s">
        <v>32</v>
      </c>
      <c r="G4" s="412"/>
      <c r="H4" s="412"/>
      <c r="I4" s="412"/>
      <c r="J4" s="171"/>
      <c r="K4" s="171"/>
      <c r="L4" s="338"/>
      <c r="M4" s="339"/>
      <c r="N4" s="339"/>
      <c r="O4" s="339"/>
      <c r="P4" s="340" t="s">
        <v>40</v>
      </c>
      <c r="Q4" s="339"/>
      <c r="R4" s="341"/>
      <c r="S4" s="171"/>
      <c r="T4" s="167"/>
      <c r="U4" s="167"/>
      <c r="V4" s="369"/>
      <c r="W4" s="339"/>
      <c r="X4" s="339"/>
      <c r="Y4" s="339"/>
      <c r="Z4" s="340" t="s">
        <v>40</v>
      </c>
      <c r="AA4" s="339"/>
      <c r="AB4" s="341"/>
      <c r="AC4" s="171"/>
      <c r="AD4" s="424">
        <v>0.33333333333333331</v>
      </c>
      <c r="AE4" s="424"/>
      <c r="AF4" s="424"/>
      <c r="AG4" s="171"/>
    </row>
    <row r="5" spans="1:33" ht="15.95" customHeight="1" thickTop="1" x14ac:dyDescent="0.25">
      <c r="A5" s="306"/>
      <c r="B5" s="12" t="s">
        <v>3</v>
      </c>
      <c r="C5" s="8"/>
      <c r="D5" s="173"/>
      <c r="E5" s="174"/>
      <c r="F5" s="412" t="s">
        <v>33</v>
      </c>
      <c r="G5" s="412"/>
      <c r="H5" s="412"/>
      <c r="I5" s="412"/>
      <c r="J5" s="173"/>
      <c r="K5" s="173"/>
      <c r="L5" s="421" t="s">
        <v>34</v>
      </c>
      <c r="M5" s="422"/>
      <c r="N5" s="422"/>
      <c r="O5" s="422"/>
      <c r="P5" s="422"/>
      <c r="Q5" s="422"/>
      <c r="R5" s="342" t="s">
        <v>58</v>
      </c>
      <c r="S5" s="296"/>
      <c r="T5" s="426" t="s">
        <v>34</v>
      </c>
      <c r="U5" s="427"/>
      <c r="V5" s="421" t="s">
        <v>35</v>
      </c>
      <c r="W5" s="422"/>
      <c r="X5" s="422" t="s">
        <v>39</v>
      </c>
      <c r="Y5" s="422"/>
      <c r="Z5" s="422" t="s">
        <v>38</v>
      </c>
      <c r="AA5" s="422"/>
      <c r="AB5" s="342" t="s">
        <v>58</v>
      </c>
      <c r="AC5" s="296"/>
      <c r="AD5" s="296"/>
      <c r="AE5" s="296"/>
      <c r="AF5" s="171"/>
      <c r="AG5" s="171"/>
    </row>
    <row r="6" spans="1:33" ht="15.95" customHeight="1" thickBot="1" x14ac:dyDescent="0.3">
      <c r="A6" s="307" t="s">
        <v>5</v>
      </c>
      <c r="B6" s="17" t="s">
        <v>6</v>
      </c>
      <c r="C6" s="18" t="s">
        <v>7</v>
      </c>
      <c r="D6" s="297"/>
      <c r="E6" s="297"/>
      <c r="F6" s="297"/>
      <c r="G6" s="297"/>
      <c r="H6" s="297"/>
      <c r="I6" s="297"/>
      <c r="J6" s="297"/>
      <c r="K6" s="297"/>
      <c r="L6" s="343">
        <v>2016</v>
      </c>
      <c r="M6" s="297">
        <f>L6+1</f>
        <v>2017</v>
      </c>
      <c r="N6" s="297">
        <f>M6+1</f>
        <v>2018</v>
      </c>
      <c r="O6" s="297">
        <f>N6+1</f>
        <v>2019</v>
      </c>
      <c r="P6" s="324">
        <f>O6+1</f>
        <v>2020</v>
      </c>
      <c r="Q6" s="297" t="s">
        <v>86</v>
      </c>
      <c r="R6" s="344">
        <v>2020</v>
      </c>
      <c r="S6" s="381"/>
      <c r="T6" s="297">
        <v>2026</v>
      </c>
      <c r="U6" s="297">
        <f>T6+1</f>
        <v>2027</v>
      </c>
      <c r="V6" s="343">
        <f>TRENDS!P4</f>
        <v>2026</v>
      </c>
      <c r="W6" s="297">
        <f>TRENDS!AD4</f>
        <v>2040</v>
      </c>
      <c r="X6" s="297" t="s">
        <v>36</v>
      </c>
      <c r="Y6" s="297" t="s">
        <v>37</v>
      </c>
      <c r="Z6" s="324">
        <f>W6</f>
        <v>2040</v>
      </c>
      <c r="AA6" s="297" t="s">
        <v>37</v>
      </c>
      <c r="AB6" s="344">
        <v>2040</v>
      </c>
      <c r="AC6" s="381"/>
      <c r="AD6" s="381" t="s">
        <v>73</v>
      </c>
      <c r="AE6" s="381"/>
      <c r="AF6" s="408" t="s">
        <v>58</v>
      </c>
      <c r="AG6" s="171"/>
    </row>
    <row r="7" spans="1:33" ht="15.95" customHeight="1" thickTop="1" x14ac:dyDescent="0.25">
      <c r="A7" s="223"/>
      <c r="B7" s="23"/>
      <c r="C7" s="23"/>
      <c r="D7" s="167" t="s">
        <v>43</v>
      </c>
      <c r="E7" s="223"/>
      <c r="F7" s="223"/>
      <c r="G7" s="223"/>
      <c r="H7" s="223"/>
      <c r="I7" s="224" t="s">
        <v>43</v>
      </c>
      <c r="J7" s="223"/>
      <c r="K7" s="223"/>
      <c r="L7" s="345"/>
      <c r="M7" s="223"/>
      <c r="N7" s="223"/>
      <c r="O7" s="223"/>
      <c r="P7" s="327"/>
      <c r="Q7" s="223"/>
      <c r="R7" s="346"/>
      <c r="S7" s="223"/>
      <c r="T7" s="223"/>
      <c r="U7" s="223"/>
      <c r="V7" s="370"/>
      <c r="W7" s="314"/>
      <c r="X7" s="314"/>
      <c r="Y7" s="314"/>
      <c r="Z7" s="316"/>
      <c r="AA7" s="329"/>
      <c r="AB7" s="371"/>
      <c r="AC7" s="171"/>
      <c r="AD7" s="294" t="s">
        <v>74</v>
      </c>
      <c r="AE7" s="171"/>
      <c r="AF7" s="171" t="s">
        <v>72</v>
      </c>
      <c r="AG7" s="171"/>
    </row>
    <row r="8" spans="1:33" ht="15.95" customHeight="1" thickBot="1" x14ac:dyDescent="0.3">
      <c r="A8" s="167"/>
      <c r="B8" s="4"/>
      <c r="C8" s="4"/>
      <c r="D8" s="224"/>
      <c r="E8" s="224"/>
      <c r="F8" s="224"/>
      <c r="G8" s="224"/>
      <c r="H8" s="224"/>
      <c r="I8" s="224"/>
      <c r="J8" s="224"/>
      <c r="K8" s="224"/>
      <c r="L8" s="345"/>
      <c r="M8" s="223"/>
      <c r="N8" s="223"/>
      <c r="O8" s="223"/>
      <c r="P8" s="327"/>
      <c r="Q8" s="223"/>
      <c r="R8" s="346"/>
      <c r="S8" s="167"/>
      <c r="T8" s="328"/>
      <c r="U8" s="223"/>
      <c r="V8" s="370"/>
      <c r="W8" s="314"/>
      <c r="X8" s="314"/>
      <c r="Y8" s="314"/>
      <c r="Z8" s="316"/>
      <c r="AA8" s="329"/>
      <c r="AB8" s="371"/>
      <c r="AC8" s="171"/>
      <c r="AD8" s="425" t="s">
        <v>75</v>
      </c>
      <c r="AE8" s="171"/>
      <c r="AF8" s="425" t="s">
        <v>76</v>
      </c>
      <c r="AG8" s="171"/>
    </row>
    <row r="9" spans="1:33" ht="15.95" customHeight="1" thickTop="1" x14ac:dyDescent="0.25">
      <c r="A9" s="167" t="s">
        <v>8</v>
      </c>
      <c r="B9" s="26"/>
      <c r="C9" s="26"/>
      <c r="D9" s="226">
        <v>1</v>
      </c>
      <c r="E9" s="227"/>
      <c r="F9" s="226"/>
      <c r="G9" s="226"/>
      <c r="H9" s="226"/>
      <c r="I9" s="228"/>
      <c r="J9" s="229">
        <v>2</v>
      </c>
      <c r="K9" s="230"/>
      <c r="L9" s="347">
        <v>10700</v>
      </c>
      <c r="M9" s="32">
        <v>11100</v>
      </c>
      <c r="N9" s="32">
        <v>12600</v>
      </c>
      <c r="O9" s="32">
        <v>12900</v>
      </c>
      <c r="P9" s="348">
        <v>13200</v>
      </c>
      <c r="Q9" s="348">
        <f>P9</f>
        <v>13200</v>
      </c>
      <c r="R9" s="349">
        <f>IFERROR(VLOOKUP(D9,ODME_Validation!A:C,3,FALSE),IFERROR(VLOOKUP(E9,ODME_Validation!A:C,3,FALSE),""))+IFERROR(VLOOKUP(J9,ODME_Validation!A:C,3,FALSE),IFERROR(VLOOKUP(I9,ODME_Validation!A:C,3,FALSE),""))</f>
        <v>13206.07</v>
      </c>
      <c r="S9" s="225"/>
      <c r="T9" s="326">
        <v>15500</v>
      </c>
      <c r="U9" s="319">
        <v>15900</v>
      </c>
      <c r="V9" s="372">
        <f>TRENDS!P9</f>
        <v>16500</v>
      </c>
      <c r="W9" s="32">
        <f>TRENDS!AD9</f>
        <v>22200</v>
      </c>
      <c r="X9" s="32">
        <f>(((U9/T9))^(1/($U$6-$T$6)))-1</f>
        <v>2.5806451612903292E-2</v>
      </c>
      <c r="Y9" s="32">
        <f>(((W9/U9))^(1/($W$6-$U$6)))-1</f>
        <v>2.6007298194454576E-2</v>
      </c>
      <c r="Z9" s="32">
        <f>W9</f>
        <v>22200</v>
      </c>
      <c r="AA9" s="348">
        <f>(((Z9/U9))^(1/($Z$6-$U$6)))-1</f>
        <v>2.6007298194454576E-2</v>
      </c>
      <c r="AB9" s="373">
        <f>IFERROR(VLOOKUP(D9,ODME_Validation!A:E,5,FALSE),IFERROR(VLOOKUP(E9,ODME_Validation!A:E,5,FALSE),""))+IFERROR(VLOOKUP(J9,ODME_Validation!A:E,5,FALSE),IFERROR(VLOOKUP(I9,ODME_Validation!A:E,5,FALSE),""))</f>
        <v>21167.75</v>
      </c>
      <c r="AC9" s="171"/>
      <c r="AD9" s="425"/>
      <c r="AE9" s="171"/>
      <c r="AF9" s="425"/>
      <c r="AG9" s="171"/>
    </row>
    <row r="10" spans="1:33" ht="15.95" customHeight="1" thickBot="1" x14ac:dyDescent="0.3">
      <c r="A10" s="171"/>
      <c r="B10" s="33"/>
      <c r="C10" s="33"/>
      <c r="D10" s="231"/>
      <c r="E10" s="232"/>
      <c r="F10" s="231"/>
      <c r="G10" s="231"/>
      <c r="H10" s="232"/>
      <c r="I10" s="231"/>
      <c r="J10" s="231"/>
      <c r="K10" s="231"/>
      <c r="L10" s="350"/>
      <c r="M10" s="351"/>
      <c r="N10" s="351"/>
      <c r="O10" s="351"/>
      <c r="P10" s="327"/>
      <c r="Q10" s="327"/>
      <c r="R10" s="346" t="str">
        <f>IFERROR(VLOOKUP(D10,ODME_Validation!A:C,3,FALSE),IFERROR(VLOOKUP(J12,ODME_Validation!A:C,3,FALSE),""))</f>
        <v/>
      </c>
      <c r="S10" s="167"/>
      <c r="T10" s="325"/>
      <c r="U10" s="231"/>
      <c r="V10" s="372"/>
      <c r="W10" s="314"/>
      <c r="X10" s="314"/>
      <c r="Y10" s="315"/>
      <c r="Z10" s="316">
        <f>W10</f>
        <v>0</v>
      </c>
      <c r="AA10" s="317"/>
      <c r="AB10" s="346"/>
      <c r="AC10" s="171"/>
      <c r="AD10" s="425"/>
      <c r="AE10" s="171"/>
      <c r="AF10" s="425"/>
      <c r="AG10" s="171"/>
    </row>
    <row r="11" spans="1:33" ht="15.95" customHeight="1" thickTop="1" x14ac:dyDescent="0.25">
      <c r="A11" s="167" t="s">
        <v>9</v>
      </c>
      <c r="B11" s="37"/>
      <c r="C11" s="37"/>
      <c r="D11" s="226">
        <v>3</v>
      </c>
      <c r="E11" s="233"/>
      <c r="F11" s="226"/>
      <c r="G11" s="226"/>
      <c r="H11" s="234"/>
      <c r="I11" s="228"/>
      <c r="J11" s="229">
        <v>4</v>
      </c>
      <c r="K11" s="230"/>
      <c r="L11" s="352">
        <v>40000</v>
      </c>
      <c r="M11" s="319">
        <v>40900</v>
      </c>
      <c r="N11" s="319">
        <v>43100</v>
      </c>
      <c r="O11" s="319">
        <v>44200</v>
      </c>
      <c r="P11" s="322">
        <v>45200</v>
      </c>
      <c r="Q11" s="322">
        <f>P11</f>
        <v>45200</v>
      </c>
      <c r="R11" s="353">
        <f>IFERROR(VLOOKUP(D11,ODME_Validation!A:C,3,FALSE),IFERROR(VLOOKUP(E11,ODME_Validation!A:C,3,FALSE),""))+IFERROR(VLOOKUP(J11,ODME_Validation!A:C,3,FALSE),IFERROR(VLOOKUP(I11,ODME_Validation!A:C,3,FALSE),""))</f>
        <v>45204.5</v>
      </c>
      <c r="S11" s="225"/>
      <c r="T11" s="326">
        <v>51100</v>
      </c>
      <c r="U11" s="319">
        <v>52100</v>
      </c>
      <c r="V11" s="372">
        <f>TRENDS!P11</f>
        <v>56900</v>
      </c>
      <c r="W11" s="314">
        <f>TRENDS!AD11</f>
        <v>76800</v>
      </c>
      <c r="X11" s="315">
        <f t="shared" ref="X11:X14" si="0">(((U11/T11))^(1/($U$6-$T$6)))-1</f>
        <v>1.9569471624266255E-2</v>
      </c>
      <c r="Y11" s="315">
        <f t="shared" ref="Y11:Y14" si="1">(((W11/U11))^(1/($W$6-$U$6)))-1</f>
        <v>3.0299160369149813E-2</v>
      </c>
      <c r="Z11" s="322">
        <f>W11</f>
        <v>76800</v>
      </c>
      <c r="AA11" s="317">
        <f>(((Z11/U11))^(1/($Z$6-$U$6)))-1</f>
        <v>3.0299160369149813E-2</v>
      </c>
      <c r="AB11" s="353">
        <f>IFERROR(VLOOKUP(D11,ODME_Validation!A:E,5,FALSE),IFERROR(VLOOKUP(E11,ODME_Validation!A:E,5,FALSE),""))+IFERROR(VLOOKUP(J11,ODME_Validation!A:E,5,FALSE),IFERROR(VLOOKUP(I11,ODME_Validation!A:E,5,FALSE),""))</f>
        <v>75756.640630000009</v>
      </c>
      <c r="AC11" s="171"/>
      <c r="AD11" s="425"/>
      <c r="AE11" s="171"/>
      <c r="AF11" s="425"/>
      <c r="AG11" s="171"/>
    </row>
    <row r="12" spans="1:33" s="125" customFormat="1" ht="15.95" customHeight="1" x14ac:dyDescent="0.25">
      <c r="A12" s="308"/>
      <c r="B12" s="117"/>
      <c r="C12" s="117"/>
      <c r="D12" s="236"/>
      <c r="E12" s="237"/>
      <c r="F12" s="238"/>
      <c r="G12" s="236"/>
      <c r="H12" s="239"/>
      <c r="I12" s="240"/>
      <c r="J12" s="240"/>
      <c r="K12" s="240"/>
      <c r="L12" s="354">
        <v>50700</v>
      </c>
      <c r="M12" s="132">
        <v>52000</v>
      </c>
      <c r="N12" s="124">
        <v>55700</v>
      </c>
      <c r="O12" s="124">
        <v>57100</v>
      </c>
      <c r="P12" s="355">
        <v>58400</v>
      </c>
      <c r="Q12" s="355">
        <f>Q11+Q9</f>
        <v>58400</v>
      </c>
      <c r="R12" s="356">
        <f>29412+29416</f>
        <v>58828</v>
      </c>
      <c r="S12" s="311">
        <f>R12/P12-1</f>
        <v>7.3287671232875606E-3</v>
      </c>
      <c r="T12" s="330">
        <v>66600</v>
      </c>
      <c r="U12" s="331">
        <v>68000</v>
      </c>
      <c r="V12" s="374">
        <f>TRENDS!P12</f>
        <v>73400</v>
      </c>
      <c r="W12" s="379">
        <f>TRENDS!AD12</f>
        <v>99000</v>
      </c>
      <c r="X12" s="108">
        <f t="shared" si="0"/>
        <v>2.1021021021021102E-2</v>
      </c>
      <c r="Y12" s="108">
        <f t="shared" si="1"/>
        <v>2.9314700947915107E-2</v>
      </c>
      <c r="Z12" s="355">
        <f>U12*(1+X12)^(W$6-U$6)+5000</f>
        <v>94116.844154840481</v>
      </c>
      <c r="AA12" s="216">
        <f>(((Z12/U12))^(1/($Z$6-$U$6)))-1</f>
        <v>2.5317433646179444E-2</v>
      </c>
      <c r="AB12" s="356">
        <f>48901+48915</f>
        <v>97816</v>
      </c>
      <c r="AC12" s="311"/>
      <c r="AD12" s="425"/>
      <c r="AE12" s="311"/>
      <c r="AF12" s="425"/>
      <c r="AG12" s="304"/>
    </row>
    <row r="13" spans="1:33" ht="15.95" customHeight="1" thickBot="1" x14ac:dyDescent="0.3">
      <c r="A13" s="167" t="s">
        <v>10</v>
      </c>
      <c r="B13" s="45">
        <v>0.53</v>
      </c>
      <c r="C13" s="45">
        <v>0.79</v>
      </c>
      <c r="D13" s="242">
        <v>5</v>
      </c>
      <c r="E13" s="243"/>
      <c r="F13" s="244"/>
      <c r="G13" s="245"/>
      <c r="H13" s="246"/>
      <c r="I13" s="247"/>
      <c r="J13" s="248">
        <v>6</v>
      </c>
      <c r="K13" s="230"/>
      <c r="L13" s="352">
        <v>4500</v>
      </c>
      <c r="M13" s="319">
        <v>4600</v>
      </c>
      <c r="N13" s="319">
        <v>5200</v>
      </c>
      <c r="O13" s="319">
        <v>5300</v>
      </c>
      <c r="P13" s="428">
        <v>5400</v>
      </c>
      <c r="Q13" s="322">
        <f>Q12-P13</f>
        <v>53000</v>
      </c>
      <c r="R13" s="353">
        <f>IFERROR(VLOOKUP(D13,ODME_Validation!A:C,3,FALSE),IFERROR(VLOOKUP(E13,ODME_Validation!A:C,3,FALSE),""))+IFERROR(VLOOKUP(J13,ODME_Validation!A:C,3,FALSE),IFERROR(VLOOKUP(I13,ODME_Validation!A:C,3,FALSE),""))</f>
        <v>5394.67</v>
      </c>
      <c r="S13" s="171"/>
      <c r="T13" s="313">
        <v>6000</v>
      </c>
      <c r="U13" s="283">
        <v>6100</v>
      </c>
      <c r="V13" s="372">
        <f>TRENDS!P13</f>
        <v>7400</v>
      </c>
      <c r="W13" s="314">
        <f>TRENDS!AD13</f>
        <v>10200</v>
      </c>
      <c r="X13" s="315">
        <f t="shared" si="0"/>
        <v>1.6666666666666607E-2</v>
      </c>
      <c r="Y13" s="315">
        <f t="shared" si="1"/>
        <v>4.0338429302133161E-2</v>
      </c>
      <c r="Z13" s="322">
        <f>W13</f>
        <v>10200</v>
      </c>
      <c r="AA13" s="317">
        <f>(((Z13/U13))^(1/($Z$6-$U$6)))-1</f>
        <v>4.0338429302133161E-2</v>
      </c>
      <c r="AB13" s="353">
        <f>IFERROR(VLOOKUP(D13,ODME_Validation!A:E,5,FALSE),IFERROR(VLOOKUP(E13,ODME_Validation!A:E,5,FALSE),""))+IFERROR(VLOOKUP(J13,ODME_Validation!A:E,5,FALSE),IFERROR(VLOOKUP(I13,ODME_Validation!A:E,5,FALSE),""))</f>
        <v>11221.970000000001</v>
      </c>
      <c r="AC13" s="171"/>
      <c r="AD13" s="425"/>
      <c r="AE13" s="171"/>
      <c r="AF13" s="425"/>
      <c r="AG13" s="171"/>
    </row>
    <row r="14" spans="1:33" ht="15.95" customHeight="1" thickTop="1" x14ac:dyDescent="0.25">
      <c r="A14" s="167"/>
      <c r="B14" s="45"/>
      <c r="C14" s="45"/>
      <c r="D14" s="411">
        <v>7</v>
      </c>
      <c r="E14" s="233"/>
      <c r="F14" s="249"/>
      <c r="G14" s="250"/>
      <c r="H14" s="234"/>
      <c r="I14" s="228"/>
      <c r="J14" s="251">
        <v>8</v>
      </c>
      <c r="K14" s="251"/>
      <c r="L14" s="352">
        <v>3300</v>
      </c>
      <c r="M14" s="319">
        <v>3400</v>
      </c>
      <c r="N14" s="319">
        <v>3800</v>
      </c>
      <c r="O14" s="319">
        <v>3900</v>
      </c>
      <c r="P14" s="429">
        <v>4000</v>
      </c>
      <c r="Q14" s="430">
        <f>Q13+P14</f>
        <v>57000</v>
      </c>
      <c r="R14" s="353">
        <f>IFERROR(VLOOKUP(D14,ODME_Validation!A:C,3,FALSE),IFERROR(VLOOKUP(E14,ODME_Validation!A:C,3,FALSE),""))+IFERROR(VLOOKUP(J14,ODME_Validation!A:C,3,FALSE),IFERROR(VLOOKUP(I14,ODME_Validation!A:C,3,FALSE),""))</f>
        <v>4009.2</v>
      </c>
      <c r="S14" s="171"/>
      <c r="T14" s="313">
        <v>4600</v>
      </c>
      <c r="U14" s="283">
        <v>4700</v>
      </c>
      <c r="V14" s="372">
        <f>TRENDS!P14</f>
        <v>4800</v>
      </c>
      <c r="W14" s="314">
        <f>TRENDS!AD14</f>
        <v>6700</v>
      </c>
      <c r="X14" s="315">
        <f t="shared" si="0"/>
        <v>2.1739130434782705E-2</v>
      </c>
      <c r="Y14" s="315">
        <f t="shared" si="1"/>
        <v>2.7647997659716372E-2</v>
      </c>
      <c r="Z14" s="322">
        <f>W14+2000</f>
        <v>8700</v>
      </c>
      <c r="AA14" s="317">
        <f>(((Z14/U14))^(1/($Z$6-$U$6)))-1</f>
        <v>4.8505894947038275E-2</v>
      </c>
      <c r="AB14" s="353">
        <f>IFERROR(VLOOKUP(D14,ODME_Validation!A:E,5,FALSE),IFERROR(VLOOKUP(E14,ODME_Validation!A:E,5,FALSE),""))+IFERROR(VLOOKUP(J14,ODME_Validation!A:E,5,FALSE),IFERROR(VLOOKUP(I14,ODME_Validation!A:E,5,FALSE),""))</f>
        <v>7683.74</v>
      </c>
      <c r="AC14" s="171"/>
      <c r="AD14" s="425"/>
      <c r="AE14" s="171"/>
      <c r="AF14" s="425"/>
      <c r="AG14" s="171"/>
    </row>
    <row r="15" spans="1:33" ht="15.95" customHeight="1" x14ac:dyDescent="0.25">
      <c r="A15" s="167"/>
      <c r="B15" s="45"/>
      <c r="C15" s="45"/>
      <c r="D15" s="223"/>
      <c r="E15" s="253"/>
      <c r="F15" s="254"/>
      <c r="G15" s="255"/>
      <c r="H15" s="253"/>
      <c r="I15" s="167"/>
      <c r="J15" s="167"/>
      <c r="K15" s="167"/>
      <c r="L15" s="357"/>
      <c r="M15" s="358"/>
      <c r="N15" s="358"/>
      <c r="O15" s="358"/>
      <c r="P15" s="359"/>
      <c r="Q15" s="359"/>
      <c r="R15" s="360"/>
      <c r="S15" s="171"/>
      <c r="T15" s="313"/>
      <c r="U15" s="283"/>
      <c r="V15" s="372"/>
      <c r="W15" s="314"/>
      <c r="X15" s="314"/>
      <c r="Y15" s="315"/>
      <c r="Z15" s="359"/>
      <c r="AA15" s="317"/>
      <c r="AB15" s="360"/>
      <c r="AC15" s="171"/>
      <c r="AD15" s="425"/>
      <c r="AE15" s="171"/>
      <c r="AF15" s="425"/>
      <c r="AG15" s="171"/>
    </row>
    <row r="16" spans="1:33" s="125" customFormat="1" ht="15.95" customHeight="1" x14ac:dyDescent="0.25">
      <c r="A16" s="240" t="s">
        <v>11</v>
      </c>
      <c r="B16" s="127">
        <v>0.79</v>
      </c>
      <c r="C16" s="127">
        <v>1.06</v>
      </c>
      <c r="D16" s="256"/>
      <c r="E16" s="257">
        <v>9</v>
      </c>
      <c r="F16" s="258"/>
      <c r="G16" s="259"/>
      <c r="H16" s="257"/>
      <c r="I16" s="260">
        <v>10</v>
      </c>
      <c r="J16" s="260"/>
      <c r="K16" s="260"/>
      <c r="L16" s="354">
        <v>49500</v>
      </c>
      <c r="M16" s="132">
        <v>50800</v>
      </c>
      <c r="N16" s="124">
        <v>54300</v>
      </c>
      <c r="O16" s="124">
        <v>55700</v>
      </c>
      <c r="P16" s="355">
        <v>57000</v>
      </c>
      <c r="Q16" s="355">
        <v>57000</v>
      </c>
      <c r="R16" s="356">
        <f>IFERROR(VLOOKUP(D16,ODME_Validation!A:C,3,FALSE),IFERROR(VLOOKUP(E16,ODME_Validation!A:C,3,FALSE),""))+IFERROR(VLOOKUP(J16,ODME_Validation!A:C,3,FALSE),IFERROR(VLOOKUP(I16,ODME_Validation!A:C,3,FALSE),""))</f>
        <v>57025.099610000005</v>
      </c>
      <c r="S16" s="309">
        <f>R16/P16-1</f>
        <v>4.4034403508774744E-4</v>
      </c>
      <c r="T16" s="123">
        <v>65200</v>
      </c>
      <c r="U16" s="124">
        <v>66600</v>
      </c>
      <c r="V16" s="374">
        <f>TRENDS!P16</f>
        <v>70800</v>
      </c>
      <c r="W16" s="379">
        <f>TRENDS!AD16</f>
        <v>95500</v>
      </c>
      <c r="X16" s="108">
        <f>(((U16/T16))^(1/($U$6-$T$6)))-1</f>
        <v>2.1472392638036908E-2</v>
      </c>
      <c r="Y16" s="108">
        <f>(((W16/U16))^(1/($W$6-$U$6)))-1</f>
        <v>2.8112651131094957E-2</v>
      </c>
      <c r="Z16" s="355">
        <f>Z12-Z13+Z14</f>
        <v>92616.844154840481</v>
      </c>
      <c r="AA16" s="216">
        <f>(((Z16/U16))^(1/($Z$6-$U$6)))-1</f>
        <v>2.5691121230308811E-2</v>
      </c>
      <c r="AB16" s="356">
        <f>IFERROR(VLOOKUP(D16,ODME_Validation!A:E,5,FALSE),IFERROR(VLOOKUP(E16,ODME_Validation!A:E,5,FALSE),""))+IFERROR(VLOOKUP(J16,ODME_Validation!A:E,5,FALSE),IFERROR(VLOOKUP(I16,ODME_Validation!A:E,5,FALSE),""))</f>
        <v>93386.160159999999</v>
      </c>
      <c r="AC16" s="309"/>
      <c r="AD16" s="425"/>
      <c r="AE16" s="309"/>
      <c r="AF16" s="425"/>
      <c r="AG16" s="304"/>
    </row>
    <row r="17" spans="1:33" ht="15.95" customHeight="1" x14ac:dyDescent="0.25">
      <c r="A17" s="167"/>
      <c r="B17" s="45"/>
      <c r="C17" s="45"/>
      <c r="D17" s="411"/>
      <c r="E17" s="261"/>
      <c r="F17" s="262"/>
      <c r="G17" s="263"/>
      <c r="H17" s="261"/>
      <c r="I17" s="230"/>
      <c r="J17" s="230"/>
      <c r="K17" s="230"/>
      <c r="L17" s="357"/>
      <c r="M17" s="358"/>
      <c r="N17" s="358"/>
      <c r="O17" s="358"/>
      <c r="P17" s="359"/>
      <c r="Q17" s="359"/>
      <c r="R17" s="360"/>
      <c r="S17" s="171"/>
      <c r="T17" s="313"/>
      <c r="U17" s="283"/>
      <c r="V17" s="372"/>
      <c r="W17" s="314"/>
      <c r="X17" s="314"/>
      <c r="Y17" s="315"/>
      <c r="Z17" s="359"/>
      <c r="AA17" s="317"/>
      <c r="AB17" s="360"/>
      <c r="AC17" s="171"/>
      <c r="AD17" s="425"/>
      <c r="AE17" s="171"/>
      <c r="AF17" s="425"/>
      <c r="AG17" s="171"/>
    </row>
    <row r="18" spans="1:33" ht="15.95" customHeight="1" thickBot="1" x14ac:dyDescent="0.3">
      <c r="A18" s="167" t="s">
        <v>12</v>
      </c>
      <c r="B18" s="45"/>
      <c r="C18" s="45"/>
      <c r="D18" s="242">
        <v>11</v>
      </c>
      <c r="E18" s="243"/>
      <c r="F18" s="244"/>
      <c r="G18" s="245"/>
      <c r="H18" s="246"/>
      <c r="I18" s="247"/>
      <c r="J18" s="248">
        <v>12</v>
      </c>
      <c r="K18" s="230"/>
      <c r="L18" s="352">
        <v>4400</v>
      </c>
      <c r="M18" s="319">
        <v>4500</v>
      </c>
      <c r="N18" s="319">
        <v>5100</v>
      </c>
      <c r="O18" s="319">
        <v>5200</v>
      </c>
      <c r="P18" s="428">
        <v>5300</v>
      </c>
      <c r="Q18" s="322">
        <f>Q16-P18</f>
        <v>51700</v>
      </c>
      <c r="R18" s="353">
        <f>IFERROR(VLOOKUP(D18,ODME_Validation!A:C,3,FALSE),IFERROR(VLOOKUP(E18,ODME_Validation!A:C,3,FALSE),""))+IFERROR(VLOOKUP(J18,ODME_Validation!A:C,3,FALSE),IFERROR(VLOOKUP(I18,ODME_Validation!A:C,3,FALSE),""))</f>
        <v>5267.7</v>
      </c>
      <c r="S18" s="171"/>
      <c r="T18" s="313">
        <v>5900</v>
      </c>
      <c r="U18" s="283">
        <v>6000</v>
      </c>
      <c r="V18" s="372">
        <f>TRENDS!P18</f>
        <v>6700</v>
      </c>
      <c r="W18" s="314">
        <f>TRENDS!AD18</f>
        <v>9500</v>
      </c>
      <c r="X18" s="315">
        <f t="shared" ref="X18:X24" si="2">(((U18/T18))^(1/($U$6-$T$6)))-1</f>
        <v>1.6949152542372836E-2</v>
      </c>
      <c r="Y18" s="315">
        <f t="shared" ref="Y18:Y24" si="3">(((W18/U18))^(1/($W$6-$U$6)))-1</f>
        <v>3.5980830949299936E-2</v>
      </c>
      <c r="Z18" s="322">
        <f>W18-1500</f>
        <v>8000</v>
      </c>
      <c r="AA18" s="317">
        <f t="shared" ref="AA18:AA24" si="4">(((Z18/U18))^(1/($Z$6-$U$6)))-1</f>
        <v>2.2376061343984732E-2</v>
      </c>
      <c r="AB18" s="353">
        <f>IFERROR(VLOOKUP(D18,ODME_Validation!A:E,5,FALSE),IFERROR(VLOOKUP(E18,ODME_Validation!A:E,5,FALSE),""))+IFERROR(VLOOKUP(J18,ODME_Validation!A:E,5,FALSE),IFERROR(VLOOKUP(I18,ODME_Validation!A:E,5,FALSE),""))</f>
        <v>8242.5600000000013</v>
      </c>
      <c r="AC18" s="171"/>
      <c r="AD18" s="425"/>
      <c r="AE18" s="171"/>
      <c r="AF18" s="425"/>
      <c r="AG18" s="171"/>
    </row>
    <row r="19" spans="1:33" ht="15.95" customHeight="1" thickTop="1" x14ac:dyDescent="0.25">
      <c r="A19" s="167"/>
      <c r="B19" s="45"/>
      <c r="C19" s="45"/>
      <c r="D19" s="431">
        <v>13</v>
      </c>
      <c r="E19" s="233"/>
      <c r="F19" s="249"/>
      <c r="G19" s="250"/>
      <c r="H19" s="234"/>
      <c r="I19" s="228"/>
      <c r="J19" s="432">
        <v>14</v>
      </c>
      <c r="K19" s="251"/>
      <c r="L19" s="352">
        <v>9600</v>
      </c>
      <c r="M19" s="319">
        <v>10000</v>
      </c>
      <c r="N19" s="319">
        <v>11300</v>
      </c>
      <c r="O19" s="319">
        <v>11600</v>
      </c>
      <c r="P19" s="429">
        <v>11900</v>
      </c>
      <c r="Q19" s="430">
        <f>Q18+P19</f>
        <v>63600</v>
      </c>
      <c r="R19" s="353">
        <f>IFERROR(VLOOKUP(D19,ODME_Validation!A:C,3,FALSE),IFERROR(VLOOKUP(E19,ODME_Validation!A:C,3,FALSE),""))+IFERROR(VLOOKUP(J19,ODME_Validation!A:C,3,FALSE),IFERROR(VLOOKUP(I19,ODME_Validation!A:C,3,FALSE),""))</f>
        <v>11933.41</v>
      </c>
      <c r="S19" s="171"/>
      <c r="T19" s="313">
        <v>14100</v>
      </c>
      <c r="U19" s="283">
        <v>14500</v>
      </c>
      <c r="V19" s="372">
        <f>TRENDS!P19</f>
        <v>14800</v>
      </c>
      <c r="W19" s="314">
        <f>TRENDS!AD19</f>
        <v>17000</v>
      </c>
      <c r="X19" s="315">
        <f t="shared" si="2"/>
        <v>2.8368794326241176E-2</v>
      </c>
      <c r="Y19" s="315">
        <f t="shared" si="3"/>
        <v>1.2310908723206504E-2</v>
      </c>
      <c r="Z19" s="322">
        <f>W19</f>
        <v>17000</v>
      </c>
      <c r="AA19" s="317">
        <f t="shared" si="4"/>
        <v>1.2310908723206504E-2</v>
      </c>
      <c r="AB19" s="353">
        <f>IFERROR(VLOOKUP(D19,ODME_Validation!A:E,5,FALSE),IFERROR(VLOOKUP(E19,ODME_Validation!A:E,5,FALSE),""))+IFERROR(VLOOKUP(J19,ODME_Validation!A:E,5,FALSE),IFERROR(VLOOKUP(I19,ODME_Validation!A:E,5,FALSE),""))</f>
        <v>16760.32</v>
      </c>
      <c r="AC19" s="171"/>
      <c r="AD19" s="425"/>
      <c r="AE19" s="171"/>
      <c r="AF19" s="425"/>
      <c r="AG19" s="171"/>
    </row>
    <row r="20" spans="1:33" s="125" customFormat="1" ht="15.95" customHeight="1" x14ac:dyDescent="0.25">
      <c r="A20" s="240"/>
      <c r="B20" s="127"/>
      <c r="C20" s="127"/>
      <c r="D20" s="236"/>
      <c r="E20" s="237">
        <v>15</v>
      </c>
      <c r="F20" s="264"/>
      <c r="G20" s="265"/>
      <c r="H20" s="237"/>
      <c r="I20" s="240">
        <v>16</v>
      </c>
      <c r="J20" s="240"/>
      <c r="K20" s="240"/>
      <c r="L20" s="354">
        <v>54700</v>
      </c>
      <c r="M20" s="132">
        <v>56300</v>
      </c>
      <c r="N20" s="124">
        <v>60500</v>
      </c>
      <c r="O20" s="124">
        <v>62100</v>
      </c>
      <c r="P20" s="355">
        <v>63600</v>
      </c>
      <c r="Q20" s="355">
        <v>63600</v>
      </c>
      <c r="R20" s="356">
        <f>IFERROR(VLOOKUP(D20,ODME_Validation!A:C,3,FALSE),IFERROR(VLOOKUP(E20,ODME_Validation!A:C,3,FALSE),""))+IFERROR(VLOOKUP(J20,ODME_Validation!A:C,3,FALSE),IFERROR(VLOOKUP(I20,ODME_Validation!A:C,3,FALSE),""))</f>
        <v>63690.810550000002</v>
      </c>
      <c r="S20" s="309">
        <f>R20/P20-1</f>
        <v>1.4278388364781236E-3</v>
      </c>
      <c r="T20" s="123">
        <v>73400</v>
      </c>
      <c r="U20" s="124">
        <v>75100</v>
      </c>
      <c r="V20" s="374">
        <f>TRENDS!P20</f>
        <v>78900</v>
      </c>
      <c r="W20" s="379">
        <f>TRENDS!AD20</f>
        <v>103000</v>
      </c>
      <c r="X20" s="108">
        <f t="shared" si="2"/>
        <v>2.3160762942779245E-2</v>
      </c>
      <c r="Y20" s="108">
        <f t="shared" si="3"/>
        <v>2.4598315453451258E-2</v>
      </c>
      <c r="Z20" s="355">
        <f>Z16-Z18+Z19</f>
        <v>101616.84415484048</v>
      </c>
      <c r="AA20" s="216">
        <f t="shared" si="4"/>
        <v>2.353331247602708E-2</v>
      </c>
      <c r="AB20" s="356">
        <f>IFERROR(VLOOKUP(D20,ODME_Validation!A:E,5,FALSE),IFERROR(VLOOKUP(E20,ODME_Validation!A:E,5,FALSE),""))+IFERROR(VLOOKUP(J20,ODME_Validation!A:E,5,FALSE),IFERROR(VLOOKUP(I20,ODME_Validation!A:E,5,FALSE),""))</f>
        <v>101903.92188000001</v>
      </c>
      <c r="AC20" s="309"/>
      <c r="AD20" s="425"/>
      <c r="AE20" s="309"/>
      <c r="AF20" s="425"/>
      <c r="AG20" s="304"/>
    </row>
    <row r="21" spans="1:33" ht="15.95" customHeight="1" thickBot="1" x14ac:dyDescent="0.3">
      <c r="A21" s="167" t="s">
        <v>13</v>
      </c>
      <c r="B21" s="45">
        <v>0.26</v>
      </c>
      <c r="C21" s="45">
        <v>0.53</v>
      </c>
      <c r="D21" s="242">
        <v>17</v>
      </c>
      <c r="E21" s="243"/>
      <c r="F21" s="244"/>
      <c r="G21" s="245"/>
      <c r="H21" s="246"/>
      <c r="I21" s="247"/>
      <c r="J21" s="248">
        <v>18</v>
      </c>
      <c r="K21" s="230"/>
      <c r="L21" s="352">
        <v>7100</v>
      </c>
      <c r="M21" s="319">
        <v>7300</v>
      </c>
      <c r="N21" s="319">
        <v>8200</v>
      </c>
      <c r="O21" s="319">
        <v>8400</v>
      </c>
      <c r="P21" s="428">
        <v>8600</v>
      </c>
      <c r="Q21" s="322">
        <f>Q20-P21</f>
        <v>55000</v>
      </c>
      <c r="R21" s="353">
        <f>IFERROR(VLOOKUP(D21,ODME_Validation!A:C,3,FALSE),IFERROR(VLOOKUP(E21,ODME_Validation!A:C,3,FALSE),""))+IFERROR(VLOOKUP(J21,ODME_Validation!A:C,3,FALSE),IFERROR(VLOOKUP(I21,ODME_Validation!A:C,3,FALSE),""))</f>
        <v>8474.26</v>
      </c>
      <c r="S21" s="171"/>
      <c r="T21" s="313">
        <v>9800</v>
      </c>
      <c r="U21" s="283">
        <v>10000</v>
      </c>
      <c r="V21" s="372">
        <f>TRENDS!P21</f>
        <v>10800</v>
      </c>
      <c r="W21" s="314">
        <f>TRENDS!AD21</f>
        <v>14700</v>
      </c>
      <c r="X21" s="315">
        <f t="shared" si="2"/>
        <v>2.0408163265306145E-2</v>
      </c>
      <c r="Y21" s="315">
        <f t="shared" si="3"/>
        <v>3.0079073096610287E-2</v>
      </c>
      <c r="Z21" s="322">
        <f>W21</f>
        <v>14700</v>
      </c>
      <c r="AA21" s="317">
        <f t="shared" si="4"/>
        <v>3.0079073096610287E-2</v>
      </c>
      <c r="AB21" s="353">
        <f>IFERROR(VLOOKUP(D21,ODME_Validation!A:E,5,FALSE),IFERROR(VLOOKUP(E21,ODME_Validation!A:E,5,FALSE),""))+IFERROR(VLOOKUP(J21,ODME_Validation!A:E,5,FALSE),IFERROR(VLOOKUP(I21,ODME_Validation!A:E,5,FALSE),""))</f>
        <v>14643.41</v>
      </c>
      <c r="AC21" s="171"/>
      <c r="AD21" s="425"/>
      <c r="AE21" s="171"/>
      <c r="AF21" s="425"/>
      <c r="AG21" s="171"/>
    </row>
    <row r="22" spans="1:33" ht="15.95" customHeight="1" thickTop="1" x14ac:dyDescent="0.25">
      <c r="A22" s="167"/>
      <c r="B22" s="45"/>
      <c r="C22" s="45"/>
      <c r="D22" s="431">
        <v>19</v>
      </c>
      <c r="E22" s="233"/>
      <c r="F22" s="266"/>
      <c r="G22" s="250"/>
      <c r="H22" s="267"/>
      <c r="I22" s="228"/>
      <c r="J22" s="432">
        <v>20</v>
      </c>
      <c r="K22" s="251"/>
      <c r="L22" s="352">
        <v>6600</v>
      </c>
      <c r="M22" s="319">
        <v>6900</v>
      </c>
      <c r="N22" s="319">
        <v>7800</v>
      </c>
      <c r="O22" s="319">
        <v>8000</v>
      </c>
      <c r="P22" s="429">
        <v>8200</v>
      </c>
      <c r="Q22" s="430">
        <f>Q21+P22</f>
        <v>63200</v>
      </c>
      <c r="R22" s="353">
        <f>IFERROR(VLOOKUP(D22,ODME_Validation!A:C,3,FALSE),IFERROR(VLOOKUP(E22,ODME_Validation!A:C,3,FALSE),""))+IFERROR(VLOOKUP(J22,ODME_Validation!A:C,3,FALSE),IFERROR(VLOOKUP(I22,ODME_Validation!A:C,3,FALSE),""))</f>
        <v>8326.52</v>
      </c>
      <c r="S22" s="171"/>
      <c r="T22" s="313">
        <v>9400</v>
      </c>
      <c r="U22" s="283">
        <v>9700</v>
      </c>
      <c r="V22" s="372">
        <f>TRENDS!P22</f>
        <v>10100</v>
      </c>
      <c r="W22" s="314">
        <f>TRENDS!AD22</f>
        <v>13600</v>
      </c>
      <c r="X22" s="315">
        <f t="shared" si="2"/>
        <v>3.1914893617021267E-2</v>
      </c>
      <c r="Y22" s="315">
        <f t="shared" si="3"/>
        <v>2.6336519998071184E-2</v>
      </c>
      <c r="Z22" s="322">
        <f>W22+1383</f>
        <v>14983</v>
      </c>
      <c r="AA22" s="317">
        <f t="shared" si="4"/>
        <v>3.4010996285026351E-2</v>
      </c>
      <c r="AB22" s="353">
        <f>IFERROR(VLOOKUP(D22,ODME_Validation!A:E,5,FALSE),IFERROR(VLOOKUP(E22,ODME_Validation!A:E,5,FALSE),""))+IFERROR(VLOOKUP(J22,ODME_Validation!A:E,5,FALSE),IFERROR(VLOOKUP(I22,ODME_Validation!A:E,5,FALSE),""))</f>
        <v>15033</v>
      </c>
      <c r="AC22" s="171"/>
      <c r="AD22" s="425"/>
      <c r="AE22" s="171"/>
      <c r="AF22" s="425"/>
      <c r="AG22" s="171"/>
    </row>
    <row r="23" spans="1:33" s="125" customFormat="1" ht="15.95" customHeight="1" x14ac:dyDescent="0.25">
      <c r="A23" s="240"/>
      <c r="B23" s="127"/>
      <c r="C23" s="127"/>
      <c r="D23" s="268"/>
      <c r="E23" s="269">
        <v>47</v>
      </c>
      <c r="F23" s="270"/>
      <c r="G23" s="271"/>
      <c r="H23" s="239"/>
      <c r="I23" s="272">
        <v>48</v>
      </c>
      <c r="J23" s="272"/>
      <c r="K23" s="272"/>
      <c r="L23" s="354">
        <v>54200</v>
      </c>
      <c r="M23" s="132">
        <v>55900</v>
      </c>
      <c r="N23" s="124">
        <v>60100</v>
      </c>
      <c r="O23" s="124">
        <v>61700</v>
      </c>
      <c r="P23" s="355">
        <v>63200</v>
      </c>
      <c r="Q23" s="355">
        <v>63200</v>
      </c>
      <c r="R23" s="356">
        <f>IFERROR(VLOOKUP(D23,ODME_Validation!A:C,3,FALSE),IFERROR(VLOOKUP(E23,ODME_Validation!A:C,3,FALSE),""))+IFERROR(VLOOKUP(J23,ODME_Validation!A:C,3,FALSE),IFERROR(VLOOKUP(I23,ODME_Validation!A:C,3,FALSE),""))</f>
        <v>63543.068359999997</v>
      </c>
      <c r="S23" s="309">
        <f>R23/P23-1</f>
        <v>5.4282968354431027E-3</v>
      </c>
      <c r="T23" s="123">
        <v>73000</v>
      </c>
      <c r="U23" s="124">
        <v>74800</v>
      </c>
      <c r="V23" s="374">
        <f>TRENDS!P23</f>
        <v>78200</v>
      </c>
      <c r="W23" s="379">
        <f>TRENDS!AD23</f>
        <v>101900</v>
      </c>
      <c r="X23" s="108">
        <f t="shared" si="2"/>
        <v>2.4657534246575352E-2</v>
      </c>
      <c r="Y23" s="108">
        <f t="shared" si="3"/>
        <v>2.4067681486188652E-2</v>
      </c>
      <c r="Z23" s="355">
        <f>Z20+-Z21+Z22</f>
        <v>101899.84415484048</v>
      </c>
      <c r="AA23" s="216">
        <f t="shared" si="4"/>
        <v>2.4067561009021077E-2</v>
      </c>
      <c r="AB23" s="356">
        <f>IFERROR(VLOOKUP(D23,ODME_Validation!A:E,5,FALSE),IFERROR(VLOOKUP(E23,ODME_Validation!A:E,5,FALSE),""))+IFERROR(VLOOKUP(J23,ODME_Validation!A:E,5,FALSE),IFERROR(VLOOKUP(I23,ODME_Validation!A:E,5,FALSE),""))</f>
        <v>102293.50781000001</v>
      </c>
      <c r="AC23" s="309"/>
      <c r="AD23" s="425"/>
      <c r="AE23" s="309"/>
      <c r="AF23" s="425"/>
      <c r="AG23" s="304"/>
    </row>
    <row r="24" spans="1:33" ht="15.95" customHeight="1" thickBot="1" x14ac:dyDescent="0.3">
      <c r="A24" s="167" t="s">
        <v>14</v>
      </c>
      <c r="B24" s="45">
        <v>0.53</v>
      </c>
      <c r="C24" s="45">
        <v>0.79</v>
      </c>
      <c r="D24" s="242">
        <v>21</v>
      </c>
      <c r="E24" s="243"/>
      <c r="F24" s="244"/>
      <c r="G24" s="245"/>
      <c r="H24" s="246"/>
      <c r="I24" s="247"/>
      <c r="J24" s="248">
        <v>22</v>
      </c>
      <c r="K24" s="230"/>
      <c r="L24" s="352">
        <v>5000</v>
      </c>
      <c r="M24" s="319">
        <v>5100</v>
      </c>
      <c r="N24" s="319">
        <v>5800</v>
      </c>
      <c r="O24" s="319">
        <v>6000</v>
      </c>
      <c r="P24" s="428">
        <v>6100</v>
      </c>
      <c r="Q24" s="322">
        <f>Q23-P24</f>
        <v>57100</v>
      </c>
      <c r="R24" s="353">
        <f>IFERROR(VLOOKUP(D24,ODME_Validation!A:C,3,FALSE),IFERROR(VLOOKUP(E24,ODME_Validation!A:C,3,FALSE),""))+IFERROR(VLOOKUP(J24,ODME_Validation!A:C,3,FALSE),IFERROR(VLOOKUP(I24,ODME_Validation!A:C,3,FALSE),""))</f>
        <v>5628.59</v>
      </c>
      <c r="S24" s="310"/>
      <c r="T24" s="313">
        <v>6700</v>
      </c>
      <c r="U24" s="283">
        <v>6800</v>
      </c>
      <c r="V24" s="372">
        <f>TRENDS!P24</f>
        <v>7700</v>
      </c>
      <c r="W24" s="314">
        <f>TRENDS!AD24</f>
        <v>10500</v>
      </c>
      <c r="X24" s="315">
        <f t="shared" si="2"/>
        <v>1.4925373134328401E-2</v>
      </c>
      <c r="Y24" s="315">
        <f t="shared" si="3"/>
        <v>3.3984136641654894E-2</v>
      </c>
      <c r="Z24" s="322">
        <f>W24</f>
        <v>10500</v>
      </c>
      <c r="AA24" s="317">
        <f t="shared" si="4"/>
        <v>3.3984136641654894E-2</v>
      </c>
      <c r="AB24" s="353">
        <f>IFERROR(VLOOKUP(D24,ODME_Validation!A:E,5,FALSE),IFERROR(VLOOKUP(E24,ODME_Validation!A:E,5,FALSE),""))+IFERROR(VLOOKUP(J24,ODME_Validation!A:E,5,FALSE),IFERROR(VLOOKUP(I24,ODME_Validation!A:E,5,FALSE),""))</f>
        <v>10027.790000000001</v>
      </c>
      <c r="AC24" s="310"/>
      <c r="AD24" s="425"/>
      <c r="AE24" s="310"/>
      <c r="AF24" s="425"/>
      <c r="AG24" s="171"/>
    </row>
    <row r="25" spans="1:33" ht="15.95" customHeight="1" thickTop="1" thickBot="1" x14ac:dyDescent="0.3">
      <c r="A25" s="167"/>
      <c r="B25" s="45"/>
      <c r="C25" s="45"/>
      <c r="D25" s="273"/>
      <c r="E25" s="274"/>
      <c r="F25" s="275"/>
      <c r="G25" s="276"/>
      <c r="H25" s="274"/>
      <c r="I25" s="277"/>
      <c r="J25" s="273"/>
      <c r="K25" s="223"/>
      <c r="L25" s="357"/>
      <c r="M25" s="358"/>
      <c r="N25" s="358"/>
      <c r="O25" s="358"/>
      <c r="P25" s="359"/>
      <c r="Q25" s="359"/>
      <c r="R25" s="360"/>
      <c r="S25" s="171"/>
      <c r="T25" s="318"/>
      <c r="U25" s="280"/>
      <c r="V25" s="372"/>
      <c r="W25" s="314"/>
      <c r="X25" s="314"/>
      <c r="Y25" s="315"/>
      <c r="Z25" s="359"/>
      <c r="AA25" s="317"/>
      <c r="AB25" s="360"/>
      <c r="AC25" s="171"/>
      <c r="AD25" s="425"/>
      <c r="AE25" s="171"/>
      <c r="AF25" s="425"/>
      <c r="AG25" s="171"/>
    </row>
    <row r="26" spans="1:33" ht="15.95" customHeight="1" thickTop="1" x14ac:dyDescent="0.25">
      <c r="A26" s="167" t="s">
        <v>15</v>
      </c>
      <c r="B26" s="45"/>
      <c r="C26" s="45"/>
      <c r="D26" s="434">
        <v>25</v>
      </c>
      <c r="E26" s="233"/>
      <c r="F26" s="249"/>
      <c r="G26" s="250"/>
      <c r="H26" s="234"/>
      <c r="I26" s="228"/>
      <c r="J26" s="433">
        <v>26</v>
      </c>
      <c r="K26" s="230"/>
      <c r="L26" s="352">
        <v>9000</v>
      </c>
      <c r="M26" s="319">
        <v>9400</v>
      </c>
      <c r="N26" s="319">
        <v>10600</v>
      </c>
      <c r="O26" s="319">
        <v>10900</v>
      </c>
      <c r="P26" s="429">
        <v>11200</v>
      </c>
      <c r="Q26" s="430">
        <f>Q24+P26</f>
        <v>68300</v>
      </c>
      <c r="R26" s="353">
        <f>IFERROR(VLOOKUP(D26,ODME_Validation!A:C,3,FALSE),IFERROR(VLOOKUP(E26,ODME_Validation!A:C,3,FALSE),""))+IFERROR(VLOOKUP(J26,ODME_Validation!A:C,3,FALSE),IFERROR(VLOOKUP(I26,ODME_Validation!A:C,3,FALSE),""))</f>
        <v>11671.48</v>
      </c>
      <c r="S26" s="171"/>
      <c r="T26" s="313">
        <v>13000</v>
      </c>
      <c r="U26" s="283">
        <v>13400</v>
      </c>
      <c r="V26" s="372">
        <f>TRENDS!P26</f>
        <v>13500</v>
      </c>
      <c r="W26" s="314">
        <f>TRENDS!AD26</f>
        <v>21500</v>
      </c>
      <c r="X26" s="315">
        <f>(((U26/T26))^(1/($U$6-$T$6)))-1</f>
        <v>3.076923076923066E-2</v>
      </c>
      <c r="Y26" s="315">
        <f>(((W26/U26))^(1/($W$6-$U$6)))-1</f>
        <v>3.7038541057360153E-2</v>
      </c>
      <c r="Z26" s="322">
        <f>W26</f>
        <v>21500</v>
      </c>
      <c r="AA26" s="317">
        <f>(((Z26/U26))^(1/($Z$6-$U$6)))-1</f>
        <v>3.7038541057360153E-2</v>
      </c>
      <c r="AB26" s="353">
        <f>IFERROR(VLOOKUP(D26,ODME_Validation!A:E,5,FALSE),IFERROR(VLOOKUP(E26,ODME_Validation!A:E,5,FALSE),""))+IFERROR(VLOOKUP(J26,ODME_Validation!A:E,5,FALSE),IFERROR(VLOOKUP(I26,ODME_Validation!A:E,5,FALSE),""))</f>
        <v>21966.16</v>
      </c>
      <c r="AC26" s="171"/>
      <c r="AD26" s="425"/>
      <c r="AE26" s="171"/>
      <c r="AF26" s="425"/>
      <c r="AG26" s="171"/>
    </row>
    <row r="27" spans="1:33" ht="15.95" customHeight="1" x14ac:dyDescent="0.25">
      <c r="A27" s="167"/>
      <c r="B27" s="45"/>
      <c r="C27" s="45"/>
      <c r="D27" s="411"/>
      <c r="E27" s="261"/>
      <c r="F27" s="262"/>
      <c r="G27" s="263"/>
      <c r="H27" s="261"/>
      <c r="I27" s="230"/>
      <c r="J27" s="230"/>
      <c r="K27" s="230"/>
      <c r="L27" s="352"/>
      <c r="M27" s="319"/>
      <c r="N27" s="319"/>
      <c r="O27" s="319"/>
      <c r="P27" s="322"/>
      <c r="Q27" s="322"/>
      <c r="R27" s="353"/>
      <c r="S27" s="171"/>
      <c r="T27" s="313"/>
      <c r="U27" s="283"/>
      <c r="V27" s="372"/>
      <c r="W27" s="314"/>
      <c r="X27" s="314"/>
      <c r="Y27" s="315"/>
      <c r="Z27" s="322"/>
      <c r="AA27" s="317"/>
      <c r="AB27" s="353"/>
      <c r="AC27" s="171"/>
      <c r="AD27" s="425"/>
      <c r="AE27" s="171"/>
      <c r="AF27" s="425"/>
      <c r="AG27" s="171"/>
    </row>
    <row r="28" spans="1:33" s="125" customFormat="1" ht="15.95" customHeight="1" x14ac:dyDescent="0.25">
      <c r="A28" s="240" t="s">
        <v>16</v>
      </c>
      <c r="B28" s="127">
        <v>1.06</v>
      </c>
      <c r="C28" s="127">
        <v>1.32</v>
      </c>
      <c r="D28" s="268"/>
      <c r="E28" s="269">
        <v>23</v>
      </c>
      <c r="F28" s="278"/>
      <c r="G28" s="271"/>
      <c r="H28" s="269"/>
      <c r="I28" s="272">
        <v>24</v>
      </c>
      <c r="J28" s="272"/>
      <c r="K28" s="272"/>
      <c r="L28" s="354">
        <v>58200</v>
      </c>
      <c r="M28" s="132">
        <v>60200</v>
      </c>
      <c r="N28" s="124">
        <v>64900</v>
      </c>
      <c r="O28" s="124">
        <v>66600</v>
      </c>
      <c r="P28" s="355">
        <v>68300</v>
      </c>
      <c r="Q28" s="355">
        <v>68300</v>
      </c>
      <c r="R28" s="356">
        <f>IFERROR(VLOOKUP(D28,ODME_Validation!A:C,3,FALSE),IFERROR(VLOOKUP(E28,ODME_Validation!A:C,3,FALSE),""))+IFERROR(VLOOKUP(J28,ODME_Validation!A:C,3,FALSE),IFERROR(VLOOKUP(I28,ODME_Validation!A:C,3,FALSE),""))</f>
        <v>69585.960940000004</v>
      </c>
      <c r="S28" s="309">
        <f>R28/P28-1</f>
        <v>1.882812503660336E-2</v>
      </c>
      <c r="T28" s="123">
        <v>79300</v>
      </c>
      <c r="U28" s="124">
        <v>81400</v>
      </c>
      <c r="V28" s="374">
        <f>TRENDS!P28</f>
        <v>84000</v>
      </c>
      <c r="W28" s="379">
        <f>TRENDS!AD28</f>
        <v>112900</v>
      </c>
      <c r="X28" s="108">
        <f>(((U28/T28))^(1/($U$6-$T$6)))-1</f>
        <v>2.6481715006305251E-2</v>
      </c>
      <c r="Y28" s="108">
        <f>(((W28/U28))^(1/($W$6-$U$6)))-1</f>
        <v>2.5482907207312611E-2</v>
      </c>
      <c r="Z28" s="355">
        <f>Z23+Z26-Z24</f>
        <v>112899.84415484048</v>
      </c>
      <c r="AA28" s="216">
        <f>(((Z28/U28))^(1/($Z$6-$U$6)))-1</f>
        <v>2.5482798318132938E-2</v>
      </c>
      <c r="AB28" s="375">
        <f>IFERROR(VLOOKUP(D28,ODME_Validation!A:E,5,FALSE),IFERROR(VLOOKUP(E28,ODME_Validation!A:E,5,FALSE),""))+IFERROR(VLOOKUP(J28,ODME_Validation!A:E,5,FALSE),IFERROR(VLOOKUP(I28,ODME_Validation!A:E,5,FALSE),""))</f>
        <v>114231.87891</v>
      </c>
      <c r="AC28" s="309"/>
      <c r="AD28" s="409">
        <v>5400</v>
      </c>
      <c r="AE28" s="309"/>
      <c r="AF28" s="407">
        <f>P28*13%/2</f>
        <v>4439.5</v>
      </c>
      <c r="AG28" s="304"/>
    </row>
    <row r="29" spans="1:33" ht="15.95" customHeight="1" thickBot="1" x14ac:dyDescent="0.3">
      <c r="A29" s="167"/>
      <c r="B29" s="45"/>
      <c r="C29" s="45"/>
      <c r="D29" s="280"/>
      <c r="E29" s="281">
        <v>29</v>
      </c>
      <c r="F29" s="282"/>
      <c r="G29" s="170"/>
      <c r="H29" s="281"/>
      <c r="I29" s="252">
        <v>30</v>
      </c>
      <c r="J29" s="252"/>
      <c r="K29" s="252"/>
      <c r="L29" s="352"/>
      <c r="M29" s="319"/>
      <c r="N29" s="321"/>
      <c r="O29" s="321"/>
      <c r="P29" s="428">
        <v>7500</v>
      </c>
      <c r="Q29" s="322">
        <f>Q28-P29</f>
        <v>60800</v>
      </c>
      <c r="R29" s="362"/>
      <c r="S29" s="171"/>
      <c r="T29" s="320"/>
      <c r="U29" s="321"/>
      <c r="V29" s="372"/>
      <c r="W29" s="314"/>
      <c r="X29" s="314"/>
      <c r="Y29" s="315"/>
      <c r="Z29" s="361"/>
      <c r="AA29" s="317"/>
      <c r="AB29" s="362"/>
      <c r="AC29" s="171"/>
      <c r="AD29" s="410"/>
      <c r="AE29" s="171"/>
      <c r="AF29" s="171"/>
      <c r="AG29" s="171"/>
    </row>
    <row r="30" spans="1:33" ht="15.95" customHeight="1" thickTop="1" x14ac:dyDescent="0.25">
      <c r="A30" s="167" t="s">
        <v>17</v>
      </c>
      <c r="B30" s="45">
        <v>1.06</v>
      </c>
      <c r="C30" s="45">
        <v>1.32</v>
      </c>
      <c r="D30" s="434">
        <v>45</v>
      </c>
      <c r="E30" s="233"/>
      <c r="F30" s="249"/>
      <c r="G30" s="250"/>
      <c r="H30" s="234"/>
      <c r="I30" s="228"/>
      <c r="J30" s="433">
        <v>46</v>
      </c>
      <c r="K30" s="230"/>
      <c r="L30" s="363">
        <v>4700</v>
      </c>
      <c r="M30" s="319">
        <v>5000</v>
      </c>
      <c r="N30" s="319">
        <v>5700</v>
      </c>
      <c r="O30" s="319">
        <v>5900</v>
      </c>
      <c r="P30" s="429">
        <v>6100</v>
      </c>
      <c r="Q30" s="430">
        <f>Q28+P30</f>
        <v>74400</v>
      </c>
      <c r="R30" s="353">
        <f>IFERROR(VLOOKUP(D30,ODME_Validation!A:C,3,FALSE),IFERROR(VLOOKUP(E30,ODME_Validation!A:C,3,FALSE),""))+IFERROR(VLOOKUP(J30,ODME_Validation!A:C,3,FALSE),IFERROR(VLOOKUP(I30,ODME_Validation!A:C,3,FALSE),""))</f>
        <v>7863.1</v>
      </c>
      <c r="S30" s="310"/>
      <c r="T30" s="313">
        <v>7300</v>
      </c>
      <c r="U30" s="283">
        <v>7500</v>
      </c>
      <c r="V30" s="372">
        <f>TRENDS!P30</f>
        <v>7300</v>
      </c>
      <c r="W30" s="314">
        <f>TRENDS!AD30</f>
        <v>9800</v>
      </c>
      <c r="X30" s="315">
        <f t="shared" ref="X30:X39" si="5">(((U30/T30))^(1/($U$6-$T$6)))-1</f>
        <v>2.7397260273972712E-2</v>
      </c>
      <c r="Y30" s="315">
        <f t="shared" ref="Y30:Y39" si="6">(((W30/U30))^(1/($W$6-$U$6)))-1</f>
        <v>2.0788467241478203E-2</v>
      </c>
      <c r="Z30" s="322">
        <f t="shared" ref="Z30:Z39" si="7">W30</f>
        <v>9800</v>
      </c>
      <c r="AA30" s="317">
        <f t="shared" ref="AA30:AA39" si="8">(((Z30/U30))^(1/($Z$6-$U$6)))-1</f>
        <v>2.0788467241478203E-2</v>
      </c>
      <c r="AB30" s="353">
        <f>IFERROR(VLOOKUP(D30,ODME_Validation!A:E,5,FALSE),IFERROR(VLOOKUP(E30,ODME_Validation!A:E,5,FALSE),""))+IFERROR(VLOOKUP(J30,ODME_Validation!A:E,5,FALSE),IFERROR(VLOOKUP(I30,ODME_Validation!A:E,5,FALSE),""))</f>
        <v>11489.75</v>
      </c>
      <c r="AC30" s="310"/>
      <c r="AD30" s="410"/>
      <c r="AE30" s="310"/>
      <c r="AF30" s="171"/>
      <c r="AG30" s="171"/>
    </row>
    <row r="31" spans="1:33" s="125" customFormat="1" ht="15.95" customHeight="1" x14ac:dyDescent="0.25">
      <c r="A31" s="304"/>
      <c r="B31" s="127"/>
      <c r="C31" s="127"/>
      <c r="D31" s="256"/>
      <c r="E31" s="286">
        <v>27</v>
      </c>
      <c r="F31" s="258"/>
      <c r="G31" s="259"/>
      <c r="H31" s="257"/>
      <c r="I31" s="287">
        <v>28</v>
      </c>
      <c r="J31" s="260"/>
      <c r="K31" s="260"/>
      <c r="L31" s="354">
        <v>62900</v>
      </c>
      <c r="M31" s="132">
        <v>65200</v>
      </c>
      <c r="N31" s="124">
        <v>70600</v>
      </c>
      <c r="O31" s="124">
        <v>72500</v>
      </c>
      <c r="P31" s="355">
        <v>74400</v>
      </c>
      <c r="Q31" s="355">
        <v>74400</v>
      </c>
      <c r="R31" s="356">
        <f>IFERROR(VLOOKUP(D31,ODME_Validation!A:C,3,FALSE),IFERROR(VLOOKUP(E31,ODME_Validation!A:C,3,FALSE),""))+IFERROR(VLOOKUP(J31,ODME_Validation!A:C,3,FALSE),IFERROR(VLOOKUP(I31,ODME_Validation!A:C,3,FALSE),""))</f>
        <v>71706.589840000001</v>
      </c>
      <c r="S31" s="311">
        <f>R31/P31-1</f>
        <v>-3.620174946236554E-2</v>
      </c>
      <c r="T31" s="123">
        <v>86600</v>
      </c>
      <c r="U31" s="124">
        <v>88900</v>
      </c>
      <c r="V31" s="374">
        <f>TRENDS!P31</f>
        <v>91300</v>
      </c>
      <c r="W31" s="379">
        <f>TRENDS!AD31</f>
        <v>122700</v>
      </c>
      <c r="X31" s="108">
        <f t="shared" si="5"/>
        <v>2.6558891454965261E-2</v>
      </c>
      <c r="Y31" s="108">
        <f t="shared" si="6"/>
        <v>2.5096689303208741E-2</v>
      </c>
      <c r="Z31" s="355">
        <f t="shared" si="7"/>
        <v>122700</v>
      </c>
      <c r="AA31" s="216">
        <f t="shared" si="8"/>
        <v>2.5096689303208741E-2</v>
      </c>
      <c r="AB31" s="356">
        <f>IFERROR(VLOOKUP(D31,ODME_Validation!A:E,5,FALSE),IFERROR(VLOOKUP(E31,ODME_Validation!A:E,5,FALSE),""))+IFERROR(VLOOKUP(J31,ODME_Validation!A:E,5,FALSE),IFERROR(VLOOKUP(I31,ODME_Validation!A:E,5,FALSE),""))</f>
        <v>115742.66016</v>
      </c>
      <c r="AC31" s="311"/>
      <c r="AD31" s="409">
        <v>7000</v>
      </c>
      <c r="AE31" s="311"/>
      <c r="AF31" s="407">
        <f>P31*13%/2</f>
        <v>4836</v>
      </c>
      <c r="AG31" s="407"/>
    </row>
    <row r="32" spans="1:33" ht="15.95" customHeight="1" thickBot="1" x14ac:dyDescent="0.3">
      <c r="A32" s="167" t="s">
        <v>18</v>
      </c>
      <c r="B32" s="45"/>
      <c r="C32" s="45"/>
      <c r="D32" s="302"/>
      <c r="E32" s="243"/>
      <c r="F32" s="244"/>
      <c r="G32" s="245"/>
      <c r="H32" s="246"/>
      <c r="I32" s="247"/>
      <c r="J32" s="248"/>
      <c r="K32" s="230"/>
      <c r="L32" s="352">
        <v>6200</v>
      </c>
      <c r="M32" s="319">
        <v>6300</v>
      </c>
      <c r="N32" s="319">
        <v>7100</v>
      </c>
      <c r="O32" s="319">
        <v>7300</v>
      </c>
      <c r="P32" s="428"/>
      <c r="Q32" s="322"/>
      <c r="R32" s="353" t="e">
        <f>IFERROR(VLOOKUP(D32,ODME_Validation!A:C,3,FALSE),IFERROR(VLOOKUP(E32,ODME_Validation!A:C,3,FALSE),""))+IFERROR(VLOOKUP(J32,ODME_Validation!A:C,3,FALSE),IFERROR(VLOOKUP(I32,ODME_Validation!A:C,3,FALSE),""))</f>
        <v>#VALUE!</v>
      </c>
      <c r="S32" s="312"/>
      <c r="T32" s="313">
        <v>8700</v>
      </c>
      <c r="U32" s="283">
        <v>8900</v>
      </c>
      <c r="V32" s="372">
        <f>TRENDS!P32</f>
        <v>13400</v>
      </c>
      <c r="W32" s="314">
        <f>TRENDS!AD32</f>
        <v>22000</v>
      </c>
      <c r="X32" s="315">
        <f t="shared" si="5"/>
        <v>2.2988505747126409E-2</v>
      </c>
      <c r="Y32" s="315">
        <f t="shared" si="6"/>
        <v>7.2095029770722574E-2</v>
      </c>
      <c r="Z32" s="322">
        <f t="shared" si="7"/>
        <v>22000</v>
      </c>
      <c r="AA32" s="317">
        <f t="shared" si="8"/>
        <v>7.2095029770722574E-2</v>
      </c>
      <c r="AB32" s="353" t="e">
        <f>IFERROR(VLOOKUP(D32,ODME_Validation!A:E,5,FALSE),IFERROR(VLOOKUP(E32,ODME_Validation!A:E,5,FALSE),""))+IFERROR(VLOOKUP(J32,ODME_Validation!A:E,5,FALSE),IFERROR(VLOOKUP(I32,ODME_Validation!A:E,5,FALSE),""))</f>
        <v>#VALUE!</v>
      </c>
      <c r="AC32" s="312"/>
      <c r="AD32" s="312"/>
      <c r="AE32" s="312"/>
      <c r="AF32" s="171"/>
      <c r="AG32" s="171"/>
    </row>
    <row r="33" spans="1:33" ht="15.95" customHeight="1" thickTop="1" x14ac:dyDescent="0.25">
      <c r="A33" s="167"/>
      <c r="B33" s="45">
        <v>0.53</v>
      </c>
      <c r="C33" s="45">
        <v>0.79</v>
      </c>
      <c r="D33" s="431">
        <v>31</v>
      </c>
      <c r="E33" s="233"/>
      <c r="F33" s="249"/>
      <c r="G33" s="250"/>
      <c r="H33" s="234"/>
      <c r="I33" s="228"/>
      <c r="J33" s="432">
        <v>32</v>
      </c>
      <c r="K33" s="251"/>
      <c r="L33" s="352">
        <v>14800</v>
      </c>
      <c r="M33" s="319">
        <v>15400</v>
      </c>
      <c r="N33" s="319">
        <v>17400</v>
      </c>
      <c r="O33" s="319">
        <v>17900</v>
      </c>
      <c r="P33" s="429">
        <v>18400</v>
      </c>
      <c r="Q33" s="430">
        <f>Q31</f>
        <v>74400</v>
      </c>
      <c r="R33" s="353">
        <f>IFERROR(VLOOKUP(D33,ODME_Validation!A:C,3,FALSE),IFERROR(VLOOKUP(E33,ODME_Validation!A:C,3,FALSE),""))+IFERROR(VLOOKUP(J33,ODME_Validation!A:C,3,FALSE),IFERROR(VLOOKUP(I33,ODME_Validation!A:C,3,FALSE),""))</f>
        <v>14269.11</v>
      </c>
      <c r="S33" s="312"/>
      <c r="T33" s="313">
        <v>21700</v>
      </c>
      <c r="U33" s="283">
        <v>22300</v>
      </c>
      <c r="V33" s="372">
        <f>TRENDS!P33</f>
        <v>21700</v>
      </c>
      <c r="W33" s="314">
        <f>TRENDS!AD33</f>
        <v>27800</v>
      </c>
      <c r="X33" s="315">
        <f t="shared" si="5"/>
        <v>2.7649769585253559E-2</v>
      </c>
      <c r="Y33" s="315">
        <f t="shared" si="6"/>
        <v>1.7102238701226957E-2</v>
      </c>
      <c r="Z33" s="322">
        <f t="shared" si="7"/>
        <v>27800</v>
      </c>
      <c r="AA33" s="317">
        <f t="shared" si="8"/>
        <v>1.7102238701226957E-2</v>
      </c>
      <c r="AB33" s="353">
        <f>IFERROR(VLOOKUP(D33,ODME_Validation!A:E,5,FALSE),IFERROR(VLOOKUP(E33,ODME_Validation!A:E,5,FALSE),""))+IFERROR(VLOOKUP(J33,ODME_Validation!A:E,5,FALSE),IFERROR(VLOOKUP(I33,ODME_Validation!A:E,5,FALSE),""))</f>
        <v>16646.690000000002</v>
      </c>
      <c r="AC33" s="312"/>
      <c r="AD33" s="312"/>
      <c r="AE33" s="312"/>
      <c r="AF33" s="171"/>
      <c r="AG33" s="171"/>
    </row>
    <row r="34" spans="1:33" s="125" customFormat="1" ht="15.95" customHeight="1" x14ac:dyDescent="0.25">
      <c r="A34" s="240"/>
      <c r="B34" s="127"/>
      <c r="C34" s="127"/>
      <c r="D34" s="268"/>
      <c r="E34" s="269">
        <v>33</v>
      </c>
      <c r="F34" s="278"/>
      <c r="G34" s="288"/>
      <c r="H34" s="289"/>
      <c r="I34" s="272">
        <v>34</v>
      </c>
      <c r="J34" s="272"/>
      <c r="K34" s="272"/>
      <c r="L34" s="354">
        <v>71500</v>
      </c>
      <c r="M34" s="132">
        <v>74300</v>
      </c>
      <c r="N34" s="124">
        <v>80900</v>
      </c>
      <c r="O34" s="124">
        <v>83100</v>
      </c>
      <c r="P34" s="355">
        <v>85300</v>
      </c>
      <c r="Q34" s="355">
        <v>85300</v>
      </c>
      <c r="R34" s="356">
        <f>IFERROR(VLOOKUP(D34,ODME_Validation!A:C,3,FALSE),IFERROR(VLOOKUP(E34,ODME_Validation!A:C,3,FALSE),""))+IFERROR(VLOOKUP(J34,ODME_Validation!A:C,3,FALSE),IFERROR(VLOOKUP(I34,ODME_Validation!A:C,3,FALSE),""))</f>
        <v>85975.69922000001</v>
      </c>
      <c r="S34" s="309">
        <f>R34/P34-1</f>
        <v>7.9214445486519569E-3</v>
      </c>
      <c r="T34" s="123">
        <v>99600</v>
      </c>
      <c r="U34" s="124">
        <v>102300</v>
      </c>
      <c r="V34" s="374">
        <f>TRENDS!P34</f>
        <v>99600</v>
      </c>
      <c r="W34" s="379">
        <f>TRENDS!AD34</f>
        <v>128500</v>
      </c>
      <c r="X34" s="108">
        <f t="shared" si="5"/>
        <v>2.7108433734939652E-2</v>
      </c>
      <c r="Y34" s="108">
        <f t="shared" si="6"/>
        <v>1.7694668954793658E-2</v>
      </c>
      <c r="Z34" s="355">
        <f t="shared" si="7"/>
        <v>128500</v>
      </c>
      <c r="AA34" s="216">
        <f t="shared" si="8"/>
        <v>1.7694668954793658E-2</v>
      </c>
      <c r="AB34" s="356">
        <f>IFERROR(VLOOKUP(D34,ODME_Validation!A:E,5,FALSE),IFERROR(VLOOKUP(E34,ODME_Validation!A:E,5,FALSE),""))+IFERROR(VLOOKUP(J34,ODME_Validation!A:E,5,FALSE),IFERROR(VLOOKUP(I34,ODME_Validation!A:E,5,FALSE),""))</f>
        <v>132389.35157</v>
      </c>
      <c r="AC34" s="309"/>
      <c r="AD34" s="309"/>
      <c r="AE34" s="309"/>
      <c r="AF34" s="407"/>
      <c r="AG34" s="407"/>
    </row>
    <row r="35" spans="1:33" ht="15.95" customHeight="1" thickBot="1" x14ac:dyDescent="0.3">
      <c r="A35" s="167" t="s">
        <v>19</v>
      </c>
      <c r="B35" s="45"/>
      <c r="C35" s="45"/>
      <c r="D35" s="242">
        <v>35</v>
      </c>
      <c r="E35" s="243"/>
      <c r="F35" s="244"/>
      <c r="G35" s="242"/>
      <c r="H35" s="246"/>
      <c r="I35" s="247"/>
      <c r="J35" s="248">
        <v>36</v>
      </c>
      <c r="K35" s="230"/>
      <c r="L35" s="352">
        <v>8800</v>
      </c>
      <c r="M35" s="319">
        <v>9000</v>
      </c>
      <c r="N35" s="319">
        <v>10200</v>
      </c>
      <c r="O35" s="319">
        <v>10500</v>
      </c>
      <c r="P35" s="428">
        <v>10700</v>
      </c>
      <c r="Q35" s="322">
        <f>Q34-P35</f>
        <v>74600</v>
      </c>
      <c r="R35" s="353">
        <f>IFERROR(VLOOKUP(D35,ODME_Validation!A:C,3,FALSE),IFERROR(VLOOKUP(E35,ODME_Validation!A:C,3,FALSE),""))+IFERROR(VLOOKUP(J35,ODME_Validation!A:C,3,FALSE),IFERROR(VLOOKUP(I35,ODME_Validation!A:C,3,FALSE),""))</f>
        <v>10953.12016</v>
      </c>
      <c r="S35" s="171"/>
      <c r="T35" s="313">
        <v>12000</v>
      </c>
      <c r="U35" s="283">
        <v>12200</v>
      </c>
      <c r="V35" s="372">
        <f>TRENDS!P35</f>
        <v>13300</v>
      </c>
      <c r="W35" s="314">
        <f>TRENDS!AD35</f>
        <v>17600</v>
      </c>
      <c r="X35" s="315">
        <f t="shared" si="5"/>
        <v>1.6666666666666607E-2</v>
      </c>
      <c r="Y35" s="315">
        <f t="shared" si="6"/>
        <v>2.8590540376593365E-2</v>
      </c>
      <c r="Z35" s="322">
        <f t="shared" si="7"/>
        <v>17600</v>
      </c>
      <c r="AA35" s="317">
        <f t="shared" si="8"/>
        <v>2.8590540376593365E-2</v>
      </c>
      <c r="AB35" s="353">
        <f>IFERROR(VLOOKUP(D35,ODME_Validation!A:E,5,FALSE),IFERROR(VLOOKUP(E35,ODME_Validation!A:E,5,FALSE),""))+IFERROR(VLOOKUP(J35,ODME_Validation!A:E,5,FALSE),IFERROR(VLOOKUP(I35,ODME_Validation!A:E,5,FALSE),""))</f>
        <v>18973.07863</v>
      </c>
      <c r="AC35" s="171"/>
      <c r="AD35" s="171"/>
      <c r="AE35" s="171"/>
      <c r="AF35" s="171"/>
      <c r="AG35" s="171"/>
    </row>
    <row r="36" spans="1:33" ht="15.95" customHeight="1" thickTop="1" x14ac:dyDescent="0.25">
      <c r="A36" s="167"/>
      <c r="B36" s="45">
        <v>0.26</v>
      </c>
      <c r="C36" s="45">
        <v>0.53</v>
      </c>
      <c r="D36" s="411">
        <v>37</v>
      </c>
      <c r="E36" s="233"/>
      <c r="F36" s="249"/>
      <c r="G36" s="226"/>
      <c r="H36" s="234"/>
      <c r="I36" s="228"/>
      <c r="J36" s="251">
        <v>38</v>
      </c>
      <c r="K36" s="251"/>
      <c r="L36" s="352">
        <v>7300</v>
      </c>
      <c r="M36" s="319">
        <v>7600</v>
      </c>
      <c r="N36" s="319">
        <v>8600</v>
      </c>
      <c r="O36" s="319">
        <v>8800</v>
      </c>
      <c r="P36" s="429">
        <v>9000</v>
      </c>
      <c r="Q36" s="430">
        <f>Q35</f>
        <v>74600</v>
      </c>
      <c r="R36" s="353">
        <f>IFERROR(VLOOKUP(D36,ODME_Validation!A:C,3,FALSE),IFERROR(VLOOKUP(E36,ODME_Validation!A:C,3,FALSE),""))+IFERROR(VLOOKUP(J36,ODME_Validation!A:C,3,FALSE),IFERROR(VLOOKUP(I36,ODME_Validation!A:C,3,FALSE),""))</f>
        <v>8746.4560600000004</v>
      </c>
      <c r="S36" s="171"/>
      <c r="T36" s="313">
        <v>10500</v>
      </c>
      <c r="U36" s="283">
        <v>10800</v>
      </c>
      <c r="V36" s="372">
        <f>TRENDS!P36</f>
        <v>12000</v>
      </c>
      <c r="W36" s="314">
        <f>TRENDS!AD36</f>
        <v>17700</v>
      </c>
      <c r="X36" s="315">
        <f t="shared" si="5"/>
        <v>2.857142857142847E-2</v>
      </c>
      <c r="Y36" s="315">
        <f t="shared" si="6"/>
        <v>3.8732711509433804E-2</v>
      </c>
      <c r="Z36" s="322">
        <f t="shared" si="7"/>
        <v>17700</v>
      </c>
      <c r="AA36" s="317">
        <f t="shared" si="8"/>
        <v>3.8732711509433804E-2</v>
      </c>
      <c r="AB36" s="353">
        <f>IFERROR(VLOOKUP(D36,ODME_Validation!A:E,5,FALSE),IFERROR(VLOOKUP(E36,ODME_Validation!A:E,5,FALSE),""))+IFERROR(VLOOKUP(J36,ODME_Validation!A:E,5,FALSE),IFERROR(VLOOKUP(I36,ODME_Validation!A:E,5,FALSE),""))</f>
        <v>16324.12256</v>
      </c>
      <c r="AC36" s="171"/>
      <c r="AD36" s="171"/>
      <c r="AE36" s="171"/>
      <c r="AF36" s="171"/>
      <c r="AG36" s="171"/>
    </row>
    <row r="37" spans="1:33" s="125" customFormat="1" ht="15.95" customHeight="1" x14ac:dyDescent="0.25">
      <c r="A37" s="240"/>
      <c r="B37" s="133"/>
      <c r="C37" s="133"/>
      <c r="D37" s="268"/>
      <c r="E37" s="269">
        <v>39</v>
      </c>
      <c r="F37" s="278"/>
      <c r="G37" s="268"/>
      <c r="H37" s="269"/>
      <c r="I37" s="272">
        <v>40</v>
      </c>
      <c r="J37" s="272"/>
      <c r="K37" s="272"/>
      <c r="L37" s="354">
        <v>70000</v>
      </c>
      <c r="M37" s="132">
        <v>72900</v>
      </c>
      <c r="N37" s="124">
        <v>79300</v>
      </c>
      <c r="O37" s="124">
        <v>81400</v>
      </c>
      <c r="P37" s="355">
        <v>83600</v>
      </c>
      <c r="Q37" s="355">
        <v>83600</v>
      </c>
      <c r="R37" s="356">
        <f>IFERROR(VLOOKUP(D37,ODME_Validation!A:C,3,FALSE),IFERROR(VLOOKUP(E37,ODME_Validation!A:C,3,FALSE),""))+IFERROR(VLOOKUP(J37,ODME_Validation!A:C,3,FALSE),IFERROR(VLOOKUP(I37,ODME_Validation!A:C,3,FALSE),""))</f>
        <v>83769.035159999999</v>
      </c>
      <c r="S37" s="309">
        <f>R37/P37-1</f>
        <v>2.0219516746411426E-3</v>
      </c>
      <c r="T37" s="123">
        <v>98100</v>
      </c>
      <c r="U37" s="124">
        <v>100900</v>
      </c>
      <c r="V37" s="374">
        <f>TRENDS!P37</f>
        <v>98300</v>
      </c>
      <c r="W37" s="379">
        <f>TRENDS!AD37</f>
        <v>128600</v>
      </c>
      <c r="X37" s="108">
        <f t="shared" si="5"/>
        <v>2.854230377166167E-2</v>
      </c>
      <c r="Y37" s="108">
        <f t="shared" si="6"/>
        <v>1.8834941586767684E-2</v>
      </c>
      <c r="Z37" s="355">
        <f t="shared" si="7"/>
        <v>128600</v>
      </c>
      <c r="AA37" s="216">
        <f t="shared" si="8"/>
        <v>1.8834941586767684E-2</v>
      </c>
      <c r="AB37" s="356">
        <f>IFERROR(VLOOKUP(D37,ODME_Validation!A:E,5,FALSE),IFERROR(VLOOKUP(E37,ODME_Validation!A:E,5,FALSE),""))+IFERROR(VLOOKUP(J37,ODME_Validation!A:E,5,FALSE),IFERROR(VLOOKUP(I37,ODME_Validation!A:E,5,FALSE),""))</f>
        <v>129740.39452999999</v>
      </c>
      <c r="AC37" s="309"/>
      <c r="AD37" s="309"/>
      <c r="AE37" s="309"/>
      <c r="AF37" s="407"/>
      <c r="AG37" s="407"/>
    </row>
    <row r="38" spans="1:33" ht="15.95" customHeight="1" thickBot="1" x14ac:dyDescent="0.3">
      <c r="A38" s="167" t="s">
        <v>20</v>
      </c>
      <c r="B38" s="33"/>
      <c r="C38" s="33"/>
      <c r="D38" s="242">
        <v>41</v>
      </c>
      <c r="E38" s="243"/>
      <c r="F38" s="244"/>
      <c r="G38" s="242"/>
      <c r="H38" s="246"/>
      <c r="I38" s="247"/>
      <c r="J38" s="248">
        <v>42</v>
      </c>
      <c r="K38" s="230"/>
      <c r="L38" s="352">
        <v>3000</v>
      </c>
      <c r="M38" s="319">
        <v>3100</v>
      </c>
      <c r="N38" s="319">
        <v>3500</v>
      </c>
      <c r="O38" s="319">
        <v>3600</v>
      </c>
      <c r="P38" s="428">
        <v>3700</v>
      </c>
      <c r="Q38" s="322">
        <f>Q37-P38</f>
        <v>79900</v>
      </c>
      <c r="R38" s="353">
        <f>IFERROR(VLOOKUP(D38,ODME_Validation!A:C,3,FALSE),IFERROR(VLOOKUP(E38,ODME_Validation!A:C,3,FALSE),""))+IFERROR(VLOOKUP(J38,ODME_Validation!A:C,3,FALSE),IFERROR(VLOOKUP(I38,ODME_Validation!A:C,3,FALSE),""))</f>
        <v>3782.0052500000002</v>
      </c>
      <c r="S38" s="171"/>
      <c r="T38" s="313">
        <v>4300</v>
      </c>
      <c r="U38" s="283">
        <v>4400</v>
      </c>
      <c r="V38" s="372">
        <f>TRENDS!P38</f>
        <v>4500</v>
      </c>
      <c r="W38" s="314">
        <f>TRENDS!AD38</f>
        <v>5900</v>
      </c>
      <c r="X38" s="315">
        <f t="shared" si="5"/>
        <v>2.3255813953488413E-2</v>
      </c>
      <c r="Y38" s="315">
        <f t="shared" si="6"/>
        <v>2.2821736488125133E-2</v>
      </c>
      <c r="Z38" s="322">
        <f t="shared" si="7"/>
        <v>5900</v>
      </c>
      <c r="AA38" s="317">
        <f t="shared" si="8"/>
        <v>2.2821736488125133E-2</v>
      </c>
      <c r="AB38" s="353">
        <f>IFERROR(VLOOKUP(D38,ODME_Validation!A:E,5,FALSE),IFERROR(VLOOKUP(E38,ODME_Validation!A:E,5,FALSE),""))+IFERROR(VLOOKUP(J38,ODME_Validation!A:E,5,FALSE),IFERROR(VLOOKUP(I38,ODME_Validation!A:E,5,FALSE),""))</f>
        <v>6137.66309</v>
      </c>
      <c r="AC38" s="171"/>
      <c r="AD38" s="171"/>
      <c r="AE38" s="171"/>
      <c r="AF38" s="171"/>
      <c r="AG38" s="171"/>
    </row>
    <row r="39" spans="1:33" s="125" customFormat="1" ht="15.95" customHeight="1" thickTop="1" thickBot="1" x14ac:dyDescent="0.3">
      <c r="A39" s="240"/>
      <c r="B39" s="140"/>
      <c r="C39" s="140"/>
      <c r="D39" s="268"/>
      <c r="E39" s="269">
        <v>43</v>
      </c>
      <c r="F39" s="290"/>
      <c r="G39" s="291"/>
      <c r="H39" s="269"/>
      <c r="I39" s="272">
        <v>44</v>
      </c>
      <c r="J39" s="272"/>
      <c r="K39" s="272"/>
      <c r="L39" s="364">
        <v>67000</v>
      </c>
      <c r="M39" s="365">
        <v>69800</v>
      </c>
      <c r="N39" s="366">
        <v>75800</v>
      </c>
      <c r="O39" s="366">
        <v>77800</v>
      </c>
      <c r="P39" s="367">
        <v>79900</v>
      </c>
      <c r="Q39" s="367">
        <v>79900</v>
      </c>
      <c r="R39" s="368">
        <f>IFERROR(VLOOKUP(D39,ODME_Validation!A:C,3,FALSE),IFERROR(VLOOKUP(E39,ODME_Validation!A:C,3,FALSE),""))+IFERROR(VLOOKUP(J39,ODME_Validation!A:C,3,FALSE),IFERROR(VLOOKUP(I39,ODME_Validation!A:C,3,FALSE),""))</f>
        <v>79980.847659999999</v>
      </c>
      <c r="S39" s="309">
        <f>R39/P39-1</f>
        <v>1.0118605757196697E-3</v>
      </c>
      <c r="T39" s="141">
        <v>93800</v>
      </c>
      <c r="U39" s="142">
        <v>96500</v>
      </c>
      <c r="V39" s="376">
        <f>TRENDS!P39</f>
        <v>93800</v>
      </c>
      <c r="W39" s="380">
        <f>TRENDS!AD39</f>
        <v>122700</v>
      </c>
      <c r="X39" s="377">
        <f t="shared" si="5"/>
        <v>2.8784648187633266E-2</v>
      </c>
      <c r="Y39" s="377">
        <f t="shared" si="6"/>
        <v>1.86486261693668E-2</v>
      </c>
      <c r="Z39" s="367">
        <f t="shared" si="7"/>
        <v>122700</v>
      </c>
      <c r="AA39" s="378">
        <f t="shared" si="8"/>
        <v>1.86486261693668E-2</v>
      </c>
      <c r="AB39" s="368">
        <f>IFERROR(VLOOKUP(D39,ODME_Validation!A:E,5,FALSE),IFERROR(VLOOKUP(E39,ODME_Validation!A:E,5,FALSE),""))+IFERROR(VLOOKUP(J39,ODME_Validation!A:E,5,FALSE),IFERROR(VLOOKUP(I39,ODME_Validation!A:E,5,FALSE),""))</f>
        <v>122965.96875</v>
      </c>
      <c r="AC39" s="309"/>
      <c r="AD39" s="309"/>
      <c r="AE39" s="309"/>
      <c r="AF39" s="304"/>
      <c r="AG39" s="304"/>
    </row>
    <row r="40" spans="1:33" s="125" customFormat="1" ht="15.95" customHeight="1" x14ac:dyDescent="0.25">
      <c r="A40" s="240"/>
      <c r="B40" s="126"/>
      <c r="C40" s="126"/>
      <c r="D40" s="293" t="s">
        <v>21</v>
      </c>
      <c r="E40" s="293"/>
      <c r="F40" s="293"/>
      <c r="G40" s="293"/>
      <c r="H40" s="293"/>
      <c r="I40" s="293"/>
      <c r="J40" s="293"/>
      <c r="K40" s="293"/>
      <c r="L40" s="332"/>
      <c r="M40" s="333"/>
      <c r="N40" s="333"/>
      <c r="O40" s="334"/>
      <c r="P40" s="240"/>
      <c r="Q40" s="292"/>
      <c r="R40" s="292"/>
      <c r="S40" s="292"/>
      <c r="T40" s="240"/>
      <c r="U40" s="240"/>
      <c r="V40" s="335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</row>
    <row r="41" spans="1:33" ht="15.95" customHeight="1" x14ac:dyDescent="0.25">
      <c r="A41" s="167"/>
      <c r="B41" s="4"/>
      <c r="C41" s="4"/>
      <c r="D41" s="295" t="s">
        <v>22</v>
      </c>
      <c r="E41" s="295"/>
      <c r="F41" s="295"/>
      <c r="G41" s="295"/>
      <c r="H41" s="295"/>
      <c r="I41" s="295"/>
      <c r="J41" s="295"/>
      <c r="K41" s="295"/>
      <c r="L41" s="336"/>
      <c r="M41" s="337"/>
      <c r="N41" s="167"/>
      <c r="O41" s="167"/>
      <c r="P41" s="167"/>
      <c r="Q41" s="294"/>
      <c r="R41" s="294"/>
      <c r="S41" s="294"/>
      <c r="T41" s="167"/>
      <c r="U41" s="167"/>
      <c r="V41" s="323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</row>
    <row r="42" spans="1:33" ht="15.95" customHeight="1" x14ac:dyDescent="0.25">
      <c r="A42" s="4"/>
      <c r="B42" s="4"/>
      <c r="C42" s="4"/>
      <c r="D42" s="66"/>
      <c r="E42" s="66"/>
      <c r="F42" s="93"/>
      <c r="G42" s="66"/>
      <c r="H42" s="66"/>
      <c r="I42" s="66"/>
      <c r="J42" s="66"/>
      <c r="K42" s="66"/>
      <c r="L42" s="69"/>
      <c r="M42" s="68"/>
      <c r="N42" s="4"/>
      <c r="O42" s="4"/>
      <c r="P42" s="4"/>
      <c r="Q42" s="70"/>
      <c r="R42" s="70"/>
      <c r="S42" s="70"/>
      <c r="T42" s="177" t="s">
        <v>42</v>
      </c>
      <c r="U42" s="5"/>
      <c r="V42" s="95"/>
    </row>
    <row r="43" spans="1:33" ht="15.95" customHeight="1" x14ac:dyDescent="0.25">
      <c r="A43" s="71" t="s">
        <v>23</v>
      </c>
      <c r="B43" s="4"/>
      <c r="C43" s="4"/>
      <c r="D43" s="72"/>
      <c r="E43" s="94"/>
      <c r="F43" s="51"/>
      <c r="G43" s="25"/>
      <c r="H43" s="25"/>
      <c r="I43" s="25"/>
      <c r="J43" s="25"/>
      <c r="K43" s="25"/>
      <c r="L43" s="4"/>
      <c r="M43" s="4"/>
      <c r="N43" s="4"/>
      <c r="O43" s="4"/>
      <c r="P43" s="4"/>
      <c r="Q43" s="73"/>
      <c r="R43" s="73"/>
      <c r="S43" s="73"/>
      <c r="T43" s="5"/>
      <c r="U43" s="5"/>
      <c r="V43" s="95"/>
    </row>
    <row r="44" spans="1:33" ht="15.95" customHeight="1" x14ac:dyDescent="0.25">
      <c r="A44" s="74" t="s">
        <v>24</v>
      </c>
      <c r="B44" s="75"/>
      <c r="C44" s="75"/>
      <c r="D44" s="76"/>
      <c r="E44" s="76"/>
      <c r="L44" s="57"/>
      <c r="M44" s="57"/>
      <c r="N44" s="57"/>
      <c r="O44" s="57"/>
      <c r="P44" s="57"/>
      <c r="Q44" s="54"/>
      <c r="R44" s="54"/>
      <c r="S44" s="54"/>
      <c r="T44" s="54"/>
      <c r="U44" s="54"/>
    </row>
    <row r="45" spans="1:33" ht="15.95" customHeight="1" x14ac:dyDescent="0.25">
      <c r="A45" s="78" t="s">
        <v>25</v>
      </c>
      <c r="T45" s="5"/>
      <c r="U45" s="5"/>
      <c r="V45" s="95"/>
    </row>
    <row r="46" spans="1:33" ht="15.95" customHeight="1" x14ac:dyDescent="0.25">
      <c r="E46" s="34"/>
      <c r="T46" s="5"/>
      <c r="U46" s="5"/>
      <c r="V46" s="95"/>
    </row>
    <row r="47" spans="1:33" ht="15.95" customHeight="1" x14ac:dyDescent="0.25">
      <c r="T47" s="5"/>
      <c r="U47" s="5"/>
      <c r="V47" s="95"/>
    </row>
    <row r="48" spans="1:33" ht="15.95" customHeight="1" x14ac:dyDescent="0.25">
      <c r="T48" s="5"/>
      <c r="U48" s="5"/>
      <c r="V48" s="95"/>
    </row>
    <row r="49" spans="20:22" ht="15.95" customHeight="1" x14ac:dyDescent="0.25">
      <c r="T49" s="5"/>
      <c r="U49" s="5"/>
      <c r="V49" s="95"/>
    </row>
    <row r="50" spans="20:22" ht="15.95" customHeight="1" x14ac:dyDescent="0.25">
      <c r="T50" s="5"/>
      <c r="U50" s="5"/>
      <c r="V50" s="95"/>
    </row>
    <row r="51" spans="20:22" ht="15.95" customHeight="1" x14ac:dyDescent="0.25">
      <c r="T51" s="5"/>
      <c r="U51" s="5"/>
      <c r="V51" s="95"/>
    </row>
    <row r="52" spans="20:22" ht="15.95" customHeight="1" x14ac:dyDescent="0.25">
      <c r="T52" s="5"/>
      <c r="U52" s="5"/>
      <c r="V52" s="95"/>
    </row>
    <row r="53" spans="20:22" ht="15.95" customHeight="1" x14ac:dyDescent="0.25">
      <c r="T53" s="5"/>
      <c r="U53" s="5"/>
      <c r="V53" s="95"/>
    </row>
    <row r="54" spans="20:22" ht="15.95" customHeight="1" x14ac:dyDescent="0.25">
      <c r="T54" s="5"/>
      <c r="U54" s="5"/>
      <c r="V54" s="95"/>
    </row>
    <row r="55" spans="20:22" ht="15.95" customHeight="1" x14ac:dyDescent="0.25">
      <c r="T55" s="5"/>
      <c r="U55" s="5"/>
      <c r="V55" s="95"/>
    </row>
    <row r="56" spans="20:22" ht="15.95" customHeight="1" x14ac:dyDescent="0.25">
      <c r="T56" s="13"/>
      <c r="U56" s="13"/>
      <c r="V56" s="97"/>
    </row>
    <row r="57" spans="20:22" ht="15.95" customHeight="1" x14ac:dyDescent="0.25">
      <c r="T57" s="5"/>
      <c r="U57" s="5"/>
      <c r="V57" s="95"/>
    </row>
    <row r="58" spans="20:22" ht="15.95" customHeight="1" x14ac:dyDescent="0.25">
      <c r="T58" s="5"/>
      <c r="U58" s="5"/>
      <c r="V58" s="95"/>
    </row>
    <row r="59" spans="20:22" ht="15.95" customHeight="1" x14ac:dyDescent="0.25">
      <c r="T59" s="5"/>
      <c r="U59" s="5"/>
      <c r="V59" s="95"/>
    </row>
    <row r="60" spans="20:22" ht="15.95" customHeight="1" x14ac:dyDescent="0.25">
      <c r="T60" s="5"/>
      <c r="U60" s="5"/>
      <c r="V60" s="95"/>
    </row>
    <row r="61" spans="20:22" ht="15.95" customHeight="1" x14ac:dyDescent="0.25">
      <c r="T61" s="5"/>
      <c r="U61" s="5"/>
      <c r="V61" s="95"/>
    </row>
    <row r="62" spans="20:22" ht="15.95" customHeight="1" x14ac:dyDescent="0.25">
      <c r="T62" s="5"/>
      <c r="U62" s="5"/>
      <c r="V62" s="95"/>
    </row>
    <row r="63" spans="20:22" ht="15.95" customHeight="1" x14ac:dyDescent="0.25">
      <c r="T63" s="5"/>
      <c r="U63" s="5"/>
      <c r="V63" s="95"/>
    </row>
    <row r="64" spans="20:22" ht="15.95" customHeight="1" x14ac:dyDescent="0.25">
      <c r="T64" s="5"/>
      <c r="U64" s="5"/>
      <c r="V64" s="95"/>
    </row>
    <row r="65" spans="20:22" ht="15.95" customHeight="1" x14ac:dyDescent="0.25">
      <c r="T65" s="5"/>
      <c r="U65" s="5"/>
      <c r="V65" s="95"/>
    </row>
    <row r="66" spans="20:22" ht="15.95" customHeight="1" x14ac:dyDescent="0.25">
      <c r="T66" s="5"/>
      <c r="U66" s="5"/>
      <c r="V66" s="95"/>
    </row>
    <row r="67" spans="20:22" ht="15.95" customHeight="1" x14ac:dyDescent="0.25">
      <c r="T67" s="5"/>
      <c r="U67" s="5"/>
      <c r="V67" s="95"/>
    </row>
    <row r="68" spans="20:22" ht="15.95" customHeight="1" x14ac:dyDescent="0.25">
      <c r="T68" s="5"/>
      <c r="U68" s="5"/>
      <c r="V68" s="95"/>
    </row>
    <row r="69" spans="20:22" ht="15.95" customHeight="1" x14ac:dyDescent="0.25">
      <c r="T69" s="5"/>
      <c r="U69" s="5"/>
      <c r="V69" s="95"/>
    </row>
    <row r="70" spans="20:22" ht="15.95" customHeight="1" x14ac:dyDescent="0.25">
      <c r="T70" s="5"/>
      <c r="U70" s="5"/>
      <c r="V70" s="95"/>
    </row>
    <row r="71" spans="20:22" ht="15.95" customHeight="1" x14ac:dyDescent="0.25">
      <c r="T71" s="5"/>
      <c r="U71" s="5"/>
      <c r="V71" s="95"/>
    </row>
    <row r="72" spans="20:22" ht="15.95" customHeight="1" x14ac:dyDescent="0.25">
      <c r="T72" s="5"/>
      <c r="U72" s="5"/>
      <c r="V72" s="95"/>
    </row>
    <row r="73" spans="20:22" ht="15.95" customHeight="1" x14ac:dyDescent="0.25">
      <c r="T73" s="5"/>
      <c r="U73" s="5"/>
      <c r="V73" s="95"/>
    </row>
    <row r="74" spans="20:22" ht="15.95" customHeight="1" x14ac:dyDescent="0.25">
      <c r="T74" s="5"/>
      <c r="U74" s="5"/>
      <c r="V74" s="95"/>
    </row>
    <row r="75" spans="20:22" ht="15.95" customHeight="1" x14ac:dyDescent="0.25">
      <c r="T75" s="5"/>
      <c r="U75" s="5"/>
      <c r="V75" s="95"/>
    </row>
    <row r="76" spans="20:22" ht="15.95" customHeight="1" x14ac:dyDescent="0.25">
      <c r="T76" s="5"/>
      <c r="U76" s="5"/>
      <c r="V76" s="95"/>
    </row>
    <row r="77" spans="20:22" ht="15.95" customHeight="1" x14ac:dyDescent="0.25">
      <c r="T77" s="5"/>
      <c r="U77" s="5"/>
      <c r="V77" s="95"/>
    </row>
    <row r="78" spans="20:22" ht="15.95" customHeight="1" x14ac:dyDescent="0.25">
      <c r="T78" s="5"/>
      <c r="U78" s="5"/>
      <c r="V78" s="95"/>
    </row>
    <row r="79" spans="20:22" ht="15.95" customHeight="1" x14ac:dyDescent="0.25">
      <c r="T79" s="5"/>
      <c r="U79" s="5"/>
      <c r="V79" s="95"/>
    </row>
    <row r="80" spans="20:22" ht="15.95" customHeight="1" x14ac:dyDescent="0.25">
      <c r="T80" s="5"/>
      <c r="U80" s="5"/>
      <c r="V80" s="95"/>
    </row>
    <row r="81" spans="20:22" ht="15.95" customHeight="1" x14ac:dyDescent="0.25">
      <c r="T81" s="5"/>
      <c r="U81" s="5"/>
      <c r="V81" s="95"/>
    </row>
    <row r="82" spans="20:22" ht="15.95" customHeight="1" x14ac:dyDescent="0.25">
      <c r="T82" s="5"/>
      <c r="U82" s="5"/>
      <c r="V82" s="95"/>
    </row>
    <row r="83" spans="20:22" ht="15.95" customHeight="1" x14ac:dyDescent="0.25">
      <c r="T83" s="5"/>
      <c r="U83" s="5"/>
      <c r="V83" s="95"/>
    </row>
    <row r="84" spans="20:22" ht="15.95" customHeight="1" x14ac:dyDescent="0.25">
      <c r="T84" s="5"/>
      <c r="U84" s="5"/>
      <c r="V84" s="95"/>
    </row>
    <row r="85" spans="20:22" ht="15.95" customHeight="1" x14ac:dyDescent="0.25">
      <c r="T85" s="5"/>
      <c r="U85" s="5"/>
      <c r="V85" s="95"/>
    </row>
    <row r="86" spans="20:22" ht="15.95" customHeight="1" x14ac:dyDescent="0.25">
      <c r="T86" s="5"/>
      <c r="U86" s="5"/>
      <c r="V86" s="95"/>
    </row>
    <row r="87" spans="20:22" ht="15.95" customHeight="1" x14ac:dyDescent="0.25">
      <c r="T87" s="5"/>
      <c r="U87" s="5"/>
      <c r="V87" s="95"/>
    </row>
    <row r="88" spans="20:22" ht="15.95" customHeight="1" x14ac:dyDescent="0.25">
      <c r="T88" s="5"/>
      <c r="U88" s="5"/>
      <c r="V88" s="95"/>
    </row>
    <row r="89" spans="20:22" ht="15.95" customHeight="1" x14ac:dyDescent="0.25">
      <c r="T89" s="5"/>
      <c r="U89" s="5"/>
      <c r="V89" s="95"/>
    </row>
    <row r="90" spans="20:22" ht="15.95" customHeight="1" x14ac:dyDescent="0.25">
      <c r="T90" s="5"/>
      <c r="U90" s="5"/>
      <c r="V90" s="95"/>
    </row>
    <row r="91" spans="20:22" ht="15.95" customHeight="1" x14ac:dyDescent="0.25">
      <c r="T91" s="5"/>
      <c r="U91" s="5"/>
      <c r="V91" s="95"/>
    </row>
    <row r="92" spans="20:22" ht="15.95" customHeight="1" x14ac:dyDescent="0.25">
      <c r="T92" s="5"/>
      <c r="U92" s="5"/>
      <c r="V92" s="95"/>
    </row>
    <row r="93" spans="20:22" ht="15.95" customHeight="1" x14ac:dyDescent="0.25">
      <c r="T93" s="5"/>
      <c r="U93" s="5"/>
      <c r="V93" s="95"/>
    </row>
    <row r="94" spans="20:22" ht="15.95" customHeight="1" x14ac:dyDescent="0.25">
      <c r="T94" s="5"/>
      <c r="U94" s="5"/>
      <c r="V94" s="95"/>
    </row>
    <row r="95" spans="20:22" ht="15.95" customHeight="1" x14ac:dyDescent="0.25">
      <c r="T95" s="5"/>
      <c r="U95" s="5"/>
      <c r="V95" s="95"/>
    </row>
    <row r="96" spans="20:22" ht="15.95" customHeight="1" x14ac:dyDescent="0.25">
      <c r="T96" s="5"/>
      <c r="U96" s="5"/>
      <c r="V96" s="95"/>
    </row>
    <row r="97" spans="20:22" ht="15.95" customHeight="1" x14ac:dyDescent="0.25">
      <c r="T97" s="5"/>
      <c r="U97" s="5"/>
      <c r="V97" s="95"/>
    </row>
    <row r="98" spans="20:22" ht="15.95" customHeight="1" x14ac:dyDescent="0.25">
      <c r="T98" s="5"/>
      <c r="U98" s="5"/>
      <c r="V98" s="95"/>
    </row>
    <row r="99" spans="20:22" ht="15.95" customHeight="1" x14ac:dyDescent="0.25">
      <c r="T99" s="5"/>
      <c r="U99" s="5"/>
      <c r="V99" s="95"/>
    </row>
    <row r="100" spans="20:22" ht="15.95" customHeight="1" x14ac:dyDescent="0.25">
      <c r="T100" s="5"/>
      <c r="U100" s="5"/>
      <c r="V100" s="95"/>
    </row>
    <row r="101" spans="20:22" ht="15.95" customHeight="1" x14ac:dyDescent="0.25">
      <c r="T101" s="5"/>
      <c r="U101" s="5"/>
      <c r="V101" s="95"/>
    </row>
    <row r="102" spans="20:22" ht="15.95" customHeight="1" x14ac:dyDescent="0.25">
      <c r="T102" s="5"/>
      <c r="U102" s="5"/>
      <c r="V102" s="95"/>
    </row>
    <row r="103" spans="20:22" ht="15.95" customHeight="1" x14ac:dyDescent="0.25">
      <c r="T103" s="5"/>
      <c r="U103" s="5"/>
      <c r="V103" s="95"/>
    </row>
    <row r="104" spans="20:22" ht="15.95" customHeight="1" x14ac:dyDescent="0.25">
      <c r="T104" s="5"/>
      <c r="U104" s="5"/>
      <c r="V104" s="95"/>
    </row>
    <row r="105" spans="20:22" ht="15.95" customHeight="1" x14ac:dyDescent="0.25">
      <c r="T105" s="5"/>
      <c r="U105" s="5"/>
      <c r="V105" s="95"/>
    </row>
    <row r="106" spans="20:22" ht="15.95" customHeight="1" x14ac:dyDescent="0.25">
      <c r="T106" s="5"/>
      <c r="U106" s="5"/>
      <c r="V106" s="95"/>
    </row>
    <row r="107" spans="20:22" ht="15.95" customHeight="1" x14ac:dyDescent="0.25">
      <c r="T107" s="5"/>
      <c r="U107" s="5"/>
      <c r="V107" s="95"/>
    </row>
    <row r="108" spans="20:22" ht="15.95" customHeight="1" x14ac:dyDescent="0.25">
      <c r="T108" s="5"/>
      <c r="U108" s="5"/>
      <c r="V108" s="95"/>
    </row>
    <row r="109" spans="20:22" ht="15.95" customHeight="1" x14ac:dyDescent="0.25">
      <c r="T109" s="5"/>
      <c r="U109" s="5"/>
      <c r="V109" s="95"/>
    </row>
    <row r="110" spans="20:22" ht="15.95" customHeight="1" x14ac:dyDescent="0.25">
      <c r="T110" s="5"/>
      <c r="U110" s="5"/>
      <c r="V110" s="95"/>
    </row>
    <row r="111" spans="20:22" ht="15.95" customHeight="1" x14ac:dyDescent="0.25">
      <c r="T111" s="5"/>
      <c r="U111" s="5"/>
      <c r="V111" s="95"/>
    </row>
    <row r="112" spans="20:22" ht="15.95" customHeight="1" x14ac:dyDescent="0.25">
      <c r="T112" s="5"/>
      <c r="U112" s="5"/>
      <c r="V112" s="95"/>
    </row>
    <row r="113" spans="20:22" ht="15.95" customHeight="1" x14ac:dyDescent="0.25">
      <c r="T113" s="5"/>
      <c r="U113" s="5"/>
      <c r="V113" s="95"/>
    </row>
    <row r="114" spans="20:22" ht="15.95" customHeight="1" x14ac:dyDescent="0.25">
      <c r="T114" s="5"/>
      <c r="U114" s="5"/>
      <c r="V114" s="95"/>
    </row>
    <row r="115" spans="20:22" ht="15.95" customHeight="1" x14ac:dyDescent="0.25">
      <c r="T115" s="5"/>
      <c r="U115" s="5"/>
      <c r="V115" s="95"/>
    </row>
    <row r="116" spans="20:22" ht="15.95" customHeight="1" x14ac:dyDescent="0.25">
      <c r="T116" s="5"/>
      <c r="U116" s="5"/>
      <c r="V116" s="95"/>
    </row>
    <row r="117" spans="20:22" ht="15.95" customHeight="1" x14ac:dyDescent="0.25">
      <c r="T117" s="5"/>
      <c r="U117" s="5"/>
      <c r="V117" s="95"/>
    </row>
    <row r="118" spans="20:22" ht="15.95" customHeight="1" x14ac:dyDescent="0.25">
      <c r="T118" s="5"/>
      <c r="U118" s="5"/>
      <c r="V118" s="95"/>
    </row>
    <row r="119" spans="20:22" ht="15.95" customHeight="1" x14ac:dyDescent="0.25">
      <c r="T119" s="5"/>
      <c r="U119" s="5"/>
      <c r="V119" s="95"/>
    </row>
    <row r="120" spans="20:22" ht="15.95" customHeight="1" x14ac:dyDescent="0.25">
      <c r="T120" s="5"/>
      <c r="U120" s="5"/>
      <c r="V120" s="95"/>
    </row>
    <row r="121" spans="20:22" ht="15.95" customHeight="1" x14ac:dyDescent="0.25">
      <c r="T121" s="5"/>
      <c r="U121" s="5"/>
      <c r="V121" s="95"/>
    </row>
    <row r="122" spans="20:22" ht="15.95" customHeight="1" x14ac:dyDescent="0.25">
      <c r="T122" s="5"/>
      <c r="U122" s="5"/>
      <c r="V122" s="95"/>
    </row>
    <row r="123" spans="20:22" ht="15.95" customHeight="1" x14ac:dyDescent="0.25">
      <c r="T123" s="5"/>
      <c r="U123" s="5"/>
      <c r="V123" s="95"/>
    </row>
    <row r="124" spans="20:22" ht="15.95" customHeight="1" x14ac:dyDescent="0.25">
      <c r="T124" s="5"/>
      <c r="U124" s="5"/>
      <c r="V124" s="95"/>
    </row>
    <row r="125" spans="20:22" ht="15.95" customHeight="1" x14ac:dyDescent="0.25">
      <c r="T125" s="5"/>
      <c r="U125" s="5"/>
      <c r="V125" s="95"/>
    </row>
    <row r="126" spans="20:22" ht="15.95" customHeight="1" x14ac:dyDescent="0.25">
      <c r="T126" s="5"/>
      <c r="U126" s="5"/>
      <c r="V126" s="95"/>
    </row>
    <row r="127" spans="20:22" ht="15.95" customHeight="1" x14ac:dyDescent="0.25">
      <c r="T127" s="5"/>
      <c r="U127" s="5"/>
      <c r="V127" s="95"/>
    </row>
    <row r="128" spans="20:22" ht="15.95" customHeight="1" x14ac:dyDescent="0.25">
      <c r="T128" s="5"/>
      <c r="U128" s="5"/>
      <c r="V128" s="95"/>
    </row>
    <row r="129" spans="20:22" ht="15.95" customHeight="1" x14ac:dyDescent="0.25">
      <c r="T129" s="5"/>
      <c r="U129" s="5"/>
      <c r="V129" s="95"/>
    </row>
    <row r="130" spans="20:22" ht="15.95" customHeight="1" x14ac:dyDescent="0.25">
      <c r="T130" s="5"/>
      <c r="U130" s="5"/>
      <c r="V130" s="95"/>
    </row>
    <row r="131" spans="20:22" ht="15.95" customHeight="1" x14ac:dyDescent="0.25">
      <c r="T131" s="5"/>
      <c r="U131" s="5"/>
      <c r="V131" s="95"/>
    </row>
    <row r="132" spans="20:22" ht="15.95" customHeight="1" x14ac:dyDescent="0.25">
      <c r="T132" s="5"/>
      <c r="U132" s="5"/>
      <c r="V132" s="95"/>
    </row>
    <row r="133" spans="20:22" ht="15.95" customHeight="1" x14ac:dyDescent="0.25">
      <c r="T133" s="5"/>
      <c r="U133" s="5"/>
      <c r="V133" s="95"/>
    </row>
    <row r="134" spans="20:22" ht="15.95" customHeight="1" x14ac:dyDescent="0.25">
      <c r="T134" s="5"/>
      <c r="U134" s="5"/>
      <c r="V134" s="95"/>
    </row>
    <row r="135" spans="20:22" ht="15.95" customHeight="1" x14ac:dyDescent="0.25">
      <c r="T135" s="5"/>
      <c r="U135" s="5"/>
      <c r="V135" s="95"/>
    </row>
    <row r="136" spans="20:22" ht="15.95" customHeight="1" x14ac:dyDescent="0.25">
      <c r="T136" s="5"/>
      <c r="U136" s="5"/>
      <c r="V136" s="95"/>
    </row>
    <row r="137" spans="20:22" ht="15.95" customHeight="1" x14ac:dyDescent="0.25">
      <c r="T137" s="5"/>
      <c r="U137" s="5"/>
      <c r="V137" s="95"/>
    </row>
    <row r="138" spans="20:22" ht="15.95" customHeight="1" x14ac:dyDescent="0.25">
      <c r="T138" s="5"/>
      <c r="U138" s="5"/>
      <c r="V138" s="95"/>
    </row>
    <row r="139" spans="20:22" ht="15.95" customHeight="1" x14ac:dyDescent="0.25">
      <c r="T139" s="5"/>
      <c r="U139" s="5"/>
      <c r="V139" s="95"/>
    </row>
    <row r="140" spans="20:22" ht="15.95" customHeight="1" x14ac:dyDescent="0.25">
      <c r="T140" s="5"/>
      <c r="U140" s="5"/>
      <c r="V140" s="95"/>
    </row>
  </sheetData>
  <mergeCells count="12">
    <mergeCell ref="F5:I5"/>
    <mergeCell ref="L5:Q5"/>
    <mergeCell ref="T5:U5"/>
    <mergeCell ref="V5:AA5"/>
    <mergeCell ref="AD8:AD27"/>
    <mergeCell ref="AF8:AF27"/>
    <mergeCell ref="F1:I1"/>
    <mergeCell ref="L1:AB1"/>
    <mergeCell ref="F2:I2"/>
    <mergeCell ref="F3:I3"/>
    <mergeCell ref="F4:I4"/>
    <mergeCell ref="AD4:AF4"/>
  </mergeCells>
  <conditionalFormatting sqref="Y10 Y20 Y23 Y39 Y37 Y34 Y31 Y27:Y29 Y25 Y15:Y17 Y12">
    <cfRule type="expression" dxfId="4" priority="5">
      <formula>X10&lt;Y10</formula>
    </cfRule>
    <cfRule type="expression" dxfId="3" priority="6">
      <formula>"Z12&gt; Y12"</formula>
    </cfRule>
    <cfRule type="expression" priority="7">
      <formula>X10&lt;Y10</formula>
    </cfRule>
  </conditionalFormatting>
  <conditionalFormatting sqref="AA10 AA31 AA34 AA39 AA37 AA27:AA29 AA25 AA23 AA20 AA15:AA17 AA12">
    <cfRule type="expression" dxfId="2" priority="2">
      <formula>Z10&lt;AA10</formula>
    </cfRule>
    <cfRule type="expression" dxfId="1" priority="3">
      <formula>"Z12&gt; Y12"</formula>
    </cfRule>
    <cfRule type="expression" priority="4">
      <formula>Z10&lt;AA10</formula>
    </cfRule>
  </conditionalFormatting>
  <conditionalFormatting sqref="AA10 AA31 AA34 AA39 AA37 AA27:AA29 AA25 AA23 AA20 AA15:AA17 AA12">
    <cfRule type="expression" dxfId="0" priority="1">
      <formula>AA10&gt;X10</formula>
    </cfRule>
  </conditionalFormatting>
  <pageMargins left="0.7" right="0.7" top="0.75" bottom="0.75" header="0.3" footer="0.3"/>
  <pageSetup paperSize="256" scale="68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25"/>
  <sheetViews>
    <sheetView workbookViewId="0">
      <selection activeCell="E25" sqref="E2:E25"/>
    </sheetView>
  </sheetViews>
  <sheetFormatPr defaultRowHeight="15" x14ac:dyDescent="0.25"/>
  <cols>
    <col min="2" max="2" width="10.7109375" customWidth="1"/>
    <col min="3" max="5" width="12" bestFit="1" customWidth="1"/>
  </cols>
  <sheetData>
    <row r="1" spans="1:7" x14ac:dyDescent="0.25">
      <c r="A1" t="s">
        <v>56</v>
      </c>
      <c r="B1" t="s">
        <v>61</v>
      </c>
      <c r="C1" t="s">
        <v>62</v>
      </c>
      <c r="D1" t="s">
        <v>64</v>
      </c>
      <c r="E1" t="s">
        <v>63</v>
      </c>
      <c r="F1" t="s">
        <v>70</v>
      </c>
      <c r="G1" t="s">
        <v>71</v>
      </c>
    </row>
    <row r="2" spans="1:7" x14ac:dyDescent="0.25">
      <c r="A2">
        <v>1</v>
      </c>
      <c r="B2">
        <v>3.6830970000000002E-3</v>
      </c>
      <c r="C2">
        <v>1.0775498999999999E-2</v>
      </c>
      <c r="D2">
        <v>2.6599578239851103E-3</v>
      </c>
      <c r="E2">
        <v>8.1155603693228266E-3</v>
      </c>
      <c r="F2">
        <v>8.8298460836085408E-3</v>
      </c>
      <c r="G2">
        <v>3.3760139569805601E-3</v>
      </c>
    </row>
    <row r="3" spans="1:7" x14ac:dyDescent="0.25">
      <c r="A3">
        <v>2</v>
      </c>
      <c r="B3">
        <v>2.5089880000000002E-3</v>
      </c>
      <c r="C3">
        <v>5.890373E-3</v>
      </c>
      <c r="D3">
        <v>1.9318885759747602E-3</v>
      </c>
      <c r="E3">
        <v>4.1934008084615641E-3</v>
      </c>
      <c r="F3">
        <v>4.9076865227472791E-3</v>
      </c>
      <c r="G3">
        <v>2.64794470897021E-3</v>
      </c>
    </row>
    <row r="4" spans="1:7" x14ac:dyDescent="0.25">
      <c r="A4">
        <v>3</v>
      </c>
      <c r="B4">
        <v>2.1244200000000001E-3</v>
      </c>
      <c r="C4">
        <v>3.8535169999999999E-3</v>
      </c>
      <c r="D4">
        <v>1.7794068988775888E-3</v>
      </c>
      <c r="E4">
        <v>2.592016735737081E-3</v>
      </c>
      <c r="F4">
        <v>3.3063024500227961E-3</v>
      </c>
      <c r="G4">
        <v>2.4954630318730388E-3</v>
      </c>
    </row>
    <row r="5" spans="1:7" x14ac:dyDescent="0.25">
      <c r="A5">
        <v>4</v>
      </c>
      <c r="B5">
        <v>3.6966199999999999E-3</v>
      </c>
      <c r="C5">
        <v>3.4994549999999998E-3</v>
      </c>
      <c r="D5">
        <v>3.6115953537590988E-3</v>
      </c>
      <c r="E5">
        <v>2.3503172903332741E-3</v>
      </c>
      <c r="F5">
        <v>3.0646030046189892E-3</v>
      </c>
      <c r="G5">
        <v>4.3276514867545491E-3</v>
      </c>
    </row>
    <row r="6" spans="1:7" x14ac:dyDescent="0.25">
      <c r="A6">
        <v>5</v>
      </c>
      <c r="B6">
        <v>9.3032559999999993E-3</v>
      </c>
      <c r="C6">
        <v>3.8522109999999999E-3</v>
      </c>
      <c r="D6">
        <v>1.0023296294128972E-2</v>
      </c>
      <c r="E6">
        <v>3.4940396605805538E-3</v>
      </c>
      <c r="F6">
        <v>4.2083253748662688E-3</v>
      </c>
      <c r="G6">
        <v>1.0739352427124422E-2</v>
      </c>
    </row>
    <row r="7" spans="1:7" x14ac:dyDescent="0.25">
      <c r="A7">
        <v>6</v>
      </c>
      <c r="B7">
        <v>3.1826087000000003E-2</v>
      </c>
      <c r="C7">
        <v>7.2213080000000001E-3</v>
      </c>
      <c r="D7">
        <v>3.6732342406455343E-2</v>
      </c>
      <c r="E7">
        <v>7.2973809697023046E-3</v>
      </c>
      <c r="F7">
        <v>8.0116666839880196E-3</v>
      </c>
      <c r="G7">
        <v>3.744839853945079E-2</v>
      </c>
    </row>
    <row r="8" spans="1:7" x14ac:dyDescent="0.25">
      <c r="A8">
        <v>7</v>
      </c>
      <c r="B8">
        <v>9.0633703999999995E-2</v>
      </c>
      <c r="C8">
        <v>1.9683599E-2</v>
      </c>
      <c r="D8">
        <v>0.10853848685657363</v>
      </c>
      <c r="E8">
        <v>2.1132767894593538E-2</v>
      </c>
      <c r="F8">
        <v>2.1847053608879254E-2</v>
      </c>
      <c r="G8">
        <v>0.1035195187822244</v>
      </c>
    </row>
    <row r="9" spans="1:7" x14ac:dyDescent="0.25">
      <c r="A9">
        <v>8</v>
      </c>
      <c r="B9">
        <v>0.104635625</v>
      </c>
      <c r="C9">
        <v>3.1622303999999997E-2</v>
      </c>
      <c r="D9">
        <v>0.12440002575308026</v>
      </c>
      <c r="E9">
        <v>3.3713956626951959E-2</v>
      </c>
      <c r="F9">
        <v>3.4428242341237675E-2</v>
      </c>
      <c r="G9">
        <v>0.1193730489986321</v>
      </c>
    </row>
    <row r="10" spans="1:7" x14ac:dyDescent="0.25">
      <c r="A10">
        <v>9</v>
      </c>
      <c r="B10">
        <v>9.6561570999999999E-2</v>
      </c>
      <c r="C10">
        <v>3.4008274999999998E-2</v>
      </c>
      <c r="D10">
        <v>0.11015923929538271</v>
      </c>
      <c r="E10">
        <v>3.4927417127434732E-2</v>
      </c>
      <c r="F10">
        <v>3.5641702841720448E-2</v>
      </c>
      <c r="G10">
        <v>0.10516800533127564</v>
      </c>
    </row>
    <row r="11" spans="1:7" x14ac:dyDescent="0.25">
      <c r="A11">
        <v>10</v>
      </c>
      <c r="B11">
        <v>7.4382278999999996E-2</v>
      </c>
      <c r="C11">
        <v>3.7594724000000003E-2</v>
      </c>
      <c r="D11">
        <v>7.7560481332808934E-2</v>
      </c>
      <c r="E11">
        <v>3.6643861843293712E-2</v>
      </c>
      <c r="F11">
        <v>3.7358147557579428E-2</v>
      </c>
      <c r="G11">
        <v>7.8276537465804388E-2</v>
      </c>
    </row>
    <row r="12" spans="1:7" x14ac:dyDescent="0.25">
      <c r="A12">
        <v>11</v>
      </c>
      <c r="B12">
        <v>6.4167779999999994E-2</v>
      </c>
      <c r="C12">
        <v>3.8167636999999997E-2</v>
      </c>
      <c r="D12">
        <v>6.0517572604874587E-2</v>
      </c>
      <c r="E12">
        <v>3.5373334947100279E-2</v>
      </c>
      <c r="F12">
        <v>3.6087620661385995E-2</v>
      </c>
      <c r="G12">
        <v>6.1233628737870034E-2</v>
      </c>
    </row>
    <row r="13" spans="1:7" x14ac:dyDescent="0.25">
      <c r="A13">
        <v>12</v>
      </c>
      <c r="B13">
        <v>6.1189687E-2</v>
      </c>
      <c r="C13">
        <v>4.2753484000000001E-2</v>
      </c>
      <c r="D13">
        <v>5.3710135663914256E-2</v>
      </c>
      <c r="E13">
        <v>3.8638050602955366E-2</v>
      </c>
      <c r="F13">
        <v>3.9352336317241082E-2</v>
      </c>
      <c r="G13">
        <v>5.4426191796909704E-2</v>
      </c>
    </row>
    <row r="14" spans="1:7" x14ac:dyDescent="0.25">
      <c r="A14">
        <v>13</v>
      </c>
      <c r="B14">
        <v>5.7894769999999998E-2</v>
      </c>
      <c r="C14">
        <v>4.8322762999999998E-2</v>
      </c>
      <c r="D14">
        <v>4.9092485955086571E-2</v>
      </c>
      <c r="E14">
        <v>4.4768825474479544E-2</v>
      </c>
      <c r="F14">
        <v>4.548311118876526E-2</v>
      </c>
      <c r="G14">
        <v>4.9808542088082018E-2</v>
      </c>
    </row>
    <row r="15" spans="1:7" x14ac:dyDescent="0.25">
      <c r="A15">
        <v>14</v>
      </c>
      <c r="B15">
        <v>5.1975215999999998E-2</v>
      </c>
      <c r="C15">
        <v>5.4718445999999997E-2</v>
      </c>
      <c r="D15">
        <v>4.537924248154114E-2</v>
      </c>
      <c r="E15">
        <v>5.0585253265230501E-2</v>
      </c>
      <c r="F15">
        <v>5.1299538979516217E-2</v>
      </c>
      <c r="G15">
        <v>4.6095298614536588E-2</v>
      </c>
    </row>
    <row r="16" spans="1:7" x14ac:dyDescent="0.25">
      <c r="A16">
        <v>15</v>
      </c>
      <c r="B16">
        <v>5.1470246999999997E-2</v>
      </c>
      <c r="C16">
        <v>6.3818199000000006E-2</v>
      </c>
      <c r="D16">
        <v>4.6893369370413274E-2</v>
      </c>
      <c r="E16">
        <v>6.1866973520224966E-2</v>
      </c>
      <c r="F16">
        <v>6.2581259234510675E-2</v>
      </c>
      <c r="G16">
        <v>4.7609425503408721E-2</v>
      </c>
    </row>
    <row r="17" spans="1:7" x14ac:dyDescent="0.25">
      <c r="A17">
        <v>16</v>
      </c>
      <c r="B17">
        <v>5.2849314000000001E-2</v>
      </c>
      <c r="C17">
        <v>8.8184425999999996E-2</v>
      </c>
      <c r="D17">
        <v>4.8342937562681862E-2</v>
      </c>
      <c r="E17">
        <v>9.0575590590572019E-2</v>
      </c>
      <c r="F17">
        <v>9.1289876304857728E-2</v>
      </c>
      <c r="G17">
        <v>4.905899369567731E-2</v>
      </c>
    </row>
    <row r="18" spans="1:7" x14ac:dyDescent="0.25">
      <c r="A18">
        <v>17</v>
      </c>
      <c r="B18">
        <v>5.2996128000000003E-2</v>
      </c>
      <c r="C18">
        <v>0.113628224</v>
      </c>
      <c r="D18">
        <v>4.8383845535236641E-2</v>
      </c>
      <c r="E18">
        <v>0.12347843708776486</v>
      </c>
      <c r="F18">
        <v>0.11847843708776486</v>
      </c>
      <c r="G18">
        <v>4.9099901668232089E-2</v>
      </c>
    </row>
    <row r="19" spans="1:7" x14ac:dyDescent="0.25">
      <c r="A19">
        <v>18</v>
      </c>
      <c r="B19">
        <v>5.398468E-2</v>
      </c>
      <c r="C19">
        <v>0.11172533</v>
      </c>
      <c r="D19">
        <v>5.0559026424375368E-2</v>
      </c>
      <c r="E19">
        <v>0.12252996673779165</v>
      </c>
      <c r="F19">
        <v>0.11752996673779165</v>
      </c>
      <c r="G19">
        <v>5.1275082557370816E-2</v>
      </c>
    </row>
    <row r="20" spans="1:7" x14ac:dyDescent="0.25">
      <c r="A20">
        <v>19</v>
      </c>
      <c r="B20">
        <v>4.6170152999999998E-2</v>
      </c>
      <c r="C20">
        <v>9.1227570999999993E-2</v>
      </c>
      <c r="D20">
        <v>4.2552988692725051E-2</v>
      </c>
      <c r="E20">
        <v>9.6337591310933668E-2</v>
      </c>
      <c r="F20">
        <v>9.1337591310933663E-2</v>
      </c>
      <c r="G20">
        <v>4.3269044825720498E-2</v>
      </c>
    </row>
    <row r="21" spans="1:7" x14ac:dyDescent="0.25">
      <c r="A21">
        <v>20</v>
      </c>
      <c r="B21">
        <v>3.1665604E-2</v>
      </c>
      <c r="C21">
        <v>6.0225945000000003E-2</v>
      </c>
      <c r="D21">
        <v>2.8419862416021218E-2</v>
      </c>
      <c r="E21">
        <v>6.0174705578730614E-2</v>
      </c>
      <c r="F21">
        <v>6.088899129301633E-2</v>
      </c>
      <c r="G21">
        <v>2.9135918549016669E-2</v>
      </c>
    </row>
    <row r="22" spans="1:7" x14ac:dyDescent="0.25">
      <c r="A22">
        <v>21</v>
      </c>
      <c r="B22">
        <v>2.1046331000000001E-2</v>
      </c>
      <c r="C22">
        <v>4.4802254E-2</v>
      </c>
      <c r="D22">
        <v>1.8669842712796016E-2</v>
      </c>
      <c r="E22">
        <v>4.3090296327111755E-2</v>
      </c>
      <c r="F22">
        <v>4.380458204139747E-2</v>
      </c>
      <c r="G22">
        <v>1.9385898845791467E-2</v>
      </c>
    </row>
    <row r="23" spans="1:7" x14ac:dyDescent="0.25">
      <c r="A23">
        <v>22</v>
      </c>
      <c r="B23">
        <v>1.6878157000000001E-2</v>
      </c>
      <c r="C23">
        <v>3.6891502E-2</v>
      </c>
      <c r="D23">
        <v>1.4626811691412014E-2</v>
      </c>
      <c r="E23">
        <v>3.4998596953220218E-2</v>
      </c>
      <c r="F23">
        <v>3.5712882667505934E-2</v>
      </c>
      <c r="G23">
        <v>1.5342867824407464E-2</v>
      </c>
    </row>
    <row r="24" spans="1:7" x14ac:dyDescent="0.25">
      <c r="A24">
        <v>23</v>
      </c>
      <c r="B24">
        <v>1.1786059999999999E-2</v>
      </c>
      <c r="C24">
        <v>2.7675203999999998E-2</v>
      </c>
      <c r="D24">
        <v>9.9328962989869499E-3</v>
      </c>
      <c r="E24">
        <v>2.5192536562499958E-2</v>
      </c>
      <c r="F24">
        <v>2.5906822276785674E-2</v>
      </c>
      <c r="G24">
        <v>1.0648952431982399E-2</v>
      </c>
    </row>
    <row r="25" spans="1:7" x14ac:dyDescent="0.25">
      <c r="A25">
        <v>24</v>
      </c>
      <c r="B25">
        <v>6.5702249999999999E-3</v>
      </c>
      <c r="C25">
        <v>1.985775E-2</v>
      </c>
      <c r="D25">
        <v>5.5222619989087288E-3</v>
      </c>
      <c r="E25">
        <v>1.7929121714973052E-2</v>
      </c>
      <c r="F25">
        <v>1.8643407429258768E-2</v>
      </c>
      <c r="G25">
        <v>6.2383181319041791E-3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F25"/>
  <sheetViews>
    <sheetView zoomScale="115" zoomScaleNormal="115" workbookViewId="0">
      <selection activeCell="F23" sqref="F23"/>
    </sheetView>
  </sheetViews>
  <sheetFormatPr defaultRowHeight="15" x14ac:dyDescent="0.25"/>
  <cols>
    <col min="3" max="3" width="9.5703125" customWidth="1"/>
  </cols>
  <sheetData>
    <row r="1" spans="1:6" x14ac:dyDescent="0.25">
      <c r="A1" t="s">
        <v>56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>
        <v>1</v>
      </c>
      <c r="B2">
        <v>-3</v>
      </c>
      <c r="C2">
        <v>-2.6807889839999999</v>
      </c>
      <c r="D2">
        <v>-2.6807889839999999</v>
      </c>
      <c r="E2">
        <v>-2.6807889839999999</v>
      </c>
      <c r="F2">
        <v>-2.6807889839999999</v>
      </c>
    </row>
    <row r="3" spans="1:6" x14ac:dyDescent="0.25">
      <c r="A3">
        <v>2</v>
      </c>
      <c r="B3">
        <v>-3</v>
      </c>
      <c r="C3">
        <v>-2.6807889839999999</v>
      </c>
      <c r="D3">
        <v>-2.6807889839999999</v>
      </c>
      <c r="E3">
        <v>-2.6807889839999999</v>
      </c>
      <c r="F3">
        <v>-2.6807889839999999</v>
      </c>
    </row>
    <row r="4" spans="1:6" x14ac:dyDescent="0.25">
      <c r="A4">
        <v>3</v>
      </c>
      <c r="B4">
        <v>-3</v>
      </c>
      <c r="C4">
        <v>-2.6807889839999999</v>
      </c>
      <c r="D4">
        <v>-2.6807889839999999</v>
      </c>
      <c r="E4">
        <v>-2.6807889839999999</v>
      </c>
      <c r="F4">
        <v>-2.6807889839999999</v>
      </c>
    </row>
    <row r="5" spans="1:6" x14ac:dyDescent="0.25">
      <c r="A5">
        <v>4</v>
      </c>
      <c r="B5">
        <v>-3</v>
      </c>
      <c r="C5">
        <v>-2.6807889839999999</v>
      </c>
      <c r="D5">
        <v>-2.6807889839999999</v>
      </c>
      <c r="E5">
        <v>-2.6807889839999999</v>
      </c>
      <c r="F5">
        <v>-2.6807889839999999</v>
      </c>
    </row>
    <row r="6" spans="1:6" x14ac:dyDescent="0.25">
      <c r="A6">
        <v>5</v>
      </c>
      <c r="B6">
        <v>-3</v>
      </c>
      <c r="C6">
        <v>-2.6807889839999999</v>
      </c>
      <c r="D6">
        <v>-2.6807889839999999</v>
      </c>
      <c r="E6">
        <v>-2.6807889839999999</v>
      </c>
      <c r="F6">
        <v>-2.6807889839999999</v>
      </c>
    </row>
    <row r="7" spans="1:6" x14ac:dyDescent="0.25">
      <c r="A7">
        <v>6</v>
      </c>
      <c r="B7">
        <v>-3</v>
      </c>
      <c r="C7">
        <v>-2.6807889839999999</v>
      </c>
      <c r="D7">
        <v>-2.032730516</v>
      </c>
      <c r="E7">
        <v>-2.032730516</v>
      </c>
      <c r="F7">
        <v>-2.032730516</v>
      </c>
    </row>
    <row r="8" spans="1:6" x14ac:dyDescent="0.25">
      <c r="A8">
        <v>7</v>
      </c>
      <c r="B8">
        <v>-3</v>
      </c>
      <c r="C8">
        <v>-2.032730516</v>
      </c>
      <c r="D8">
        <v>-1.1927305159999999</v>
      </c>
      <c r="E8">
        <v>-1.1927305159999999</v>
      </c>
      <c r="F8">
        <v>-1.269896471</v>
      </c>
    </row>
    <row r="9" spans="1:6" x14ac:dyDescent="0.25">
      <c r="A9">
        <v>8</v>
      </c>
      <c r="B9">
        <v>-1.65</v>
      </c>
      <c r="C9">
        <v>-1.1927305159999999</v>
      </c>
      <c r="D9">
        <v>-1.1927305159999999</v>
      </c>
      <c r="E9">
        <v>-1.1927305159999999</v>
      </c>
      <c r="F9">
        <v>-1.269896471</v>
      </c>
    </row>
    <row r="10" spans="1:6" x14ac:dyDescent="0.25">
      <c r="A10">
        <v>9</v>
      </c>
      <c r="B10">
        <v>-1.65</v>
      </c>
      <c r="C10">
        <v>-1.1927305159999999</v>
      </c>
      <c r="D10">
        <v>-1.1927305159999999</v>
      </c>
      <c r="E10">
        <v>-1.1927305159999999</v>
      </c>
      <c r="F10">
        <v>-1.269896471</v>
      </c>
    </row>
    <row r="11" spans="1:6" x14ac:dyDescent="0.25">
      <c r="A11">
        <v>10</v>
      </c>
      <c r="B11">
        <v>-1.65</v>
      </c>
      <c r="C11">
        <v>-1.1927305159999999</v>
      </c>
      <c r="D11">
        <v>-2.032730516</v>
      </c>
      <c r="E11">
        <v>-1.1927305159999999</v>
      </c>
      <c r="F11">
        <v>-1.269896471</v>
      </c>
    </row>
    <row r="12" spans="1:6" x14ac:dyDescent="0.25">
      <c r="A12">
        <v>11</v>
      </c>
      <c r="B12">
        <v>-2.25</v>
      </c>
      <c r="C12">
        <v>-2.032730516</v>
      </c>
      <c r="D12">
        <v>-1.6407305160000001</v>
      </c>
      <c r="E12">
        <v>-1.6407305160000001</v>
      </c>
      <c r="F12">
        <v>-1.6407305160000001</v>
      </c>
    </row>
    <row r="13" spans="1:6" x14ac:dyDescent="0.25">
      <c r="A13">
        <v>12</v>
      </c>
      <c r="B13">
        <v>-2.25</v>
      </c>
      <c r="C13">
        <v>-1.6407305160000001</v>
      </c>
      <c r="D13">
        <v>-1.6407305160000001</v>
      </c>
      <c r="E13">
        <v>-1.6407305160000001</v>
      </c>
      <c r="F13">
        <v>-1.6407305160000001</v>
      </c>
    </row>
    <row r="14" spans="1:6" x14ac:dyDescent="0.25">
      <c r="A14">
        <v>13</v>
      </c>
      <c r="B14">
        <v>-2.25</v>
      </c>
      <c r="C14">
        <v>-1.6407305160000001</v>
      </c>
      <c r="D14">
        <v>-1.6407305160000001</v>
      </c>
      <c r="E14">
        <v>-1.6407305160000001</v>
      </c>
      <c r="F14">
        <v>-1.6407305160000001</v>
      </c>
    </row>
    <row r="15" spans="1:6" x14ac:dyDescent="0.25">
      <c r="A15">
        <v>14</v>
      </c>
      <c r="B15">
        <v>-2.25</v>
      </c>
      <c r="C15">
        <v>-1.6407305160000001</v>
      </c>
      <c r="D15">
        <v>-1.6407305160000001</v>
      </c>
      <c r="E15">
        <v>-1.6407305160000001</v>
      </c>
      <c r="F15">
        <v>-1.6407305160000001</v>
      </c>
    </row>
    <row r="16" spans="1:6" x14ac:dyDescent="0.25">
      <c r="A16">
        <v>15</v>
      </c>
      <c r="B16">
        <v>-2.25</v>
      </c>
      <c r="C16">
        <v>-2.032730516</v>
      </c>
      <c r="D16">
        <v>-1.6407305160000001</v>
      </c>
      <c r="E16">
        <v>-1.6407305160000001</v>
      </c>
      <c r="F16">
        <v>-1.6407305160000001</v>
      </c>
    </row>
    <row r="17" spans="1:6" x14ac:dyDescent="0.25">
      <c r="A17">
        <v>16</v>
      </c>
      <c r="B17">
        <v>-1.65</v>
      </c>
      <c r="C17">
        <v>-1.1927305159999999</v>
      </c>
      <c r="D17">
        <v>-2.032730516</v>
      </c>
      <c r="E17">
        <v>-1.1927305159999999</v>
      </c>
      <c r="F17">
        <v>-1.269896471</v>
      </c>
    </row>
    <row r="18" spans="1:6" x14ac:dyDescent="0.25">
      <c r="A18">
        <v>17</v>
      </c>
      <c r="B18">
        <v>-1.65</v>
      </c>
      <c r="C18">
        <v>-1.1927305159999999</v>
      </c>
      <c r="D18">
        <v>-1.1927305159999999</v>
      </c>
      <c r="E18">
        <v>-1.1927305159999999</v>
      </c>
      <c r="F18">
        <v>-1.269896471</v>
      </c>
    </row>
    <row r="19" spans="1:6" x14ac:dyDescent="0.25">
      <c r="A19">
        <v>18</v>
      </c>
      <c r="B19">
        <v>-1.65</v>
      </c>
      <c r="C19">
        <v>-1.1927305159999999</v>
      </c>
      <c r="D19">
        <v>-1.1927305159999999</v>
      </c>
      <c r="E19">
        <v>-1.1927305159999999</v>
      </c>
      <c r="F19">
        <v>-1.269896471</v>
      </c>
    </row>
    <row r="20" spans="1:6" x14ac:dyDescent="0.25">
      <c r="A20">
        <v>19</v>
      </c>
      <c r="B20">
        <v>-3</v>
      </c>
      <c r="C20">
        <v>-2.032730516</v>
      </c>
      <c r="D20">
        <v>-1.1927305159999999</v>
      </c>
      <c r="E20">
        <v>-1.1927305159999999</v>
      </c>
      <c r="F20">
        <v>-1.269896471</v>
      </c>
    </row>
    <row r="21" spans="1:6" x14ac:dyDescent="0.25">
      <c r="A21">
        <v>20</v>
      </c>
      <c r="B21">
        <v>-3</v>
      </c>
      <c r="C21">
        <v>-2.6807889839999999</v>
      </c>
      <c r="D21">
        <v>-2.032730516</v>
      </c>
      <c r="E21">
        <v>-2.032730516</v>
      </c>
      <c r="F21">
        <v>-2.032730516</v>
      </c>
    </row>
    <row r="22" spans="1:6" x14ac:dyDescent="0.25">
      <c r="A22">
        <v>21</v>
      </c>
      <c r="B22">
        <v>-3</v>
      </c>
      <c r="C22">
        <v>-2.6807889839999999</v>
      </c>
      <c r="D22">
        <v>-2.6807889839999999</v>
      </c>
      <c r="E22">
        <v>-2.6807889839999999</v>
      </c>
      <c r="F22">
        <v>-2.6807889839999999</v>
      </c>
    </row>
    <row r="23" spans="1:6" x14ac:dyDescent="0.25">
      <c r="A23">
        <v>22</v>
      </c>
      <c r="B23">
        <v>-3</v>
      </c>
      <c r="C23">
        <v>-2.6807889839999999</v>
      </c>
      <c r="D23">
        <v>-2.6807889839999999</v>
      </c>
      <c r="E23">
        <v>-2.6807889839999999</v>
      </c>
      <c r="F23">
        <v>-2.6807889839999999</v>
      </c>
    </row>
    <row r="24" spans="1:6" x14ac:dyDescent="0.25">
      <c r="A24">
        <v>23</v>
      </c>
      <c r="B24">
        <v>-3</v>
      </c>
      <c r="C24">
        <v>-2.6807889839999999</v>
      </c>
      <c r="D24">
        <v>-2.6807889839999999</v>
      </c>
      <c r="E24">
        <v>-2.6807889839999999</v>
      </c>
      <c r="F24">
        <v>-2.6807889839999999</v>
      </c>
    </row>
    <row r="25" spans="1:6" x14ac:dyDescent="0.25">
      <c r="A25">
        <v>24</v>
      </c>
      <c r="B25">
        <v>-3</v>
      </c>
      <c r="C25">
        <v>-2.6807889839999999</v>
      </c>
      <c r="D25">
        <v>-2.6807889839999999</v>
      </c>
      <c r="E25">
        <v>-2.6807889839999999</v>
      </c>
      <c r="F25">
        <v>-2.6807889839999999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9"/>
  <sheetViews>
    <sheetView workbookViewId="0">
      <selection activeCell="E7" sqref="E7"/>
    </sheetView>
  </sheetViews>
  <sheetFormatPr defaultRowHeight="15" x14ac:dyDescent="0.25"/>
  <cols>
    <col min="2" max="2" width="10.5703125" bestFit="1" customWidth="1"/>
    <col min="3" max="3" width="12.28515625" bestFit="1" customWidth="1"/>
    <col min="4" max="4" width="10.5703125" bestFit="1" customWidth="1"/>
    <col min="5" max="5" width="12.28515625" bestFit="1" customWidth="1"/>
  </cols>
  <sheetData>
    <row r="1" spans="1:5" x14ac:dyDescent="0.25">
      <c r="A1" t="s">
        <v>43</v>
      </c>
      <c r="B1" s="96" t="s">
        <v>46</v>
      </c>
      <c r="C1" s="96" t="s">
        <v>59</v>
      </c>
      <c r="D1" s="96" t="s">
        <v>47</v>
      </c>
      <c r="E1" s="96" t="s">
        <v>60</v>
      </c>
    </row>
    <row r="2" spans="1:5" x14ac:dyDescent="0.25">
      <c r="A2" s="96">
        <v>1</v>
      </c>
      <c r="B2" s="215">
        <v>6600</v>
      </c>
      <c r="C2" s="221">
        <v>6602.63</v>
      </c>
      <c r="D2" s="96">
        <v>11100</v>
      </c>
      <c r="E2" s="96">
        <v>10582.4</v>
      </c>
    </row>
    <row r="3" spans="1:5" x14ac:dyDescent="0.25">
      <c r="A3" s="96">
        <v>2</v>
      </c>
      <c r="B3" s="215">
        <v>6600</v>
      </c>
      <c r="C3" s="221">
        <v>6603.44</v>
      </c>
      <c r="D3" s="96">
        <v>11100</v>
      </c>
      <c r="E3" s="96">
        <v>10585.35</v>
      </c>
    </row>
    <row r="4" spans="1:5" x14ac:dyDescent="0.25">
      <c r="A4" s="96">
        <v>3</v>
      </c>
      <c r="B4" s="215">
        <v>22600</v>
      </c>
      <c r="C4" s="221">
        <v>22602.539059999999</v>
      </c>
      <c r="D4" s="96">
        <v>38400</v>
      </c>
      <c r="E4" s="96">
        <v>37883.921880000002</v>
      </c>
    </row>
    <row r="5" spans="1:5" x14ac:dyDescent="0.25">
      <c r="A5" s="96">
        <v>4</v>
      </c>
      <c r="B5" s="215">
        <v>22600</v>
      </c>
      <c r="C5" s="221">
        <v>22601.960940000001</v>
      </c>
      <c r="D5" s="96">
        <v>38400</v>
      </c>
      <c r="E5" s="96">
        <v>37872.71875</v>
      </c>
    </row>
    <row r="6" spans="1:5" x14ac:dyDescent="0.25">
      <c r="A6" s="96">
        <v>5</v>
      </c>
      <c r="B6" s="215">
        <v>2700</v>
      </c>
      <c r="C6" s="221">
        <v>2697.25</v>
      </c>
      <c r="D6" s="96">
        <v>5100</v>
      </c>
      <c r="E6" s="96">
        <v>5610.16</v>
      </c>
    </row>
    <row r="7" spans="1:5" x14ac:dyDescent="0.25">
      <c r="A7" s="96">
        <v>6</v>
      </c>
      <c r="B7" s="215">
        <v>2700</v>
      </c>
      <c r="C7" s="221">
        <v>2697.42</v>
      </c>
      <c r="D7" s="96">
        <v>5100</v>
      </c>
      <c r="E7" s="96">
        <v>5611.81</v>
      </c>
    </row>
    <row r="8" spans="1:5" x14ac:dyDescent="0.25">
      <c r="A8" s="96">
        <v>7</v>
      </c>
      <c r="B8" s="215">
        <v>2000</v>
      </c>
      <c r="C8" s="221">
        <v>2002.44</v>
      </c>
      <c r="D8" s="96">
        <v>4350</v>
      </c>
      <c r="E8" s="96">
        <v>3833.99</v>
      </c>
    </row>
    <row r="9" spans="1:5" x14ac:dyDescent="0.25">
      <c r="A9" s="96">
        <v>8</v>
      </c>
      <c r="B9" s="215">
        <v>2000</v>
      </c>
      <c r="C9" s="221">
        <v>2006.76</v>
      </c>
      <c r="D9" s="96">
        <v>4350</v>
      </c>
      <c r="E9" s="96">
        <v>3849.75</v>
      </c>
    </row>
    <row r="10" spans="1:5" x14ac:dyDescent="0.25">
      <c r="A10" s="96">
        <v>9</v>
      </c>
      <c r="B10" s="215">
        <v>28500</v>
      </c>
      <c r="C10" s="221">
        <v>28510.359380000002</v>
      </c>
      <c r="D10" s="96">
        <v>46308</v>
      </c>
      <c r="E10" s="96">
        <v>46690.148439999997</v>
      </c>
    </row>
    <row r="11" spans="1:5" x14ac:dyDescent="0.25">
      <c r="A11" s="96">
        <v>10</v>
      </c>
      <c r="B11" s="215">
        <v>28500</v>
      </c>
      <c r="C11" s="221">
        <v>28514.740229999999</v>
      </c>
      <c r="D11" s="96">
        <v>46308</v>
      </c>
      <c r="E11" s="96">
        <v>46696.011720000002</v>
      </c>
    </row>
    <row r="12" spans="1:5" x14ac:dyDescent="0.25">
      <c r="A12" s="96">
        <v>11</v>
      </c>
      <c r="B12" s="215">
        <v>2650</v>
      </c>
      <c r="C12" s="221">
        <v>2636.66</v>
      </c>
      <c r="D12" s="96">
        <v>4000</v>
      </c>
      <c r="E12" s="96">
        <v>4118.97</v>
      </c>
    </row>
    <row r="13" spans="1:5" x14ac:dyDescent="0.25">
      <c r="A13" s="96">
        <v>12</v>
      </c>
      <c r="B13" s="215">
        <v>2650</v>
      </c>
      <c r="C13" s="221">
        <v>2631.04</v>
      </c>
      <c r="D13" s="96">
        <v>4000</v>
      </c>
      <c r="E13" s="96">
        <v>4123.59</v>
      </c>
    </row>
    <row r="14" spans="1:5" x14ac:dyDescent="0.25">
      <c r="A14" s="96">
        <v>13</v>
      </c>
      <c r="B14" s="215">
        <v>5950</v>
      </c>
      <c r="C14" s="221">
        <v>5963.01</v>
      </c>
      <c r="D14" s="96">
        <v>8500</v>
      </c>
      <c r="E14" s="96">
        <v>8376.32</v>
      </c>
    </row>
    <row r="15" spans="1:5" x14ac:dyDescent="0.25">
      <c r="A15" s="96">
        <v>14</v>
      </c>
      <c r="B15" s="215">
        <v>5950</v>
      </c>
      <c r="C15" s="221">
        <v>5970.4</v>
      </c>
      <c r="D15" s="96">
        <v>8500</v>
      </c>
      <c r="E15" s="96">
        <v>8384</v>
      </c>
    </row>
    <row r="16" spans="1:5" x14ac:dyDescent="0.25">
      <c r="A16" s="96">
        <v>15</v>
      </c>
      <c r="B16" s="215">
        <v>31800</v>
      </c>
      <c r="C16" s="221">
        <v>31836.710940000001</v>
      </c>
      <c r="D16" s="96">
        <v>50808</v>
      </c>
      <c r="E16" s="96">
        <v>50947.5</v>
      </c>
    </row>
    <row r="17" spans="1:5" x14ac:dyDescent="0.25">
      <c r="A17" s="96">
        <v>16</v>
      </c>
      <c r="B17" s="215">
        <v>31800</v>
      </c>
      <c r="C17" s="221">
        <v>31854.099610000001</v>
      </c>
      <c r="D17" s="96">
        <v>50808</v>
      </c>
      <c r="E17" s="96">
        <v>50956.421880000002</v>
      </c>
    </row>
    <row r="18" spans="1:5" x14ac:dyDescent="0.25">
      <c r="A18" s="96">
        <v>17</v>
      </c>
      <c r="B18" s="215">
        <v>4300</v>
      </c>
      <c r="C18" s="221">
        <v>4249.2700000000004</v>
      </c>
      <c r="D18" s="96">
        <v>7350</v>
      </c>
      <c r="E18" s="96">
        <v>7321.58</v>
      </c>
    </row>
    <row r="19" spans="1:5" x14ac:dyDescent="0.25">
      <c r="A19" s="96">
        <v>18</v>
      </c>
      <c r="B19" s="215">
        <v>4300</v>
      </c>
      <c r="C19" s="221">
        <v>4224.99</v>
      </c>
      <c r="D19" s="96">
        <v>7350</v>
      </c>
      <c r="E19" s="96">
        <v>7321.83</v>
      </c>
    </row>
    <row r="20" spans="1:5" x14ac:dyDescent="0.25">
      <c r="A20" s="96">
        <v>19</v>
      </c>
      <c r="B20" s="215">
        <v>4100</v>
      </c>
      <c r="C20" s="221">
        <v>4150.43</v>
      </c>
      <c r="D20" s="96">
        <v>7491</v>
      </c>
      <c r="E20" s="96">
        <v>7517.55</v>
      </c>
    </row>
    <row r="21" spans="1:5" x14ac:dyDescent="0.25">
      <c r="A21" s="96">
        <v>20</v>
      </c>
      <c r="B21" s="215">
        <v>4100</v>
      </c>
      <c r="C21" s="221">
        <v>4176.09</v>
      </c>
      <c r="D21" s="96">
        <v>7491</v>
      </c>
      <c r="E21" s="96">
        <v>7515.45</v>
      </c>
    </row>
    <row r="22" spans="1:5" x14ac:dyDescent="0.25">
      <c r="A22" s="96">
        <v>21</v>
      </c>
      <c r="B22" s="215">
        <v>3050</v>
      </c>
      <c r="C22" s="221">
        <v>2860.9</v>
      </c>
      <c r="D22" s="96">
        <v>5250</v>
      </c>
      <c r="E22" s="96">
        <v>5019.46</v>
      </c>
    </row>
    <row r="23" spans="1:5" x14ac:dyDescent="0.25">
      <c r="A23" s="96">
        <v>22</v>
      </c>
      <c r="B23" s="215">
        <v>3050</v>
      </c>
      <c r="C23" s="221">
        <v>2767.69</v>
      </c>
      <c r="D23" s="96">
        <v>5250</v>
      </c>
      <c r="E23" s="96">
        <v>5008.33</v>
      </c>
    </row>
    <row r="24" spans="1:5" x14ac:dyDescent="0.25">
      <c r="A24" s="96">
        <v>23</v>
      </c>
      <c r="B24" s="215">
        <v>34150</v>
      </c>
      <c r="C24" s="221">
        <v>34665.949220000002</v>
      </c>
      <c r="D24" s="96">
        <v>56449</v>
      </c>
      <c r="E24" s="96">
        <v>57102.488279999998</v>
      </c>
    </row>
    <row r="25" spans="1:5" x14ac:dyDescent="0.25">
      <c r="A25" s="96">
        <v>24</v>
      </c>
      <c r="B25" s="215">
        <v>34150</v>
      </c>
      <c r="C25" s="221">
        <v>34920.011720000002</v>
      </c>
      <c r="D25" s="96">
        <v>56449</v>
      </c>
      <c r="E25" s="96">
        <v>57129.390630000002</v>
      </c>
    </row>
    <row r="26" spans="1:5" x14ac:dyDescent="0.25">
      <c r="A26" s="96">
        <v>25</v>
      </c>
      <c r="B26" s="215">
        <v>5600</v>
      </c>
      <c r="C26" s="221">
        <v>5788.98</v>
      </c>
      <c r="D26" s="96">
        <v>10750</v>
      </c>
      <c r="E26" s="96">
        <v>10978.48</v>
      </c>
    </row>
    <row r="27" spans="1:5" x14ac:dyDescent="0.25">
      <c r="A27" s="96">
        <v>26</v>
      </c>
      <c r="B27" s="215">
        <v>5600</v>
      </c>
      <c r="C27" s="221">
        <v>5882.5</v>
      </c>
      <c r="D27" s="96">
        <v>10750</v>
      </c>
      <c r="E27" s="96">
        <v>10987.68</v>
      </c>
    </row>
    <row r="28" spans="1:5" x14ac:dyDescent="0.25">
      <c r="A28" s="96">
        <v>27</v>
      </c>
      <c r="B28" s="215">
        <v>37200</v>
      </c>
      <c r="C28" s="221">
        <v>35377.308590000001</v>
      </c>
      <c r="D28" s="96">
        <v>61350</v>
      </c>
      <c r="E28" s="96">
        <v>56759.648439999997</v>
      </c>
    </row>
    <row r="29" spans="1:5" x14ac:dyDescent="0.25">
      <c r="A29" s="96">
        <v>28</v>
      </c>
      <c r="B29" s="215">
        <v>37200</v>
      </c>
      <c r="C29" s="221">
        <v>36329.28125</v>
      </c>
      <c r="D29" s="96">
        <v>61350</v>
      </c>
      <c r="E29" s="96">
        <v>58983.011720000002</v>
      </c>
    </row>
    <row r="30" spans="1:5" x14ac:dyDescent="0.25">
      <c r="A30" s="96">
        <v>29</v>
      </c>
      <c r="B30" s="215">
        <v>3750</v>
      </c>
      <c r="C30" s="221">
        <v>3044.17</v>
      </c>
      <c r="D30" s="96">
        <v>11000</v>
      </c>
      <c r="E30" s="96">
        <v>6120.32</v>
      </c>
    </row>
    <row r="31" spans="1:5" x14ac:dyDescent="0.25">
      <c r="A31" s="96">
        <v>30</v>
      </c>
      <c r="B31" s="215">
        <v>3750</v>
      </c>
      <c r="C31" s="221">
        <v>2698.3</v>
      </c>
      <c r="D31" s="96">
        <v>11000</v>
      </c>
      <c r="E31" s="96">
        <v>9669.61816</v>
      </c>
    </row>
    <row r="32" spans="1:5" x14ac:dyDescent="0.25">
      <c r="A32" s="96">
        <v>31</v>
      </c>
      <c r="B32" s="215">
        <v>9200</v>
      </c>
      <c r="C32" s="221">
        <v>8083.28</v>
      </c>
      <c r="D32" s="96">
        <v>13900</v>
      </c>
      <c r="E32" s="96">
        <v>10191.280000000001</v>
      </c>
    </row>
    <row r="33" spans="1:5" x14ac:dyDescent="0.25">
      <c r="A33" s="96">
        <v>32</v>
      </c>
      <c r="B33" s="215">
        <v>6000</v>
      </c>
      <c r="C33" s="221">
        <v>6185.83</v>
      </c>
      <c r="D33" s="96">
        <v>13900</v>
      </c>
      <c r="E33" s="96">
        <v>6455.41</v>
      </c>
    </row>
    <row r="34" spans="1:5" x14ac:dyDescent="0.25">
      <c r="A34" s="96">
        <v>33</v>
      </c>
      <c r="B34" s="215">
        <v>42650</v>
      </c>
      <c r="C34" s="221">
        <v>43460.589840000001</v>
      </c>
      <c r="D34" s="96">
        <v>64250</v>
      </c>
      <c r="E34" s="96">
        <v>66950.929690000004</v>
      </c>
    </row>
    <row r="35" spans="1:5" x14ac:dyDescent="0.25">
      <c r="A35" s="96">
        <v>34</v>
      </c>
      <c r="B35" s="215">
        <v>42650</v>
      </c>
      <c r="C35" s="221">
        <v>42515.109380000002</v>
      </c>
      <c r="D35" s="96">
        <v>64250</v>
      </c>
      <c r="E35" s="96">
        <v>65438.421880000002</v>
      </c>
    </row>
    <row r="36" spans="1:5" x14ac:dyDescent="0.25">
      <c r="A36" s="96">
        <v>35</v>
      </c>
      <c r="B36" s="215">
        <v>5350</v>
      </c>
      <c r="C36" s="221">
        <v>5655.1601600000004</v>
      </c>
      <c r="D36" s="96">
        <v>8800</v>
      </c>
      <c r="E36" s="96">
        <v>9809.3486300000004</v>
      </c>
    </row>
    <row r="37" spans="1:5" x14ac:dyDescent="0.25">
      <c r="A37" s="96">
        <v>36</v>
      </c>
      <c r="B37" s="215">
        <v>5350</v>
      </c>
      <c r="C37" s="221">
        <v>5297.96</v>
      </c>
      <c r="D37" s="96">
        <v>8800</v>
      </c>
      <c r="E37" s="96">
        <v>9163.73</v>
      </c>
    </row>
    <row r="38" spans="1:5" x14ac:dyDescent="0.25">
      <c r="A38" s="96">
        <v>37</v>
      </c>
      <c r="B38" s="215">
        <v>4500</v>
      </c>
      <c r="C38" s="221">
        <v>4197.4043000000001</v>
      </c>
      <c r="D38" s="96">
        <v>8850</v>
      </c>
      <c r="E38" s="96">
        <v>7839.9770500000004</v>
      </c>
    </row>
    <row r="39" spans="1:5" x14ac:dyDescent="0.25">
      <c r="A39" s="96">
        <v>38</v>
      </c>
      <c r="B39" s="215">
        <v>4500</v>
      </c>
      <c r="C39" s="221">
        <v>4549.0517600000003</v>
      </c>
      <c r="D39" s="96">
        <v>8850</v>
      </c>
      <c r="E39" s="96">
        <v>8484.1455100000003</v>
      </c>
    </row>
    <row r="40" spans="1:5" x14ac:dyDescent="0.25">
      <c r="A40" s="96">
        <v>39</v>
      </c>
      <c r="B40" s="215">
        <v>41800</v>
      </c>
      <c r="C40" s="221">
        <v>42002.832029999998</v>
      </c>
      <c r="D40" s="96">
        <v>64300</v>
      </c>
      <c r="E40" s="96">
        <v>64981.558590000001</v>
      </c>
    </row>
    <row r="41" spans="1:5" x14ac:dyDescent="0.25">
      <c r="A41" s="96">
        <v>40</v>
      </c>
      <c r="B41" s="215">
        <v>41800</v>
      </c>
      <c r="C41" s="221">
        <v>41766.203130000002</v>
      </c>
      <c r="D41" s="96">
        <v>64300</v>
      </c>
      <c r="E41" s="96">
        <v>64758.835939999997</v>
      </c>
    </row>
    <row r="42" spans="1:5" x14ac:dyDescent="0.25">
      <c r="A42" s="96">
        <v>41</v>
      </c>
      <c r="B42" s="215">
        <v>1850</v>
      </c>
      <c r="C42" s="221">
        <v>1951.7251000000001</v>
      </c>
      <c r="D42" s="96">
        <v>2950</v>
      </c>
      <c r="E42" s="96">
        <v>3277.8095699999999</v>
      </c>
    </row>
    <row r="43" spans="1:5" x14ac:dyDescent="0.25">
      <c r="A43" s="96">
        <v>42</v>
      </c>
      <c r="B43" s="215">
        <v>1850</v>
      </c>
      <c r="C43" s="221">
        <v>1830.28015</v>
      </c>
      <c r="D43" s="96">
        <v>2950</v>
      </c>
      <c r="E43" s="96">
        <v>2859.8535200000001</v>
      </c>
    </row>
    <row r="44" spans="1:5" x14ac:dyDescent="0.25">
      <c r="A44" s="96">
        <v>43</v>
      </c>
      <c r="B44" s="215">
        <v>39950</v>
      </c>
      <c r="C44" s="221">
        <v>40051.109380000002</v>
      </c>
      <c r="D44" s="96">
        <v>61350</v>
      </c>
      <c r="E44" s="96">
        <v>61703.75</v>
      </c>
    </row>
    <row r="45" spans="1:5" x14ac:dyDescent="0.25">
      <c r="A45" s="96">
        <v>44</v>
      </c>
      <c r="B45" s="215">
        <v>39950</v>
      </c>
      <c r="C45" s="221">
        <v>39929.738279999998</v>
      </c>
      <c r="D45" s="96">
        <v>61350</v>
      </c>
      <c r="E45" s="96">
        <v>61262.21875</v>
      </c>
    </row>
    <row r="46" spans="1:5" x14ac:dyDescent="0.25">
      <c r="A46" s="96">
        <v>45</v>
      </c>
      <c r="B46" s="215">
        <v>3050</v>
      </c>
      <c r="C46" s="221">
        <v>3755.53</v>
      </c>
      <c r="D46">
        <v>4900</v>
      </c>
      <c r="E46" s="96">
        <v>5777.48</v>
      </c>
    </row>
    <row r="47" spans="1:5" x14ac:dyDescent="0.25">
      <c r="A47" s="96">
        <v>46</v>
      </c>
      <c r="B47" s="215">
        <v>3050</v>
      </c>
      <c r="C47" s="221">
        <v>4107.57</v>
      </c>
      <c r="D47">
        <v>4900</v>
      </c>
      <c r="E47" s="96">
        <v>5712.27</v>
      </c>
    </row>
    <row r="48" spans="1:5" x14ac:dyDescent="0.25">
      <c r="A48" s="96">
        <v>47</v>
      </c>
      <c r="B48" s="215">
        <v>31600</v>
      </c>
      <c r="C48" s="221">
        <v>31737.869139999999</v>
      </c>
      <c r="D48">
        <v>50949</v>
      </c>
      <c r="E48" s="96">
        <v>51143.46875</v>
      </c>
    </row>
    <row r="49" spans="1:5" x14ac:dyDescent="0.25">
      <c r="A49" s="96">
        <v>48</v>
      </c>
      <c r="B49" s="215">
        <v>31600</v>
      </c>
      <c r="C49" s="221">
        <v>31805.199219999999</v>
      </c>
      <c r="D49">
        <v>50949</v>
      </c>
      <c r="E49" s="96">
        <v>51150.039060000003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8740-CEDB-4E97-9094-9BCCD1DFB900}">
  <dimension ref="A1:U49"/>
  <sheetViews>
    <sheetView tabSelected="1" topLeftCell="A4" zoomScale="85" zoomScaleNormal="85" workbookViewId="0">
      <selection activeCell="T18" sqref="T18"/>
    </sheetView>
  </sheetViews>
  <sheetFormatPr defaultRowHeight="15" x14ac:dyDescent="0.25"/>
  <cols>
    <col min="4" max="4" width="11.140625" style="214" customWidth="1"/>
    <col min="5" max="5" width="10.42578125" style="214" customWidth="1"/>
    <col min="6" max="6" width="10.42578125" customWidth="1"/>
    <col min="7" max="7" width="3.85546875" customWidth="1"/>
    <col min="8" max="8" width="9.140625" style="187"/>
    <col min="11" max="11" width="9.140625" style="187"/>
    <col min="12" max="12" width="7.85546875" customWidth="1"/>
    <col min="15" max="16" width="10.140625" style="96" bestFit="1" customWidth="1"/>
  </cols>
  <sheetData>
    <row r="1" spans="1:21" ht="15.75" thickBot="1" x14ac:dyDescent="0.3">
      <c r="A1" s="220" t="s">
        <v>44</v>
      </c>
      <c r="B1" s="220" t="s">
        <v>45</v>
      </c>
      <c r="C1" s="215" t="s">
        <v>43</v>
      </c>
      <c r="D1" s="214" t="s">
        <v>46</v>
      </c>
      <c r="E1" s="214" t="s">
        <v>47</v>
      </c>
      <c r="H1" s="204" t="s">
        <v>49</v>
      </c>
      <c r="I1" s="205">
        <v>2020</v>
      </c>
      <c r="J1" s="205"/>
      <c r="K1" s="206" t="s">
        <v>50</v>
      </c>
      <c r="L1" s="210" t="s">
        <v>48</v>
      </c>
      <c r="M1" s="207" t="s">
        <v>51</v>
      </c>
      <c r="N1" s="208" t="s">
        <v>52</v>
      </c>
      <c r="O1" s="209" t="s">
        <v>53</v>
      </c>
      <c r="P1" s="208" t="s">
        <v>54</v>
      </c>
      <c r="Q1" s="215"/>
      <c r="R1" s="215" t="s">
        <v>43</v>
      </c>
      <c r="S1" s="215" t="s">
        <v>44</v>
      </c>
      <c r="T1" s="215" t="s">
        <v>45</v>
      </c>
    </row>
    <row r="2" spans="1:21" x14ac:dyDescent="0.25">
      <c r="A2" s="220">
        <v>39</v>
      </c>
      <c r="B2" s="220">
        <v>235</v>
      </c>
      <c r="C2" s="215">
        <v>1</v>
      </c>
      <c r="D2" s="214">
        <f>IFERROR(VLOOKUP($C2,$H$2:$N$32,6,FALSE),IFERROR(VLOOKUP($C2,$K$2:$M$32,3,FALSE),0))</f>
        <v>6600</v>
      </c>
      <c r="E2" s="214">
        <f>IFERROR(VLOOKUP($C2,$H$2:$P$32,8,FALSE),IFERROR(VLOOKUP($C2,$K$2:$O$32,5,FALSE),0))</f>
        <v>0</v>
      </c>
      <c r="H2" s="200">
        <f>'Profile - ODME (mailine)'!D9+'Profile - ODME (mailine)'!E9</f>
        <v>1</v>
      </c>
      <c r="I2" s="191">
        <f>'Profile - ODME (mailine)'!Q9</f>
        <v>13200</v>
      </c>
      <c r="J2" s="191"/>
      <c r="K2" s="202">
        <f>'Profile - ODME (mailine)'!J9+'Profile - ODME (mailine)'!I9</f>
        <v>2</v>
      </c>
      <c r="L2" s="211">
        <v>0.5</v>
      </c>
      <c r="M2" s="183">
        <f>L2*I2</f>
        <v>6600</v>
      </c>
      <c r="N2" s="193">
        <f>I2-M2</f>
        <v>6600</v>
      </c>
      <c r="O2" s="196">
        <f>L2*J2</f>
        <v>0</v>
      </c>
      <c r="P2" s="197">
        <f>J2-O2</f>
        <v>0</v>
      </c>
      <c r="Q2" s="215"/>
      <c r="R2" s="215">
        <v>1</v>
      </c>
      <c r="S2" s="215">
        <v>39</v>
      </c>
      <c r="T2" s="215">
        <v>235</v>
      </c>
    </row>
    <row r="3" spans="1:21" x14ac:dyDescent="0.25">
      <c r="A3" s="220">
        <v>236</v>
      </c>
      <c r="B3" s="220">
        <v>38</v>
      </c>
      <c r="C3" s="215">
        <v>2</v>
      </c>
      <c r="D3" s="214">
        <f>IFERROR(VLOOKUP($C3,$H$2:$N$32,6,FALSE),IFERROR(VLOOKUP($C3,$K$2:$M$32,3,FALSE),0))</f>
        <v>6600</v>
      </c>
      <c r="E3" s="214">
        <f>IFERROR(VLOOKUP($C3,$H$2:$P$32,8,FALSE),IFERROR(VLOOKUP($C3,$K$2:$O$32,5,FALSE),0))</f>
        <v>0</v>
      </c>
      <c r="H3" s="200">
        <f>'Profile - ODME (mailine)'!D10+'Profile - ODME (mailine)'!E10</f>
        <v>0</v>
      </c>
      <c r="I3" s="191">
        <f>'Profile - ODME (mailine)'!Q10</f>
        <v>0</v>
      </c>
      <c r="J3" s="191"/>
      <c r="K3" s="202">
        <f>'Profile - ODME (mailine)'!J10+'Profile - ODME (mailine)'!I10</f>
        <v>0</v>
      </c>
      <c r="L3" s="212">
        <v>0.5</v>
      </c>
      <c r="M3" s="190">
        <f t="shared" ref="M3:M32" si="0">L3*I3</f>
        <v>0</v>
      </c>
      <c r="N3" s="194">
        <f t="shared" ref="N3:N32" si="1">I3-M3</f>
        <v>0</v>
      </c>
      <c r="O3" s="196">
        <f t="shared" ref="O3:O32" si="2">L3*J3</f>
        <v>0</v>
      </c>
      <c r="P3" s="197">
        <f t="shared" ref="P3:P32" si="3">J3-O3</f>
        <v>0</v>
      </c>
      <c r="Q3" s="215"/>
      <c r="R3" s="215">
        <v>44</v>
      </c>
      <c r="S3" s="215">
        <v>108</v>
      </c>
      <c r="T3" s="215">
        <v>237</v>
      </c>
      <c r="U3" s="125" t="s">
        <v>77</v>
      </c>
    </row>
    <row r="4" spans="1:21" x14ac:dyDescent="0.25">
      <c r="A4" s="220">
        <v>224</v>
      </c>
      <c r="B4" s="220">
        <v>222</v>
      </c>
      <c r="C4" s="215">
        <v>3</v>
      </c>
      <c r="D4" s="214">
        <f>IFERROR(VLOOKUP($C4,$H$2:$N$32,6,FALSE),IFERROR(VLOOKUP($C4,$K$2:$M$32,3,FALSE),0))</f>
        <v>22600</v>
      </c>
      <c r="E4" s="214">
        <f>IFERROR(VLOOKUP($C4,$H$2:$P$32,8,FALSE),IFERROR(VLOOKUP($C4,$K$2:$O$32,5,FALSE),0))</f>
        <v>0</v>
      </c>
      <c r="H4" s="200">
        <f>'Profile - ODME (mailine)'!D11+'Profile - ODME (mailine)'!E11</f>
        <v>3</v>
      </c>
      <c r="I4" s="191">
        <f>'Profile - ODME (mailine)'!Q11</f>
        <v>45200</v>
      </c>
      <c r="J4" s="191"/>
      <c r="K4" s="202">
        <f>'Profile - ODME (mailine)'!J11+'Profile - ODME (mailine)'!I11</f>
        <v>4</v>
      </c>
      <c r="L4" s="212">
        <v>0.5</v>
      </c>
      <c r="M4" s="190">
        <f t="shared" si="0"/>
        <v>22600</v>
      </c>
      <c r="N4" s="194">
        <f t="shared" si="1"/>
        <v>22600</v>
      </c>
      <c r="O4" s="196">
        <f t="shared" si="2"/>
        <v>0</v>
      </c>
      <c r="P4" s="197">
        <f t="shared" si="3"/>
        <v>0</v>
      </c>
      <c r="Q4" s="215"/>
      <c r="R4" s="215">
        <v>42</v>
      </c>
      <c r="S4" s="215">
        <v>117</v>
      </c>
      <c r="T4" s="215">
        <v>119</v>
      </c>
      <c r="U4" t="s">
        <v>78</v>
      </c>
    </row>
    <row r="5" spans="1:21" x14ac:dyDescent="0.25">
      <c r="A5" s="220">
        <v>223</v>
      </c>
      <c r="B5" s="220">
        <v>225</v>
      </c>
      <c r="C5" s="215">
        <v>4</v>
      </c>
      <c r="D5" s="214">
        <f>IFERROR(VLOOKUP($C5,$H$2:$N$32,6,FALSE),IFERROR(VLOOKUP($C5,$K$2:$M$32,3,FALSE),0))</f>
        <v>22600</v>
      </c>
      <c r="E5" s="214">
        <f>IFERROR(VLOOKUP($C5,$H$2:$P$32,8,FALSE),IFERROR(VLOOKUP($C5,$K$2:$O$32,5,FALSE),0))</f>
        <v>0</v>
      </c>
      <c r="H5" s="200">
        <f>'Profile - ODME (mailine)'!D12+'Profile - ODME (mailine)'!E12</f>
        <v>0</v>
      </c>
      <c r="I5" s="191">
        <f>'Profile - ODME (mailine)'!Q12</f>
        <v>58400</v>
      </c>
      <c r="J5" s="191"/>
      <c r="K5" s="202">
        <f>'Profile - ODME (mailine)'!J12+'Profile - ODME (mailine)'!I12</f>
        <v>0</v>
      </c>
      <c r="L5" s="212">
        <v>0.5</v>
      </c>
      <c r="M5" s="190">
        <f t="shared" si="0"/>
        <v>29200</v>
      </c>
      <c r="N5" s="194">
        <f t="shared" si="1"/>
        <v>29200</v>
      </c>
      <c r="O5" s="196">
        <f t="shared" si="2"/>
        <v>0</v>
      </c>
      <c r="P5" s="197">
        <f t="shared" si="3"/>
        <v>0</v>
      </c>
      <c r="Q5" s="215"/>
      <c r="R5" s="215">
        <v>40</v>
      </c>
      <c r="S5" s="215">
        <v>119</v>
      </c>
      <c r="T5" s="215">
        <v>122</v>
      </c>
      <c r="U5" t="s">
        <v>79</v>
      </c>
    </row>
    <row r="6" spans="1:21" x14ac:dyDescent="0.25">
      <c r="A6" s="220">
        <v>220</v>
      </c>
      <c r="B6" s="220">
        <v>212</v>
      </c>
      <c r="C6" s="215">
        <v>5</v>
      </c>
      <c r="D6" s="214">
        <f>IFERROR(VLOOKUP($C6,$H$2:$N$32,6,FALSE),IFERROR(VLOOKUP($C6,$K$2:$M$32,3,FALSE),0))</f>
        <v>26500</v>
      </c>
      <c r="E6" s="214">
        <f>IFERROR(VLOOKUP($C6,$H$2:$P$32,8,FALSE),IFERROR(VLOOKUP($C6,$K$2:$O$32,5,FALSE),0))</f>
        <v>0</v>
      </c>
      <c r="H6" s="200">
        <f>'Profile - ODME (mailine)'!D13+'Profile - ODME (mailine)'!E13</f>
        <v>5</v>
      </c>
      <c r="I6" s="191">
        <f>'Profile - ODME (mailine)'!Q13</f>
        <v>53000</v>
      </c>
      <c r="J6" s="191"/>
      <c r="K6" s="202">
        <f>'Profile - ODME (mailine)'!J13+'Profile - ODME (mailine)'!I13</f>
        <v>6</v>
      </c>
      <c r="L6" s="212">
        <v>0.5</v>
      </c>
      <c r="M6" s="190">
        <f t="shared" si="0"/>
        <v>26500</v>
      </c>
      <c r="N6" s="194">
        <f t="shared" si="1"/>
        <v>26500</v>
      </c>
      <c r="O6" s="196">
        <f t="shared" si="2"/>
        <v>0</v>
      </c>
      <c r="P6" s="197">
        <f t="shared" si="3"/>
        <v>0</v>
      </c>
      <c r="Q6" s="215"/>
      <c r="R6" s="215">
        <v>41</v>
      </c>
      <c r="S6" s="215">
        <v>120</v>
      </c>
      <c r="T6" s="215">
        <v>116</v>
      </c>
      <c r="U6" t="s">
        <v>80</v>
      </c>
    </row>
    <row r="7" spans="1:21" x14ac:dyDescent="0.25">
      <c r="A7" s="220">
        <v>211</v>
      </c>
      <c r="B7" s="220">
        <v>219</v>
      </c>
      <c r="C7" s="215">
        <v>6</v>
      </c>
      <c r="D7" s="214">
        <f>IFERROR(VLOOKUP($C7,$H$2:$N$32,6,FALSE),IFERROR(VLOOKUP($C7,$K$2:$M$32,3,FALSE),0))</f>
        <v>26500</v>
      </c>
      <c r="E7" s="214">
        <f>IFERROR(VLOOKUP($C7,$H$2:$P$32,8,FALSE),IFERROR(VLOOKUP($C7,$K$2:$O$32,5,FALSE),0))</f>
        <v>0</v>
      </c>
      <c r="H7" s="200">
        <f>'Profile - ODME (mailine)'!D14+'Profile - ODME (mailine)'!E14</f>
        <v>7</v>
      </c>
      <c r="I7" s="191">
        <f>'Profile - ODME (mailine)'!Q14</f>
        <v>57000</v>
      </c>
      <c r="J7" s="191"/>
      <c r="K7" s="202">
        <f>'Profile - ODME (mailine)'!J14+'Profile - ODME (mailine)'!I14</f>
        <v>8</v>
      </c>
      <c r="L7" s="212">
        <v>0.5</v>
      </c>
      <c r="M7" s="190">
        <f t="shared" si="0"/>
        <v>28500</v>
      </c>
      <c r="N7" s="194">
        <f t="shared" si="1"/>
        <v>28500</v>
      </c>
      <c r="O7" s="196">
        <f t="shared" si="2"/>
        <v>0</v>
      </c>
      <c r="P7" s="197">
        <f t="shared" si="3"/>
        <v>0</v>
      </c>
      <c r="Q7" s="215"/>
      <c r="R7" s="215">
        <v>38</v>
      </c>
      <c r="S7" s="215">
        <v>122</v>
      </c>
      <c r="T7" s="215">
        <v>132</v>
      </c>
      <c r="U7" t="s">
        <v>81</v>
      </c>
    </row>
    <row r="8" spans="1:21" x14ac:dyDescent="0.25">
      <c r="A8" s="220">
        <v>212</v>
      </c>
      <c r="B8" s="220">
        <v>207</v>
      </c>
      <c r="C8" s="215">
        <v>7</v>
      </c>
      <c r="D8" s="214">
        <f>IFERROR(VLOOKUP($C8,$H$2:$N$32,6,FALSE),IFERROR(VLOOKUP($C8,$K$2:$M$32,3,FALSE),0))</f>
        <v>28500</v>
      </c>
      <c r="E8" s="214">
        <f>IFERROR(VLOOKUP($C8,$H$2:$P$32,8,FALSE),IFERROR(VLOOKUP($C8,$K$2:$O$32,5,FALSE),0))</f>
        <v>0</v>
      </c>
      <c r="H8" s="200">
        <f>'Profile - ODME (mailine)'!D15+'Profile - ODME (mailine)'!E15</f>
        <v>0</v>
      </c>
      <c r="I8" s="191">
        <f>'Profile - ODME (mailine)'!Q15</f>
        <v>0</v>
      </c>
      <c r="J8" s="191"/>
      <c r="K8" s="202">
        <f>'Profile - ODME (mailine)'!J15+'Profile - ODME (mailine)'!I15</f>
        <v>0</v>
      </c>
      <c r="L8" s="212">
        <v>0.5</v>
      </c>
      <c r="M8" s="190">
        <f t="shared" si="0"/>
        <v>0</v>
      </c>
      <c r="N8" s="194">
        <f t="shared" si="1"/>
        <v>0</v>
      </c>
      <c r="O8" s="196">
        <f t="shared" si="2"/>
        <v>0</v>
      </c>
      <c r="P8" s="197">
        <f t="shared" si="3"/>
        <v>0</v>
      </c>
      <c r="Q8" s="215"/>
      <c r="R8" s="215">
        <v>39</v>
      </c>
      <c r="S8" s="215">
        <v>123</v>
      </c>
      <c r="T8" s="215">
        <v>120</v>
      </c>
      <c r="U8" t="s">
        <v>82</v>
      </c>
    </row>
    <row r="9" spans="1:21" x14ac:dyDescent="0.25">
      <c r="A9" s="220">
        <v>206</v>
      </c>
      <c r="B9" s="220">
        <v>211</v>
      </c>
      <c r="C9" s="215">
        <v>8</v>
      </c>
      <c r="D9" s="214">
        <f>IFERROR(VLOOKUP($C9,$H$2:$N$32,6,FALSE),IFERROR(VLOOKUP($C9,$K$2:$M$32,3,FALSE),0))</f>
        <v>28500</v>
      </c>
      <c r="E9" s="214">
        <f>IFERROR(VLOOKUP($C9,$H$2:$P$32,8,FALSE),IFERROR(VLOOKUP($C9,$K$2:$O$32,5,FALSE),0))</f>
        <v>0</v>
      </c>
      <c r="H9" s="200">
        <f>'Profile - ODME (mailine)'!D16+'Profile - ODME (mailine)'!E16</f>
        <v>9</v>
      </c>
      <c r="I9" s="191">
        <f>'Profile - ODME (mailine)'!Q16</f>
        <v>57000</v>
      </c>
      <c r="J9" s="191"/>
      <c r="K9" s="202">
        <f>'Profile - ODME (mailine)'!J16+'Profile - ODME (mailine)'!I16</f>
        <v>10</v>
      </c>
      <c r="L9" s="212">
        <v>0.5</v>
      </c>
      <c r="M9" s="190">
        <f t="shared" si="0"/>
        <v>28500</v>
      </c>
      <c r="N9" s="194">
        <f t="shared" si="1"/>
        <v>28500</v>
      </c>
      <c r="O9" s="196">
        <f t="shared" si="2"/>
        <v>0</v>
      </c>
      <c r="P9" s="197">
        <f t="shared" si="3"/>
        <v>0</v>
      </c>
      <c r="Q9" s="215"/>
      <c r="R9" s="215">
        <v>37</v>
      </c>
      <c r="S9" s="215">
        <v>131</v>
      </c>
      <c r="T9" s="215">
        <v>123</v>
      </c>
      <c r="U9" t="s">
        <v>83</v>
      </c>
    </row>
    <row r="10" spans="1:21" x14ac:dyDescent="0.25">
      <c r="A10" s="220">
        <v>203</v>
      </c>
      <c r="B10" s="220">
        <v>201</v>
      </c>
      <c r="C10" s="215">
        <v>9</v>
      </c>
      <c r="D10" s="214">
        <f>IFERROR(VLOOKUP($C10,$H$2:$N$32,6,FALSE),IFERROR(VLOOKUP($C10,$K$2:$M$32,3,FALSE),0))</f>
        <v>28500</v>
      </c>
      <c r="E10" s="214">
        <f>IFERROR(VLOOKUP($C10,$H$2:$P$32,8,FALSE),IFERROR(VLOOKUP($C10,$K$2:$O$32,5,FALSE),0))</f>
        <v>0</v>
      </c>
      <c r="H10" s="200">
        <f>'Profile - ODME (mailine)'!D17+'Profile - ODME (mailine)'!E17</f>
        <v>0</v>
      </c>
      <c r="I10" s="191">
        <f>'Profile - ODME (mailine)'!Q17</f>
        <v>0</v>
      </c>
      <c r="J10" s="191"/>
      <c r="K10" s="202">
        <f>'Profile - ODME (mailine)'!J17+'Profile - ODME (mailine)'!I17</f>
        <v>0</v>
      </c>
      <c r="L10" s="212">
        <v>0.5</v>
      </c>
      <c r="M10" s="190">
        <f t="shared" si="0"/>
        <v>0</v>
      </c>
      <c r="N10" s="194">
        <f t="shared" si="1"/>
        <v>0</v>
      </c>
      <c r="O10" s="196">
        <f t="shared" si="2"/>
        <v>0</v>
      </c>
      <c r="P10" s="197">
        <f t="shared" si="3"/>
        <v>0</v>
      </c>
      <c r="Q10" s="215"/>
      <c r="R10" s="215">
        <v>36</v>
      </c>
      <c r="S10" s="215">
        <v>132</v>
      </c>
      <c r="T10" s="215">
        <v>316</v>
      </c>
      <c r="U10" t="s">
        <v>84</v>
      </c>
    </row>
    <row r="11" spans="1:21" x14ac:dyDescent="0.25">
      <c r="A11" s="220">
        <v>200</v>
      </c>
      <c r="B11" s="220">
        <v>202</v>
      </c>
      <c r="C11" s="215">
        <v>10</v>
      </c>
      <c r="D11" s="214">
        <f>IFERROR(VLOOKUP($C11,$H$2:$N$32,6,FALSE),IFERROR(VLOOKUP($C11,$K$2:$M$32,3,FALSE),0))</f>
        <v>28500</v>
      </c>
      <c r="E11" s="214">
        <f>IFERROR(VLOOKUP($C11,$H$2:$P$32,8,FALSE),IFERROR(VLOOKUP($C11,$K$2:$O$32,5,FALSE),0))</f>
        <v>0</v>
      </c>
      <c r="H11" s="200">
        <f>'Profile - ODME (mailine)'!D18+'Profile - ODME (mailine)'!E18</f>
        <v>11</v>
      </c>
      <c r="I11" s="191">
        <f>'Profile - ODME (mailine)'!Q18</f>
        <v>51700</v>
      </c>
      <c r="J11" s="191"/>
      <c r="K11" s="202">
        <f>'Profile - ODME (mailine)'!J18+'Profile - ODME (mailine)'!I18</f>
        <v>12</v>
      </c>
      <c r="L11" s="212">
        <v>0.5</v>
      </c>
      <c r="M11" s="190">
        <f t="shared" si="0"/>
        <v>25850</v>
      </c>
      <c r="N11" s="194">
        <f t="shared" si="1"/>
        <v>25850</v>
      </c>
      <c r="O11" s="196">
        <f t="shared" si="2"/>
        <v>0</v>
      </c>
      <c r="P11" s="197">
        <f t="shared" si="3"/>
        <v>0</v>
      </c>
      <c r="Q11" s="215"/>
      <c r="R11" s="215">
        <v>35</v>
      </c>
      <c r="S11" s="215">
        <v>134</v>
      </c>
      <c r="T11" s="215">
        <v>131</v>
      </c>
      <c r="U11" t="s">
        <v>85</v>
      </c>
    </row>
    <row r="12" spans="1:21" x14ac:dyDescent="0.25">
      <c r="A12" s="220">
        <v>196</v>
      </c>
      <c r="B12" s="220">
        <v>193</v>
      </c>
      <c r="C12" s="215">
        <v>11</v>
      </c>
      <c r="D12" s="214">
        <f>IFERROR(VLOOKUP($C12,$H$2:$N$32,6,FALSE),IFERROR(VLOOKUP($C12,$K$2:$M$32,3,FALSE),0))</f>
        <v>25850</v>
      </c>
      <c r="E12" s="214">
        <f>IFERROR(VLOOKUP($C12,$H$2:$P$32,8,FALSE),IFERROR(VLOOKUP($C12,$K$2:$O$32,5,FALSE),0))</f>
        <v>0</v>
      </c>
      <c r="H12" s="200">
        <f>'Profile - ODME (mailine)'!D19+'Profile - ODME (mailine)'!E19</f>
        <v>13</v>
      </c>
      <c r="I12" s="191">
        <f>'Profile - ODME (mailine)'!Q19</f>
        <v>63600</v>
      </c>
      <c r="J12" s="191"/>
      <c r="K12" s="202">
        <f>'Profile - ODME (mailine)'!J19+'Profile - ODME (mailine)'!I19</f>
        <v>14</v>
      </c>
      <c r="L12" s="212">
        <v>0.5</v>
      </c>
      <c r="M12" s="190">
        <f t="shared" si="0"/>
        <v>31800</v>
      </c>
      <c r="N12" s="194">
        <f t="shared" si="1"/>
        <v>31800</v>
      </c>
      <c r="O12" s="196">
        <f t="shared" si="2"/>
        <v>0</v>
      </c>
      <c r="P12" s="197">
        <f t="shared" si="3"/>
        <v>0</v>
      </c>
      <c r="Q12" s="215"/>
      <c r="R12" s="215">
        <v>34</v>
      </c>
      <c r="S12" s="215">
        <v>135</v>
      </c>
      <c r="T12" s="215">
        <v>137</v>
      </c>
    </row>
    <row r="13" spans="1:21" x14ac:dyDescent="0.25">
      <c r="A13" s="220">
        <v>194</v>
      </c>
      <c r="B13" s="220">
        <v>197</v>
      </c>
      <c r="C13" s="215">
        <v>12</v>
      </c>
      <c r="D13" s="214">
        <f>IFERROR(VLOOKUP($C13,$H$2:$N$32,6,FALSE),IFERROR(VLOOKUP($C13,$K$2:$M$32,3,FALSE),0))</f>
        <v>25850</v>
      </c>
      <c r="E13" s="214">
        <f>IFERROR(VLOOKUP($C13,$H$2:$P$32,8,FALSE),IFERROR(VLOOKUP($C13,$K$2:$O$32,5,FALSE),0))</f>
        <v>0</v>
      </c>
      <c r="H13" s="200">
        <f>'Profile - ODME (mailine)'!D20+'Profile - ODME (mailine)'!E20</f>
        <v>15</v>
      </c>
      <c r="I13" s="191">
        <f>'Profile - ODME (mailine)'!Q20</f>
        <v>63600</v>
      </c>
      <c r="J13" s="191"/>
      <c r="K13" s="202">
        <f>'Profile - ODME (mailine)'!J20+'Profile - ODME (mailine)'!I20</f>
        <v>16</v>
      </c>
      <c r="L13" s="212">
        <v>0.5</v>
      </c>
      <c r="M13" s="190">
        <f t="shared" si="0"/>
        <v>31800</v>
      </c>
      <c r="N13" s="194">
        <f t="shared" si="1"/>
        <v>31800</v>
      </c>
      <c r="O13" s="196">
        <f t="shared" si="2"/>
        <v>0</v>
      </c>
      <c r="P13" s="197">
        <f t="shared" si="3"/>
        <v>0</v>
      </c>
      <c r="Q13" s="215"/>
      <c r="R13" s="215">
        <v>33</v>
      </c>
      <c r="S13" s="215">
        <v>136</v>
      </c>
      <c r="T13" s="215">
        <v>134</v>
      </c>
    </row>
    <row r="14" spans="1:21" x14ac:dyDescent="0.25">
      <c r="A14" s="220">
        <v>193</v>
      </c>
      <c r="B14" s="220">
        <v>190</v>
      </c>
      <c r="C14" s="215">
        <v>13</v>
      </c>
      <c r="D14" s="214">
        <f>IFERROR(VLOOKUP($C14,$H$2:$N$32,6,FALSE),IFERROR(VLOOKUP($C14,$K$2:$M$32,3,FALSE),0))</f>
        <v>31800</v>
      </c>
      <c r="E14" s="214">
        <f>IFERROR(VLOOKUP($C14,$H$2:$P$32,8,FALSE),IFERROR(VLOOKUP($C14,$K$2:$O$32,5,FALSE),0))</f>
        <v>0</v>
      </c>
      <c r="H14" s="200">
        <f>'Profile - ODME (mailine)'!D21+'Profile - ODME (mailine)'!E21</f>
        <v>17</v>
      </c>
      <c r="I14" s="191">
        <f>'Profile - ODME (mailine)'!Q21</f>
        <v>55000</v>
      </c>
      <c r="J14" s="191"/>
      <c r="K14" s="202">
        <f>'Profile - ODME (mailine)'!J21+'Profile - ODME (mailine)'!I21</f>
        <v>18</v>
      </c>
      <c r="L14" s="212">
        <v>0.5</v>
      </c>
      <c r="M14" s="190">
        <f t="shared" si="0"/>
        <v>27500</v>
      </c>
      <c r="N14" s="194">
        <f t="shared" si="1"/>
        <v>27500</v>
      </c>
      <c r="O14" s="196">
        <f t="shared" si="2"/>
        <v>0</v>
      </c>
      <c r="P14" s="197">
        <f t="shared" si="3"/>
        <v>0</v>
      </c>
      <c r="Q14" s="215"/>
      <c r="R14" s="215">
        <v>32</v>
      </c>
      <c r="S14" s="215">
        <v>139</v>
      </c>
      <c r="T14" s="215">
        <v>150</v>
      </c>
    </row>
    <row r="15" spans="1:21" x14ac:dyDescent="0.25">
      <c r="A15" s="220">
        <v>189</v>
      </c>
      <c r="B15" s="220">
        <v>194</v>
      </c>
      <c r="C15" s="215">
        <v>14</v>
      </c>
      <c r="D15" s="214">
        <f>IFERROR(VLOOKUP($C15,$H$2:$N$32,6,FALSE),IFERROR(VLOOKUP($C15,$K$2:$M$32,3,FALSE),0))</f>
        <v>31800</v>
      </c>
      <c r="E15" s="214">
        <f>IFERROR(VLOOKUP($C15,$H$2:$P$32,8,FALSE),IFERROR(VLOOKUP($C15,$K$2:$O$32,5,FALSE),0))</f>
        <v>0</v>
      </c>
      <c r="H15" s="200">
        <f>'Profile - ODME (mailine)'!D22+'Profile - ODME (mailine)'!E22</f>
        <v>19</v>
      </c>
      <c r="I15" s="191">
        <f>'Profile - ODME (mailine)'!Q22</f>
        <v>63200</v>
      </c>
      <c r="J15" s="191"/>
      <c r="K15" s="202">
        <f>'Profile - ODME (mailine)'!J22+'Profile - ODME (mailine)'!I22</f>
        <v>20</v>
      </c>
      <c r="L15" s="212">
        <v>0.5</v>
      </c>
      <c r="M15" s="190">
        <f t="shared" si="0"/>
        <v>31600</v>
      </c>
      <c r="N15" s="194">
        <f t="shared" si="1"/>
        <v>31600</v>
      </c>
      <c r="O15" s="196">
        <f t="shared" si="2"/>
        <v>0</v>
      </c>
      <c r="P15" s="197">
        <f t="shared" si="3"/>
        <v>0</v>
      </c>
      <c r="Q15" s="215"/>
      <c r="R15" s="215">
        <v>31</v>
      </c>
      <c r="S15" s="215">
        <v>149</v>
      </c>
      <c r="T15" s="215">
        <v>138</v>
      </c>
    </row>
    <row r="16" spans="1:21" x14ac:dyDescent="0.25">
      <c r="A16" s="220">
        <v>190</v>
      </c>
      <c r="B16" s="220">
        <v>187</v>
      </c>
      <c r="C16" s="215">
        <v>15</v>
      </c>
      <c r="D16" s="214">
        <f>IFERROR(VLOOKUP($C16,$H$2:$N$32,6,FALSE),IFERROR(VLOOKUP($C16,$K$2:$M$32,3,FALSE),0))</f>
        <v>31800</v>
      </c>
      <c r="E16" s="214">
        <f>IFERROR(VLOOKUP($C16,$H$2:$P$32,8,FALSE),IFERROR(VLOOKUP($C16,$K$2:$O$32,5,FALSE),0))</f>
        <v>0</v>
      </c>
      <c r="H16" s="200">
        <f>'Profile - ODME (mailine)'!D23+'Profile - ODME (mailine)'!E23</f>
        <v>47</v>
      </c>
      <c r="I16" s="191">
        <f>'Profile - ODME (mailine)'!Q23</f>
        <v>63200</v>
      </c>
      <c r="J16" s="191"/>
      <c r="K16" s="202">
        <f>'Profile - ODME (mailine)'!J23+'Profile - ODME (mailine)'!I23</f>
        <v>48</v>
      </c>
      <c r="L16" s="212">
        <v>0.5</v>
      </c>
      <c r="M16" s="190">
        <f t="shared" si="0"/>
        <v>31600</v>
      </c>
      <c r="N16" s="194">
        <f t="shared" si="1"/>
        <v>31600</v>
      </c>
      <c r="O16" s="196">
        <f t="shared" si="2"/>
        <v>0</v>
      </c>
      <c r="P16" s="197">
        <f t="shared" si="3"/>
        <v>0</v>
      </c>
      <c r="Q16" s="215"/>
      <c r="R16" s="215">
        <v>28</v>
      </c>
      <c r="S16" s="215">
        <v>150</v>
      </c>
      <c r="T16" s="215">
        <v>151</v>
      </c>
    </row>
    <row r="17" spans="1:20" x14ac:dyDescent="0.25">
      <c r="A17" s="220">
        <v>188</v>
      </c>
      <c r="B17" s="220">
        <v>189</v>
      </c>
      <c r="C17" s="215">
        <v>16</v>
      </c>
      <c r="D17" s="214">
        <f>IFERROR(VLOOKUP($C17,$H$2:$N$32,6,FALSE),IFERROR(VLOOKUP($C17,$K$2:$M$32,3,FALSE),0))</f>
        <v>31800</v>
      </c>
      <c r="E17" s="214">
        <f>IFERROR(VLOOKUP($C17,$H$2:$P$32,8,FALSE),IFERROR(VLOOKUP($C17,$K$2:$O$32,5,FALSE),0))</f>
        <v>0</v>
      </c>
      <c r="H17" s="200">
        <f>'Profile - ODME (mailine)'!D24+'Profile - ODME (mailine)'!E24</f>
        <v>21</v>
      </c>
      <c r="I17" s="191">
        <f>'Profile - ODME (mailine)'!Q24</f>
        <v>57100</v>
      </c>
      <c r="J17" s="191"/>
      <c r="K17" s="202">
        <f>'Profile - ODME (mailine)'!J24+'Profile - ODME (mailine)'!I24</f>
        <v>22</v>
      </c>
      <c r="L17" s="212">
        <v>0.5</v>
      </c>
      <c r="M17" s="190">
        <f t="shared" si="0"/>
        <v>28550</v>
      </c>
      <c r="N17" s="194">
        <f t="shared" si="1"/>
        <v>28550</v>
      </c>
      <c r="O17" s="196">
        <f t="shared" si="2"/>
        <v>0</v>
      </c>
      <c r="P17" s="197">
        <f t="shared" si="3"/>
        <v>0</v>
      </c>
      <c r="Q17" s="215"/>
      <c r="R17" s="215">
        <v>30</v>
      </c>
      <c r="S17" s="215">
        <v>151</v>
      </c>
      <c r="T17" s="215">
        <v>160</v>
      </c>
    </row>
    <row r="18" spans="1:20" x14ac:dyDescent="0.25">
      <c r="A18" s="220">
        <v>187</v>
      </c>
      <c r="B18" s="220">
        <v>179</v>
      </c>
      <c r="C18" s="215">
        <v>17</v>
      </c>
      <c r="D18" s="214">
        <f>IFERROR(VLOOKUP($C18,$H$2:$N$32,6,FALSE),IFERROR(VLOOKUP($C18,$K$2:$M$32,3,FALSE),0))</f>
        <v>27500</v>
      </c>
      <c r="E18" s="214">
        <f>IFERROR(VLOOKUP($C18,$H$2:$P$32,8,FALSE),IFERROR(VLOOKUP($C18,$K$2:$O$32,5,FALSE),0))</f>
        <v>0</v>
      </c>
      <c r="H18" s="200">
        <f>'Profile - ODME (mailine)'!D25+'Profile - ODME (mailine)'!E25</f>
        <v>0</v>
      </c>
      <c r="I18" s="191">
        <f>'Profile - ODME (mailine)'!Q25</f>
        <v>0</v>
      </c>
      <c r="J18" s="191"/>
      <c r="K18" s="202">
        <f>'Profile - ODME (mailine)'!J25+'Profile - ODME (mailine)'!I25</f>
        <v>0</v>
      </c>
      <c r="L18" s="212">
        <v>0.5</v>
      </c>
      <c r="M18" s="190">
        <f t="shared" si="0"/>
        <v>0</v>
      </c>
      <c r="N18" s="194">
        <f t="shared" si="1"/>
        <v>0</v>
      </c>
      <c r="O18" s="196">
        <f t="shared" si="2"/>
        <v>0</v>
      </c>
      <c r="P18" s="197">
        <f t="shared" si="3"/>
        <v>0</v>
      </c>
      <c r="Q18" s="215"/>
      <c r="R18" s="215">
        <v>27</v>
      </c>
      <c r="S18" s="215">
        <v>152</v>
      </c>
      <c r="T18" s="215">
        <v>149</v>
      </c>
    </row>
    <row r="19" spans="1:20" x14ac:dyDescent="0.25">
      <c r="A19" s="220">
        <v>181</v>
      </c>
      <c r="B19" s="220">
        <v>188</v>
      </c>
      <c r="C19" s="215">
        <v>18</v>
      </c>
      <c r="D19" s="214">
        <f>IFERROR(VLOOKUP($C19,$H$2:$N$32,6,FALSE),IFERROR(VLOOKUP($C19,$K$2:$M$32,3,FALSE),0))</f>
        <v>27500</v>
      </c>
      <c r="E19" s="214">
        <f>IFERROR(VLOOKUP($C19,$H$2:$P$32,8,FALSE),IFERROR(VLOOKUP($C19,$K$2:$O$32,5,FALSE),0))</f>
        <v>0</v>
      </c>
      <c r="H19" s="200">
        <f>'Profile - ODME (mailine)'!D26+'Profile - ODME (mailine)'!E26</f>
        <v>25</v>
      </c>
      <c r="I19" s="191">
        <f>'Profile - ODME (mailine)'!Q26</f>
        <v>68300</v>
      </c>
      <c r="J19" s="191"/>
      <c r="K19" s="202">
        <f>'Profile - ODME (mailine)'!J26+'Profile - ODME (mailine)'!I26</f>
        <v>26</v>
      </c>
      <c r="L19" s="212">
        <v>0.5</v>
      </c>
      <c r="M19" s="190">
        <f t="shared" si="0"/>
        <v>34150</v>
      </c>
      <c r="N19" s="194">
        <f t="shared" si="1"/>
        <v>34150</v>
      </c>
      <c r="O19" s="196">
        <f t="shared" si="2"/>
        <v>0</v>
      </c>
      <c r="P19" s="197">
        <f t="shared" si="3"/>
        <v>0</v>
      </c>
      <c r="Q19" s="215"/>
      <c r="R19" s="215">
        <v>29</v>
      </c>
      <c r="S19" s="215">
        <v>156</v>
      </c>
      <c r="T19" s="215">
        <v>152</v>
      </c>
    </row>
    <row r="20" spans="1:20" x14ac:dyDescent="0.25">
      <c r="A20" s="220">
        <v>268</v>
      </c>
      <c r="B20" s="220">
        <v>178</v>
      </c>
      <c r="C20" s="215">
        <v>19</v>
      </c>
      <c r="D20" s="214">
        <f>IFERROR(VLOOKUP($C20,$H$2:$N$32,6,FALSE),IFERROR(VLOOKUP($C20,$K$2:$M$32,3,FALSE),0))</f>
        <v>31600</v>
      </c>
      <c r="E20" s="214">
        <f>IFERROR(VLOOKUP($C20,$H$2:$P$32,8,FALSE),IFERROR(VLOOKUP($C20,$K$2:$O$32,5,FALSE),0))</f>
        <v>0</v>
      </c>
      <c r="H20" s="200">
        <f>'Profile - ODME (mailine)'!D27+'Profile - ODME (mailine)'!E27</f>
        <v>0</v>
      </c>
      <c r="I20" s="191">
        <f>'Profile - ODME (mailine)'!Q27</f>
        <v>0</v>
      </c>
      <c r="J20" s="191"/>
      <c r="K20" s="202">
        <f>'Profile - ODME (mailine)'!J27+'Profile - ODME (mailine)'!I27</f>
        <v>0</v>
      </c>
      <c r="L20" s="212">
        <v>0.5</v>
      </c>
      <c r="M20" s="190">
        <f t="shared" si="0"/>
        <v>0</v>
      </c>
      <c r="N20" s="194">
        <f t="shared" si="1"/>
        <v>0</v>
      </c>
      <c r="O20" s="196">
        <f t="shared" si="2"/>
        <v>0</v>
      </c>
      <c r="P20" s="197">
        <f t="shared" si="3"/>
        <v>0</v>
      </c>
      <c r="Q20" s="215"/>
      <c r="R20" s="215">
        <v>23</v>
      </c>
      <c r="S20" s="215">
        <v>157</v>
      </c>
      <c r="T20" s="215">
        <v>285</v>
      </c>
    </row>
    <row r="21" spans="1:20" x14ac:dyDescent="0.25">
      <c r="A21" s="220">
        <v>177</v>
      </c>
      <c r="B21" s="220">
        <v>267</v>
      </c>
      <c r="C21" s="215">
        <v>20</v>
      </c>
      <c r="D21" s="214">
        <f>IFERROR(VLOOKUP($C21,$H$2:$N$32,6,FALSE),IFERROR(VLOOKUP($C21,$K$2:$M$32,3,FALSE),0))</f>
        <v>31600</v>
      </c>
      <c r="E21" s="214">
        <f>IFERROR(VLOOKUP($C21,$H$2:$P$32,8,FALSE),IFERROR(VLOOKUP($C21,$K$2:$O$32,5,FALSE),0))</f>
        <v>0</v>
      </c>
      <c r="H21" s="200">
        <f>'Profile - ODME (mailine)'!D28+'Profile - ODME (mailine)'!E28</f>
        <v>23</v>
      </c>
      <c r="I21" s="191">
        <f>'Profile - ODME (mailine)'!Q28</f>
        <v>68300</v>
      </c>
      <c r="J21" s="191"/>
      <c r="K21" s="202">
        <f>'Profile - ODME (mailine)'!J28+'Profile - ODME (mailine)'!I28</f>
        <v>24</v>
      </c>
      <c r="L21" s="212">
        <v>0.5</v>
      </c>
      <c r="M21" s="190">
        <f t="shared" si="0"/>
        <v>34150</v>
      </c>
      <c r="N21" s="194">
        <f t="shared" si="1"/>
        <v>34150</v>
      </c>
      <c r="O21" s="196">
        <f t="shared" si="2"/>
        <v>0</v>
      </c>
      <c r="P21" s="197">
        <f t="shared" si="3"/>
        <v>0</v>
      </c>
      <c r="Q21" s="215"/>
      <c r="R21" s="215">
        <v>26</v>
      </c>
      <c r="S21" s="215">
        <v>160</v>
      </c>
      <c r="T21" s="215">
        <v>290</v>
      </c>
    </row>
    <row r="22" spans="1:20" x14ac:dyDescent="0.25">
      <c r="A22" s="220">
        <v>170</v>
      </c>
      <c r="B22" s="220">
        <v>157</v>
      </c>
      <c r="C22" s="215">
        <v>21</v>
      </c>
      <c r="D22" s="214">
        <f>IFERROR(VLOOKUP($C22,$H$2:$N$32,6,FALSE),IFERROR(VLOOKUP($C22,$K$2:$M$32,3,FALSE),0))</f>
        <v>28550</v>
      </c>
      <c r="E22" s="214">
        <f>IFERROR(VLOOKUP($C22,$H$2:$P$32,8,FALSE),IFERROR(VLOOKUP($C22,$K$2:$O$32,5,FALSE),0))</f>
        <v>0</v>
      </c>
      <c r="H22" s="200">
        <f>'Profile - ODME (mailine)'!D29+'Profile - ODME (mailine)'!E29</f>
        <v>29</v>
      </c>
      <c r="I22" s="191">
        <f>'Profile - ODME (mailine)'!Q29</f>
        <v>60800</v>
      </c>
      <c r="J22" s="191"/>
      <c r="K22" s="202">
        <f>'Profile - ODME (mailine)'!J29+'Profile - ODME (mailine)'!I29</f>
        <v>30</v>
      </c>
      <c r="L22" s="212">
        <v>0.5</v>
      </c>
      <c r="M22" s="190">
        <f t="shared" si="0"/>
        <v>30400</v>
      </c>
      <c r="N22" s="194">
        <f t="shared" si="1"/>
        <v>30400</v>
      </c>
      <c r="O22" s="196">
        <f t="shared" si="2"/>
        <v>0</v>
      </c>
      <c r="P22" s="197">
        <f t="shared" si="3"/>
        <v>0</v>
      </c>
      <c r="Q22" s="215"/>
      <c r="R22" s="215">
        <v>22</v>
      </c>
      <c r="S22" s="215">
        <v>163</v>
      </c>
      <c r="T22" s="215">
        <v>173</v>
      </c>
    </row>
    <row r="23" spans="1:20" x14ac:dyDescent="0.25">
      <c r="A23" s="220">
        <v>163</v>
      </c>
      <c r="B23" s="220">
        <v>173</v>
      </c>
      <c r="C23" s="215">
        <v>22</v>
      </c>
      <c r="D23" s="214">
        <f>IFERROR(VLOOKUP($C23,$H$2:$N$32,6,FALSE),IFERROR(VLOOKUP($C23,$K$2:$M$32,3,FALSE),0))</f>
        <v>28550</v>
      </c>
      <c r="E23" s="214">
        <f>IFERROR(VLOOKUP($C23,$H$2:$P$32,8,FALSE),IFERROR(VLOOKUP($C23,$K$2:$O$32,5,FALSE),0))</f>
        <v>0</v>
      </c>
      <c r="H23" s="200">
        <f>'Profile - ODME (mailine)'!D30+'Profile - ODME (mailine)'!E30</f>
        <v>45</v>
      </c>
      <c r="I23" s="191">
        <f>'Profile - ODME (mailine)'!Q30</f>
        <v>74400</v>
      </c>
      <c r="J23" s="191"/>
      <c r="K23" s="202">
        <f>'Profile - ODME (mailine)'!J30+'Profile - ODME (mailine)'!I30</f>
        <v>46</v>
      </c>
      <c r="L23" s="212">
        <v>0.5</v>
      </c>
      <c r="M23" s="190">
        <f t="shared" si="0"/>
        <v>37200</v>
      </c>
      <c r="N23" s="194">
        <f t="shared" si="1"/>
        <v>37200</v>
      </c>
      <c r="O23" s="196">
        <f t="shared" si="2"/>
        <v>0</v>
      </c>
      <c r="P23" s="197">
        <f t="shared" si="3"/>
        <v>0</v>
      </c>
      <c r="Q23" s="215"/>
      <c r="R23" s="215">
        <v>21</v>
      </c>
      <c r="S23" s="215">
        <v>170</v>
      </c>
      <c r="T23" s="215">
        <v>157</v>
      </c>
    </row>
    <row r="24" spans="1:20" x14ac:dyDescent="0.25">
      <c r="A24" s="220">
        <v>157</v>
      </c>
      <c r="B24" s="220">
        <v>285</v>
      </c>
      <c r="C24" s="215">
        <v>23</v>
      </c>
      <c r="D24" s="214">
        <f>IFERROR(VLOOKUP($C24,$H$2:$N$32,6,FALSE),IFERROR(VLOOKUP($C24,$K$2:$M$32,3,FALSE),0))</f>
        <v>34150</v>
      </c>
      <c r="E24" s="214">
        <f>IFERROR(VLOOKUP($C24,$H$2:$P$32,8,FALSE),IFERROR(VLOOKUP($C24,$K$2:$O$32,5,FALSE),0))</f>
        <v>0</v>
      </c>
      <c r="H24" s="200">
        <f>'Profile - ODME (mailine)'!D31+'Profile - ODME (mailine)'!E31</f>
        <v>27</v>
      </c>
      <c r="I24" s="191">
        <f>'Profile - ODME (mailine)'!Q31</f>
        <v>74400</v>
      </c>
      <c r="J24" s="191"/>
      <c r="K24" s="202">
        <f>'Profile - ODME (mailine)'!J31+'Profile - ODME (mailine)'!I31</f>
        <v>28</v>
      </c>
      <c r="L24" s="212">
        <v>0.5</v>
      </c>
      <c r="M24" s="190">
        <f t="shared" si="0"/>
        <v>37200</v>
      </c>
      <c r="N24" s="194">
        <f t="shared" si="1"/>
        <v>37200</v>
      </c>
      <c r="O24" s="196">
        <f t="shared" si="2"/>
        <v>0</v>
      </c>
      <c r="P24" s="197">
        <f t="shared" si="3"/>
        <v>0</v>
      </c>
      <c r="Q24" s="215"/>
      <c r="R24" s="215">
        <v>48</v>
      </c>
      <c r="S24" s="215">
        <v>176</v>
      </c>
      <c r="T24" s="215">
        <v>272</v>
      </c>
    </row>
    <row r="25" spans="1:20" x14ac:dyDescent="0.25">
      <c r="A25" s="220">
        <v>286</v>
      </c>
      <c r="B25" s="220">
        <v>158</v>
      </c>
      <c r="C25" s="215">
        <v>24</v>
      </c>
      <c r="D25" s="214">
        <f>IFERROR(VLOOKUP($C25,$H$2:$N$32,6,FALSE),IFERROR(VLOOKUP($C25,$K$2:$M$32,3,FALSE),0))</f>
        <v>34150</v>
      </c>
      <c r="E25" s="214">
        <f>IFERROR(VLOOKUP($C25,$H$2:$P$32,8,FALSE),IFERROR(VLOOKUP($C25,$K$2:$O$32,5,FALSE),0))</f>
        <v>0</v>
      </c>
      <c r="H25" s="200">
        <f>'Profile - ODME (mailine)'!D32+'Profile - ODME (mailine)'!E32</f>
        <v>0</v>
      </c>
      <c r="I25" s="191">
        <f>'Profile - ODME (mailine)'!Q32</f>
        <v>0</v>
      </c>
      <c r="J25" s="191"/>
      <c r="K25" s="202">
        <f>'Profile - ODME (mailine)'!J32+'Profile - ODME (mailine)'!I32</f>
        <v>0</v>
      </c>
      <c r="L25" s="212">
        <v>0.5</v>
      </c>
      <c r="M25" s="190">
        <f t="shared" si="0"/>
        <v>0</v>
      </c>
      <c r="N25" s="194">
        <f t="shared" si="1"/>
        <v>0</v>
      </c>
      <c r="O25" s="196">
        <f t="shared" si="2"/>
        <v>0</v>
      </c>
      <c r="P25" s="197">
        <f t="shared" si="3"/>
        <v>0</v>
      </c>
      <c r="Q25" s="215"/>
      <c r="R25" s="215">
        <v>20</v>
      </c>
      <c r="S25" s="215">
        <v>177</v>
      </c>
      <c r="T25" s="215">
        <v>267</v>
      </c>
    </row>
    <row r="26" spans="1:20" x14ac:dyDescent="0.25">
      <c r="A26" s="220">
        <v>289</v>
      </c>
      <c r="B26" s="220">
        <v>156</v>
      </c>
      <c r="C26" s="215">
        <v>25</v>
      </c>
      <c r="D26" s="214">
        <f>IFERROR(VLOOKUP($C26,$H$2:$N$32,6,FALSE),IFERROR(VLOOKUP($C26,$K$2:$M$32,3,FALSE),0))</f>
        <v>34150</v>
      </c>
      <c r="E26" s="214">
        <f>IFERROR(VLOOKUP($C26,$H$2:$P$32,8,FALSE),IFERROR(VLOOKUP($C26,$K$2:$O$32,5,FALSE),0))</f>
        <v>0</v>
      </c>
      <c r="H26" s="200">
        <f>'Profile - ODME (mailine)'!D33+'Profile - ODME (mailine)'!E33</f>
        <v>31</v>
      </c>
      <c r="I26" s="191">
        <f>'Profile - ODME (mailine)'!Q33</f>
        <v>74400</v>
      </c>
      <c r="J26" s="191"/>
      <c r="K26" s="202">
        <f>'Profile - ODME (mailine)'!J33+'Profile - ODME (mailine)'!I33</f>
        <v>32</v>
      </c>
      <c r="L26" s="212">
        <v>0.5</v>
      </c>
      <c r="M26" s="190">
        <f t="shared" si="0"/>
        <v>37200</v>
      </c>
      <c r="N26" s="194">
        <f t="shared" si="1"/>
        <v>37200</v>
      </c>
      <c r="O26" s="196">
        <f t="shared" si="2"/>
        <v>0</v>
      </c>
      <c r="P26" s="197">
        <f t="shared" si="3"/>
        <v>0</v>
      </c>
      <c r="Q26" s="215"/>
      <c r="R26" s="215">
        <v>18</v>
      </c>
      <c r="S26" s="215">
        <v>181</v>
      </c>
      <c r="T26" s="215">
        <v>188</v>
      </c>
    </row>
    <row r="27" spans="1:20" x14ac:dyDescent="0.25">
      <c r="A27" s="220">
        <v>160</v>
      </c>
      <c r="B27" s="220">
        <v>290</v>
      </c>
      <c r="C27" s="215">
        <v>26</v>
      </c>
      <c r="D27" s="214">
        <f>IFERROR(VLOOKUP($C27,$H$2:$N$32,6,FALSE),IFERROR(VLOOKUP($C27,$K$2:$M$32,3,FALSE),0))</f>
        <v>34150</v>
      </c>
      <c r="E27" s="214">
        <f>IFERROR(VLOOKUP($C27,$H$2:$P$32,8,FALSE),IFERROR(VLOOKUP($C27,$K$2:$O$32,5,FALSE),0))</f>
        <v>0</v>
      </c>
      <c r="H27" s="200">
        <f>'Profile - ODME (mailine)'!D34+'Profile - ODME (mailine)'!E34</f>
        <v>33</v>
      </c>
      <c r="I27" s="191">
        <f>'Profile - ODME (mailine)'!Q34</f>
        <v>85300</v>
      </c>
      <c r="J27" s="191"/>
      <c r="K27" s="202">
        <f>'Profile - ODME (mailine)'!J34+'Profile - ODME (mailine)'!I34</f>
        <v>34</v>
      </c>
      <c r="L27" s="212">
        <v>0.5</v>
      </c>
      <c r="M27" s="190">
        <f t="shared" si="0"/>
        <v>42650</v>
      </c>
      <c r="N27" s="194">
        <f t="shared" si="1"/>
        <v>42650</v>
      </c>
      <c r="O27" s="196">
        <f t="shared" si="2"/>
        <v>0</v>
      </c>
      <c r="P27" s="197">
        <f t="shared" si="3"/>
        <v>0</v>
      </c>
      <c r="Q27" s="215"/>
      <c r="R27" s="215">
        <v>17</v>
      </c>
      <c r="S27" s="215">
        <v>187</v>
      </c>
      <c r="T27" s="215">
        <v>179</v>
      </c>
    </row>
    <row r="28" spans="1:20" x14ac:dyDescent="0.25">
      <c r="A28" s="220">
        <v>152</v>
      </c>
      <c r="B28" s="220">
        <v>149</v>
      </c>
      <c r="C28" s="215">
        <v>27</v>
      </c>
      <c r="D28" s="214">
        <f>IFERROR(VLOOKUP($C28,$H$2:$N$32,6,FALSE),IFERROR(VLOOKUP($C28,$K$2:$M$32,3,FALSE),0))</f>
        <v>37200</v>
      </c>
      <c r="E28" s="214">
        <f>IFERROR(VLOOKUP($C28,$H$2:$P$32,8,FALSE),IFERROR(VLOOKUP($C28,$K$2:$O$32,5,FALSE),0))</f>
        <v>0</v>
      </c>
      <c r="H28" s="200">
        <f>'Profile - ODME (mailine)'!D35+'Profile - ODME (mailine)'!E35</f>
        <v>35</v>
      </c>
      <c r="I28" s="191">
        <f>'Profile - ODME (mailine)'!Q35</f>
        <v>74600</v>
      </c>
      <c r="J28" s="191"/>
      <c r="K28" s="202">
        <f>'Profile - ODME (mailine)'!J35+'Profile - ODME (mailine)'!I35</f>
        <v>36</v>
      </c>
      <c r="L28" s="212">
        <v>0.5</v>
      </c>
      <c r="M28" s="190">
        <f t="shared" si="0"/>
        <v>37300</v>
      </c>
      <c r="N28" s="194">
        <f t="shared" si="1"/>
        <v>37300</v>
      </c>
      <c r="O28" s="196">
        <f t="shared" si="2"/>
        <v>0</v>
      </c>
      <c r="P28" s="197">
        <f t="shared" si="3"/>
        <v>0</v>
      </c>
      <c r="Q28" s="215"/>
      <c r="R28" s="215">
        <v>16</v>
      </c>
      <c r="S28" s="215">
        <v>188</v>
      </c>
      <c r="T28" s="215">
        <v>189</v>
      </c>
    </row>
    <row r="29" spans="1:20" x14ac:dyDescent="0.25">
      <c r="A29" s="220">
        <v>150</v>
      </c>
      <c r="B29" s="220">
        <v>151</v>
      </c>
      <c r="C29" s="215">
        <v>28</v>
      </c>
      <c r="D29" s="214">
        <f>IFERROR(VLOOKUP($C29,$H$2:$N$32,6,FALSE),IFERROR(VLOOKUP($C29,$K$2:$M$32,3,FALSE),0))</f>
        <v>37200</v>
      </c>
      <c r="E29" s="214">
        <f>IFERROR(VLOOKUP($C29,$H$2:$P$32,8,FALSE),IFERROR(VLOOKUP($C29,$K$2:$O$32,5,FALSE),0))</f>
        <v>0</v>
      </c>
      <c r="H29" s="200">
        <f>'Profile - ODME (mailine)'!D36+'Profile - ODME (mailine)'!E36</f>
        <v>37</v>
      </c>
      <c r="I29" s="191">
        <f>'Profile - ODME (mailine)'!Q36</f>
        <v>74600</v>
      </c>
      <c r="J29" s="191"/>
      <c r="K29" s="202">
        <f>'Profile - ODME (mailine)'!J36+'Profile - ODME (mailine)'!I36</f>
        <v>38</v>
      </c>
      <c r="L29" s="212">
        <v>0.5</v>
      </c>
      <c r="M29" s="190">
        <f t="shared" si="0"/>
        <v>37300</v>
      </c>
      <c r="N29" s="194">
        <f t="shared" si="1"/>
        <v>37300</v>
      </c>
      <c r="O29" s="196">
        <f t="shared" si="2"/>
        <v>0</v>
      </c>
      <c r="P29" s="197">
        <f t="shared" si="3"/>
        <v>0</v>
      </c>
      <c r="Q29" s="215"/>
      <c r="R29" s="215">
        <v>14</v>
      </c>
      <c r="S29" s="215">
        <v>189</v>
      </c>
      <c r="T29" s="215">
        <v>194</v>
      </c>
    </row>
    <row r="30" spans="1:20" x14ac:dyDescent="0.25">
      <c r="A30" s="220">
        <v>156</v>
      </c>
      <c r="B30" s="220">
        <v>152</v>
      </c>
      <c r="C30" s="215">
        <v>29</v>
      </c>
      <c r="D30" s="214">
        <f>IFERROR(VLOOKUP($C30,$H$2:$N$32,6,FALSE),IFERROR(VLOOKUP($C30,$K$2:$M$32,3,FALSE),0))</f>
        <v>30400</v>
      </c>
      <c r="E30" s="214">
        <f>IFERROR(VLOOKUP($C30,$H$2:$P$32,8,FALSE),IFERROR(VLOOKUP($C30,$K$2:$O$32,5,FALSE),0))</f>
        <v>0</v>
      </c>
      <c r="H30" s="200">
        <f>'Profile - ODME (mailine)'!D37+'Profile - ODME (mailine)'!E37</f>
        <v>39</v>
      </c>
      <c r="I30" s="191">
        <f>'Profile - ODME (mailine)'!Q37</f>
        <v>83600</v>
      </c>
      <c r="J30" s="191"/>
      <c r="K30" s="202">
        <f>'Profile - ODME (mailine)'!J37+'Profile - ODME (mailine)'!I37</f>
        <v>40</v>
      </c>
      <c r="L30" s="212">
        <v>0.5</v>
      </c>
      <c r="M30" s="190">
        <f t="shared" si="0"/>
        <v>41800</v>
      </c>
      <c r="N30" s="194">
        <f t="shared" si="1"/>
        <v>41800</v>
      </c>
      <c r="O30" s="196">
        <f t="shared" si="2"/>
        <v>0</v>
      </c>
      <c r="P30" s="197">
        <f t="shared" si="3"/>
        <v>0</v>
      </c>
      <c r="Q30" s="215"/>
      <c r="R30" s="215">
        <v>15</v>
      </c>
      <c r="S30" s="215">
        <v>190</v>
      </c>
      <c r="T30" s="215">
        <v>187</v>
      </c>
    </row>
    <row r="31" spans="1:20" x14ac:dyDescent="0.25">
      <c r="A31" s="220">
        <v>151</v>
      </c>
      <c r="B31" s="220">
        <v>160</v>
      </c>
      <c r="C31" s="215">
        <v>30</v>
      </c>
      <c r="D31" s="214">
        <f>IFERROR(VLOOKUP($C31,$H$2:$N$32,6,FALSE),IFERROR(VLOOKUP($C31,$K$2:$M$32,3,FALSE),0))</f>
        <v>30400</v>
      </c>
      <c r="E31" s="214">
        <f>IFERROR(VLOOKUP($C31,$H$2:$P$32,8,FALSE),IFERROR(VLOOKUP($C31,$K$2:$O$32,5,FALSE),0))</f>
        <v>0</v>
      </c>
      <c r="H31" s="200">
        <f>'Profile - ODME (mailine)'!D38+'Profile - ODME (mailine)'!E38</f>
        <v>41</v>
      </c>
      <c r="I31" s="191">
        <f>'Profile - ODME (mailine)'!Q38</f>
        <v>79900</v>
      </c>
      <c r="J31" s="191"/>
      <c r="K31" s="202">
        <f>'Profile - ODME (mailine)'!J38+'Profile - ODME (mailine)'!I38</f>
        <v>42</v>
      </c>
      <c r="L31" s="212">
        <v>0.5</v>
      </c>
      <c r="M31" s="190">
        <f t="shared" si="0"/>
        <v>39950</v>
      </c>
      <c r="N31" s="194">
        <f t="shared" si="1"/>
        <v>39950</v>
      </c>
      <c r="O31" s="196">
        <f t="shared" si="2"/>
        <v>0</v>
      </c>
      <c r="P31" s="197">
        <f t="shared" si="3"/>
        <v>0</v>
      </c>
      <c r="Q31" s="215"/>
      <c r="R31" s="215">
        <v>13</v>
      </c>
      <c r="S31" s="215">
        <v>193</v>
      </c>
      <c r="T31" s="215">
        <v>190</v>
      </c>
    </row>
    <row r="32" spans="1:20" ht="15.75" thickBot="1" x14ac:dyDescent="0.3">
      <c r="A32" s="220">
        <v>149</v>
      </c>
      <c r="B32" s="220">
        <v>138</v>
      </c>
      <c r="C32" s="215">
        <v>31</v>
      </c>
      <c r="D32" s="214">
        <f>IFERROR(VLOOKUP($C32,$H$2:$N$32,6,FALSE),IFERROR(VLOOKUP($C32,$K$2:$M$32,3,FALSE),0))</f>
        <v>37200</v>
      </c>
      <c r="E32" s="214">
        <f>IFERROR(VLOOKUP($C32,$H$2:$P$32,8,FALSE),IFERROR(VLOOKUP($C32,$K$2:$O$32,5,FALSE),0))</f>
        <v>0</v>
      </c>
      <c r="H32" s="201">
        <f>'Profile - ODME (mailine)'!D39+'Profile - ODME (mailine)'!E39</f>
        <v>43</v>
      </c>
      <c r="I32" s="192">
        <f>'Profile - ODME (mailine)'!Q39</f>
        <v>79900</v>
      </c>
      <c r="J32" s="192"/>
      <c r="K32" s="203">
        <f>'Profile - ODME (mailine)'!J39+'Profile - ODME (mailine)'!I39</f>
        <v>44</v>
      </c>
      <c r="L32" s="213">
        <v>0.5</v>
      </c>
      <c r="M32" s="185">
        <f t="shared" si="0"/>
        <v>39950</v>
      </c>
      <c r="N32" s="195">
        <f t="shared" si="1"/>
        <v>39950</v>
      </c>
      <c r="O32" s="198">
        <f t="shared" si="2"/>
        <v>0</v>
      </c>
      <c r="P32" s="199">
        <f t="shared" si="3"/>
        <v>0</v>
      </c>
      <c r="Q32" s="215"/>
      <c r="R32" s="215">
        <v>12</v>
      </c>
      <c r="S32" s="215">
        <v>194</v>
      </c>
      <c r="T32" s="215">
        <v>197</v>
      </c>
    </row>
    <row r="33" spans="1:20" x14ac:dyDescent="0.25">
      <c r="A33" s="220">
        <v>139</v>
      </c>
      <c r="B33" s="220">
        <v>150</v>
      </c>
      <c r="C33" s="215">
        <v>32</v>
      </c>
      <c r="D33" s="214">
        <f>IFERROR(VLOOKUP($C33,$H$2:$N$32,6,FALSE),IFERROR(VLOOKUP($C33,$K$2:$M$32,3,FALSE),0))</f>
        <v>37200</v>
      </c>
      <c r="E33" s="214">
        <f>IFERROR(VLOOKUP($C33,$H$2:$P$32,8,FALSE),IFERROR(VLOOKUP($C33,$K$2:$O$32,5,FALSE),0))</f>
        <v>0</v>
      </c>
      <c r="G33" s="190"/>
      <c r="H33" s="188"/>
      <c r="I33" s="184"/>
      <c r="J33" s="184"/>
      <c r="K33" s="189"/>
      <c r="L33" s="190"/>
      <c r="Q33" s="215"/>
      <c r="R33" s="215">
        <v>11</v>
      </c>
      <c r="S33" s="215">
        <v>196</v>
      </c>
      <c r="T33" s="215">
        <v>193</v>
      </c>
    </row>
    <row r="34" spans="1:20" x14ac:dyDescent="0.25">
      <c r="A34" s="220">
        <v>136</v>
      </c>
      <c r="B34" s="220">
        <v>134</v>
      </c>
      <c r="C34" s="215">
        <v>33</v>
      </c>
      <c r="D34" s="214">
        <f>IFERROR(VLOOKUP($C34,$H$2:$N$32,6,FALSE),IFERROR(VLOOKUP($C34,$K$2:$M$32,3,FALSE),0))</f>
        <v>42650</v>
      </c>
      <c r="E34" s="214">
        <f>IFERROR(VLOOKUP($C34,$H$2:$P$32,8,FALSE),IFERROR(VLOOKUP($C34,$K$2:$O$32,5,FALSE),0))</f>
        <v>0</v>
      </c>
      <c r="H34" s="186"/>
      <c r="I34" s="182"/>
      <c r="J34" s="182"/>
      <c r="Q34" s="215"/>
      <c r="R34" s="215">
        <v>10</v>
      </c>
      <c r="S34" s="215">
        <v>200</v>
      </c>
      <c r="T34" s="215">
        <v>202</v>
      </c>
    </row>
    <row r="35" spans="1:20" x14ac:dyDescent="0.25">
      <c r="A35" s="220">
        <v>135</v>
      </c>
      <c r="B35" s="220">
        <v>137</v>
      </c>
      <c r="C35" s="215">
        <v>34</v>
      </c>
      <c r="D35" s="214">
        <f>IFERROR(VLOOKUP($C35,$H$2:$N$32,6,FALSE),IFERROR(VLOOKUP($C35,$K$2:$M$32,3,FALSE),0))</f>
        <v>42650</v>
      </c>
      <c r="E35" s="214">
        <f>IFERROR(VLOOKUP($C35,$H$2:$P$32,8,FALSE),IFERROR(VLOOKUP($C35,$K$2:$O$32,5,FALSE),0))</f>
        <v>0</v>
      </c>
      <c r="Q35" s="215"/>
      <c r="R35" s="215">
        <v>9</v>
      </c>
      <c r="S35" s="215">
        <v>203</v>
      </c>
      <c r="T35" s="215">
        <v>201</v>
      </c>
    </row>
    <row r="36" spans="1:20" x14ac:dyDescent="0.25">
      <c r="A36" s="220">
        <v>134</v>
      </c>
      <c r="B36" s="220">
        <v>131</v>
      </c>
      <c r="C36" s="215">
        <v>35</v>
      </c>
      <c r="D36" s="214">
        <f>IFERROR(VLOOKUP($C36,$H$2:$N$32,6,FALSE),IFERROR(VLOOKUP($C36,$K$2:$M$32,3,FALSE),0))</f>
        <v>37300</v>
      </c>
      <c r="E36" s="214">
        <f>IFERROR(VLOOKUP($C36,$H$2:$P$32,8,FALSE),IFERROR(VLOOKUP($C36,$K$2:$O$32,5,FALSE),0))</f>
        <v>0</v>
      </c>
      <c r="Q36" s="215"/>
      <c r="R36" s="215">
        <v>8</v>
      </c>
      <c r="S36" s="215">
        <v>206</v>
      </c>
      <c r="T36" s="215">
        <v>211</v>
      </c>
    </row>
    <row r="37" spans="1:20" x14ac:dyDescent="0.25">
      <c r="A37" s="220">
        <v>132</v>
      </c>
      <c r="B37" s="220">
        <v>316</v>
      </c>
      <c r="C37" s="215">
        <v>36</v>
      </c>
      <c r="D37" s="214">
        <f>IFERROR(VLOOKUP($C37,$H$2:$N$32,6,FALSE),IFERROR(VLOOKUP($C37,$K$2:$M$32,3,FALSE),0))</f>
        <v>37300</v>
      </c>
      <c r="E37" s="214">
        <f>IFERROR(VLOOKUP($C37,$H$2:$P$32,8,FALSE),IFERROR(VLOOKUP($C37,$K$2:$O$32,5,FALSE),0))</f>
        <v>0</v>
      </c>
      <c r="R37" s="215">
        <v>6</v>
      </c>
      <c r="S37" s="215">
        <v>211</v>
      </c>
      <c r="T37" s="215">
        <v>219</v>
      </c>
    </row>
    <row r="38" spans="1:20" x14ac:dyDescent="0.25">
      <c r="A38" s="220">
        <v>131</v>
      </c>
      <c r="B38" s="220">
        <v>123</v>
      </c>
      <c r="C38" s="215">
        <v>37</v>
      </c>
      <c r="D38" s="214">
        <f>IFERROR(VLOOKUP($C38,$H$2:$N$32,6,FALSE),IFERROR(VLOOKUP($C38,$K$2:$M$32,3,FALSE),0))</f>
        <v>37300</v>
      </c>
      <c r="R38" s="215">
        <v>7</v>
      </c>
      <c r="S38" s="215">
        <v>212</v>
      </c>
      <c r="T38" s="215">
        <v>207</v>
      </c>
    </row>
    <row r="39" spans="1:20" x14ac:dyDescent="0.25">
      <c r="A39" s="220">
        <v>122</v>
      </c>
      <c r="B39" s="220">
        <v>132</v>
      </c>
      <c r="C39" s="215">
        <v>38</v>
      </c>
      <c r="D39" s="214">
        <f>IFERROR(VLOOKUP($C39,$H$2:$N$32,6,FALSE),IFERROR(VLOOKUP($C39,$K$2:$M$32,3,FALSE),0))</f>
        <v>37300</v>
      </c>
      <c r="R39" s="215">
        <v>5</v>
      </c>
      <c r="S39" s="215">
        <v>220</v>
      </c>
      <c r="T39" s="215">
        <v>212</v>
      </c>
    </row>
    <row r="40" spans="1:20" x14ac:dyDescent="0.25">
      <c r="A40" s="220">
        <v>123</v>
      </c>
      <c r="B40" s="220">
        <v>120</v>
      </c>
      <c r="C40" s="215">
        <v>39</v>
      </c>
      <c r="D40" s="214">
        <f>IFERROR(VLOOKUP($C40,$H$2:$N$32,6,FALSE),IFERROR(VLOOKUP($C40,$K$2:$M$32,3,FALSE),0))</f>
        <v>41800</v>
      </c>
      <c r="R40" s="215">
        <v>4</v>
      </c>
      <c r="S40" s="215">
        <v>223</v>
      </c>
      <c r="T40" s="215">
        <v>225</v>
      </c>
    </row>
    <row r="41" spans="1:20" x14ac:dyDescent="0.25">
      <c r="A41" s="220">
        <v>119</v>
      </c>
      <c r="B41" s="220">
        <v>122</v>
      </c>
      <c r="C41" s="215">
        <v>40</v>
      </c>
      <c r="D41" s="214">
        <f>IFERROR(VLOOKUP($C41,$H$2:$N$32,6,FALSE),IFERROR(VLOOKUP($C41,$K$2:$M$32,3,FALSE),0))</f>
        <v>41800</v>
      </c>
      <c r="R41" s="215">
        <v>3</v>
      </c>
      <c r="S41" s="215">
        <v>224</v>
      </c>
      <c r="T41" s="215">
        <v>222</v>
      </c>
    </row>
    <row r="42" spans="1:20" x14ac:dyDescent="0.25">
      <c r="A42" s="220">
        <v>120</v>
      </c>
      <c r="B42" s="220">
        <v>116</v>
      </c>
      <c r="C42" s="215">
        <v>41</v>
      </c>
      <c r="D42" s="214">
        <f>IFERROR(VLOOKUP($C42,$H$2:$N$32,6,FALSE),IFERROR(VLOOKUP($C42,$K$2:$M$32,3,FALSE),0))</f>
        <v>39950</v>
      </c>
      <c r="R42" s="215">
        <v>2</v>
      </c>
      <c r="S42" s="215">
        <v>236</v>
      </c>
      <c r="T42" s="215">
        <v>38</v>
      </c>
    </row>
    <row r="43" spans="1:20" x14ac:dyDescent="0.25">
      <c r="A43" s="220">
        <v>117</v>
      </c>
      <c r="B43" s="220">
        <v>119</v>
      </c>
      <c r="C43" s="215">
        <v>42</v>
      </c>
      <c r="D43" s="214">
        <f>IFERROR(VLOOKUP($C43,$H$2:$N$32,6,FALSE),IFERROR(VLOOKUP($C43,$K$2:$M$32,3,FALSE),0))</f>
        <v>39950</v>
      </c>
      <c r="R43" s="215">
        <v>19</v>
      </c>
      <c r="S43" s="215">
        <v>268</v>
      </c>
      <c r="T43" s="215">
        <v>178</v>
      </c>
    </row>
    <row r="44" spans="1:20" x14ac:dyDescent="0.25">
      <c r="A44" s="220">
        <v>322</v>
      </c>
      <c r="B44" s="220">
        <v>111</v>
      </c>
      <c r="C44" s="215">
        <v>43</v>
      </c>
      <c r="D44" s="214">
        <f>IFERROR(VLOOKUP($C44,$H$2:$N$32,6,FALSE),IFERROR(VLOOKUP($C44,$K$2:$M$32,3,FALSE),0))</f>
        <v>39950</v>
      </c>
      <c r="R44" s="215">
        <v>47</v>
      </c>
      <c r="S44" s="215">
        <v>269</v>
      </c>
      <c r="T44" s="215">
        <v>175</v>
      </c>
    </row>
    <row r="45" spans="1:20" x14ac:dyDescent="0.25">
      <c r="A45" s="220">
        <v>108</v>
      </c>
      <c r="B45" s="220">
        <v>237</v>
      </c>
      <c r="C45" s="215">
        <v>44</v>
      </c>
      <c r="D45" s="214">
        <f>IFERROR(VLOOKUP($C45,$H$2:$N$32,6,FALSE),IFERROR(VLOOKUP($C45,$K$2:$M$32,3,FALSE),0))</f>
        <v>39950</v>
      </c>
      <c r="R45" s="215">
        <v>24</v>
      </c>
      <c r="S45" s="215">
        <v>286</v>
      </c>
      <c r="T45" s="215">
        <v>158</v>
      </c>
    </row>
    <row r="46" spans="1:20" x14ac:dyDescent="0.25">
      <c r="A46" s="220">
        <v>269</v>
      </c>
      <c r="B46" s="220">
        <v>175</v>
      </c>
      <c r="C46" s="215">
        <v>47</v>
      </c>
      <c r="D46" s="214">
        <f>IFERROR(VLOOKUP($C46,$H$2:$N$32,6,FALSE),IFERROR(VLOOKUP($C46,$K$2:$M$32,3,FALSE),0))</f>
        <v>31600</v>
      </c>
      <c r="R46" s="215">
        <v>25</v>
      </c>
      <c r="S46" s="215">
        <v>289</v>
      </c>
      <c r="T46" s="215">
        <v>156</v>
      </c>
    </row>
    <row r="47" spans="1:20" x14ac:dyDescent="0.25">
      <c r="A47" s="220">
        <v>176</v>
      </c>
      <c r="B47" s="220">
        <v>272</v>
      </c>
      <c r="C47" s="215">
        <v>48</v>
      </c>
      <c r="D47" s="214">
        <f>IFERROR(VLOOKUP($C47,$H$2:$N$32,6,FALSE),IFERROR(VLOOKUP($C47,$K$2:$M$32,3,FALSE),0))</f>
        <v>31600</v>
      </c>
      <c r="R47" s="215">
        <v>43</v>
      </c>
      <c r="S47" s="215">
        <v>322</v>
      </c>
      <c r="T47" s="215">
        <v>111</v>
      </c>
    </row>
    <row r="48" spans="1:20" x14ac:dyDescent="0.25">
      <c r="A48" s="220"/>
      <c r="B48" s="220"/>
      <c r="C48" s="215"/>
    </row>
    <row r="49" spans="1:3" x14ac:dyDescent="0.25">
      <c r="A49" s="220"/>
      <c r="B49" s="220"/>
      <c r="C49" s="2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TEAR</vt:lpstr>
      <vt:lpstr>TRENDS</vt:lpstr>
      <vt:lpstr>Profile</vt:lpstr>
      <vt:lpstr>Profile - ODME</vt:lpstr>
      <vt:lpstr>Profile - ODME (mailine)</vt:lpstr>
      <vt:lpstr>Hourly_Distribution</vt:lpstr>
      <vt:lpstr>Hourly_Parameters</vt:lpstr>
      <vt:lpstr>ODME_Validation</vt:lpstr>
      <vt:lpstr>Mainline_CUBE_Network</vt:lpstr>
      <vt:lpstr>for_CUBE_NETWORK</vt:lpstr>
      <vt:lpstr>Profile_Counts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cp:lastPrinted>2017-07-13T20:53:19Z</cp:lastPrinted>
  <dcterms:created xsi:type="dcterms:W3CDTF">2017-07-12T15:36:48Z</dcterms:created>
  <dcterms:modified xsi:type="dcterms:W3CDTF">2017-09-15T20:39:42Z</dcterms:modified>
</cp:coreProperties>
</file>