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M:\kn815jk\FDOT Projects - other\Congestion Pricing Project 2\Model data\Veterans\"/>
    </mc:Choice>
  </mc:AlternateContent>
  <bookViews>
    <workbookView xWindow="855" yWindow="135" windowWidth="26535" windowHeight="11715" tabRatio="731" activeTab="4"/>
  </bookViews>
  <sheets>
    <sheet name="Veterans Expwy (MP 3-13)" sheetId="45" r:id="rId1"/>
    <sheet name="Veterans Expwy. (OD example)" sheetId="50" r:id="rId2"/>
    <sheet name="Veterans Exwy-ELToD" sheetId="47" r:id="rId3"/>
    <sheet name="override tolls" sheetId="49" r:id="rId4"/>
    <sheet name="Veterans Exwy (SC2IG tolls)" sheetId="51" r:id="rId5"/>
  </sheets>
  <definedNames>
    <definedName name="_xlnm.Print_Area" localSheetId="0">'Veterans Expwy (MP 3-13)'!$A$1:$AT$62</definedName>
    <definedName name="_xlnm.Print_Area" localSheetId="1">'Veterans Expwy. (OD example)'!$A$1:$R$43</definedName>
  </definedNames>
  <calcPr calcId="152511"/>
</workbook>
</file>

<file path=xl/calcChain.xml><?xml version="1.0" encoding="utf-8"?>
<calcChain xmlns="http://schemas.openxmlformats.org/spreadsheetml/2006/main">
  <c r="I7" i="51" l="1"/>
  <c r="K7" i="51"/>
  <c r="L7" i="51"/>
  <c r="M7" i="51"/>
  <c r="N7" i="51"/>
  <c r="O7" i="51"/>
  <c r="F8" i="51"/>
  <c r="G8" i="51"/>
  <c r="H8" i="51"/>
  <c r="M8" i="51"/>
  <c r="N8" i="51"/>
  <c r="O8" i="51"/>
  <c r="G9" i="51"/>
  <c r="H9" i="51"/>
  <c r="I9" i="51"/>
  <c r="K9" i="51"/>
  <c r="L9" i="51"/>
  <c r="M9" i="51"/>
  <c r="I10" i="51"/>
  <c r="K10" i="51"/>
  <c r="L10" i="51"/>
  <c r="M10" i="51"/>
  <c r="N10" i="51"/>
  <c r="O10" i="51"/>
  <c r="K13" i="51"/>
  <c r="L13" i="51"/>
  <c r="M13" i="51"/>
  <c r="M14" i="51"/>
  <c r="N14" i="51"/>
  <c r="O14" i="51"/>
  <c r="M15" i="51"/>
  <c r="N15" i="51"/>
  <c r="O15" i="51"/>
  <c r="N16" i="51"/>
  <c r="O16" i="51"/>
  <c r="C21" i="51"/>
  <c r="E30" i="51"/>
  <c r="F30" i="51"/>
  <c r="D31" i="51"/>
  <c r="E31" i="51"/>
  <c r="F31" i="51"/>
  <c r="G31" i="51"/>
  <c r="D32" i="51"/>
  <c r="E32" i="51"/>
  <c r="F32" i="51"/>
  <c r="F34" i="51"/>
  <c r="G34" i="51"/>
  <c r="J34" i="51"/>
  <c r="D35" i="51"/>
  <c r="E35" i="51"/>
  <c r="F35" i="51"/>
  <c r="G35" i="51"/>
  <c r="J35" i="51"/>
  <c r="K35" i="51"/>
  <c r="G36" i="51"/>
  <c r="J36" i="51"/>
  <c r="K36" i="51"/>
  <c r="L36" i="51"/>
  <c r="D37" i="51"/>
  <c r="E37" i="51"/>
  <c r="F37" i="51"/>
  <c r="G37" i="51"/>
  <c r="J37" i="51"/>
  <c r="D38" i="51"/>
  <c r="E38" i="51"/>
  <c r="F38" i="51"/>
  <c r="G38" i="51"/>
  <c r="J38" i="51"/>
  <c r="K38" i="51"/>
  <c r="L38" i="51"/>
  <c r="M38" i="51"/>
  <c r="C41" i="51"/>
  <c r="A44" i="51"/>
  <c r="F7" i="51" s="1"/>
  <c r="M37" i="51" l="1"/>
  <c r="F36" i="51"/>
  <c r="E34" i="51"/>
  <c r="D30" i="51"/>
  <c r="L14" i="51"/>
  <c r="H10" i="51"/>
  <c r="L8" i="51"/>
  <c r="H7" i="51"/>
  <c r="L37" i="51"/>
  <c r="E36" i="51"/>
  <c r="D34" i="51"/>
  <c r="E29" i="51"/>
  <c r="O13" i="51"/>
  <c r="O9" i="51"/>
  <c r="K8" i="51"/>
  <c r="G7" i="51"/>
  <c r="K37" i="51"/>
  <c r="D36" i="51"/>
  <c r="G32" i="51"/>
  <c r="D29" i="51"/>
  <c r="N13" i="51"/>
  <c r="N9" i="51"/>
  <c r="I8" i="51"/>
  <c r="G54" i="45"/>
  <c r="I52" i="45" s="1"/>
  <c r="F59" i="45"/>
  <c r="F54" i="45" l="1"/>
  <c r="F52" i="45" s="1"/>
  <c r="G47" i="45"/>
  <c r="AL11" i="45" l="1"/>
  <c r="AL19" i="45" s="1"/>
  <c r="AL27" i="45" s="1"/>
  <c r="AR27" i="45"/>
  <c r="AR26" i="45"/>
  <c r="AR25" i="45"/>
  <c r="AP17" i="45"/>
  <c r="AS17" i="45" s="1"/>
  <c r="AP16" i="45"/>
  <c r="AS16" i="45" s="1"/>
  <c r="AP15" i="45"/>
  <c r="AS15" i="45" s="1"/>
  <c r="AR14" i="45"/>
  <c r="AQ14" i="45"/>
  <c r="AK11" i="45" s="1"/>
  <c r="AP14" i="45"/>
  <c r="AS14" i="45" s="1"/>
  <c r="AP13" i="45"/>
  <c r="AS13" i="45" s="1"/>
  <c r="H51" i="45"/>
  <c r="I51" i="45" s="1"/>
  <c r="G40" i="45"/>
  <c r="G35" i="45"/>
  <c r="H31" i="45"/>
  <c r="G25" i="45"/>
  <c r="G20" i="45"/>
  <c r="G14" i="45"/>
  <c r="H13" i="45"/>
  <c r="I13" i="45" s="1"/>
  <c r="G8" i="45"/>
  <c r="AR15" i="45" l="1"/>
  <c r="AQ17" i="45"/>
  <c r="AQ13" i="45"/>
  <c r="AK19" i="45"/>
  <c r="F13" i="45"/>
  <c r="H66" i="45"/>
  <c r="I31" i="45"/>
  <c r="AQ15" i="45"/>
  <c r="AK57" i="45" s="1"/>
  <c r="AG57" i="45" s="1"/>
  <c r="AR16" i="45"/>
  <c r="I14" i="45"/>
  <c r="F14" i="45" s="1"/>
  <c r="I8" i="45"/>
  <c r="F8" i="45" s="1"/>
  <c r="AR13" i="45"/>
  <c r="AQ16" i="45"/>
  <c r="AR17" i="45"/>
  <c r="AL39" i="45"/>
  <c r="AL50" i="45" s="1"/>
  <c r="AL44" i="45"/>
  <c r="AL57" i="45" s="1"/>
  <c r="AH57" i="45" s="1"/>
  <c r="I32" i="45" l="1"/>
  <c r="F31" i="45"/>
  <c r="F32" i="45" s="1"/>
  <c r="I33" i="45"/>
  <c r="AK27" i="45"/>
  <c r="AK39" i="45" s="1"/>
  <c r="AK44" i="45" s="1"/>
  <c r="AK50" i="45" s="1"/>
  <c r="AG19" i="45"/>
  <c r="AG50" i="45" l="1"/>
  <c r="AG56" i="45"/>
  <c r="I30" i="45"/>
  <c r="G33" i="45"/>
  <c r="F33" i="45"/>
  <c r="P20" i="45"/>
  <c r="O20" i="45"/>
  <c r="M24" i="45" l="1"/>
  <c r="G30" i="45"/>
  <c r="G64" i="45" s="1"/>
  <c r="G66" i="45" s="1"/>
  <c r="F30" i="45"/>
  <c r="AB19" i="45"/>
  <c r="N96" i="47"/>
  <c r="M96" i="47"/>
  <c r="L96" i="47"/>
  <c r="K96" i="47"/>
  <c r="J96" i="47"/>
  <c r="I96" i="47"/>
  <c r="L95" i="47"/>
  <c r="K95" i="47"/>
  <c r="J95" i="47"/>
  <c r="I95" i="47"/>
  <c r="H95" i="47"/>
  <c r="H94" i="47"/>
  <c r="K93" i="47"/>
  <c r="J93" i="47"/>
  <c r="I93" i="47"/>
  <c r="H93" i="47"/>
  <c r="G93" i="47"/>
  <c r="F93" i="47"/>
  <c r="J92" i="47"/>
  <c r="I92" i="47"/>
  <c r="H92" i="47"/>
  <c r="F92" i="47"/>
  <c r="E92" i="47"/>
  <c r="H91" i="47"/>
  <c r="G91" i="47"/>
  <c r="F91" i="47"/>
  <c r="E91" i="47"/>
  <c r="D91" i="47"/>
  <c r="E90" i="47"/>
  <c r="D90" i="47"/>
  <c r="I89" i="47"/>
  <c r="G89" i="47"/>
  <c r="F89" i="47"/>
  <c r="E89" i="47"/>
  <c r="D89" i="47"/>
  <c r="J88" i="47"/>
  <c r="I88" i="47"/>
  <c r="E87" i="47"/>
  <c r="D87" i="47"/>
  <c r="D86" i="47"/>
  <c r="AD78" i="47"/>
  <c r="AE78" i="47" s="1"/>
  <c r="AD77" i="47"/>
  <c r="AE77" i="47" s="1"/>
  <c r="AC76" i="47"/>
  <c r="AB75" i="47"/>
  <c r="AC75" i="47" s="1"/>
  <c r="W71" i="47"/>
  <c r="W70" i="47"/>
  <c r="X70" i="47" s="1"/>
  <c r="AE80" i="47"/>
  <c r="AD80" i="47"/>
  <c r="AC80" i="47"/>
  <c r="AB80" i="47"/>
  <c r="Y80" i="47"/>
  <c r="H96" i="47" s="1"/>
  <c r="W80" i="47"/>
  <c r="X80" i="47" s="1"/>
  <c r="Z80" i="47" s="1"/>
  <c r="AA80" i="47" s="1"/>
  <c r="V80" i="47"/>
  <c r="U80" i="47" s="1"/>
  <c r="D96" i="47" s="1"/>
  <c r="AE79" i="47"/>
  <c r="N95" i="47" s="1"/>
  <c r="AD79" i="47"/>
  <c r="M95" i="47" s="1"/>
  <c r="AC79" i="47"/>
  <c r="AB79" i="47"/>
  <c r="Y79" i="47"/>
  <c r="W79" i="47"/>
  <c r="X79" i="47" s="1"/>
  <c r="Z79" i="47" s="1"/>
  <c r="AA79" i="47" s="1"/>
  <c r="V79" i="47"/>
  <c r="E95" i="47" s="1"/>
  <c r="U79" i="47"/>
  <c r="D95" i="47" s="1"/>
  <c r="AC78" i="47"/>
  <c r="L94" i="47" s="1"/>
  <c r="AB78" i="47"/>
  <c r="K94" i="47" s="1"/>
  <c r="Y78" i="47"/>
  <c r="W78" i="47"/>
  <c r="F94" i="47" s="1"/>
  <c r="V78" i="47"/>
  <c r="U78" i="47" s="1"/>
  <c r="D94" i="47" s="1"/>
  <c r="AB77" i="47"/>
  <c r="Y77" i="47"/>
  <c r="W77" i="47"/>
  <c r="X77" i="47" s="1"/>
  <c r="Z77" i="47" s="1"/>
  <c r="AA77" i="47" s="1"/>
  <c r="V77" i="47"/>
  <c r="E93" i="47" s="1"/>
  <c r="U77" i="47"/>
  <c r="D93" i="47" s="1"/>
  <c r="Z76" i="47"/>
  <c r="AA76" i="47" s="1"/>
  <c r="Y76" i="47"/>
  <c r="W76" i="47"/>
  <c r="X76" i="47" s="1"/>
  <c r="G92" i="47" s="1"/>
  <c r="V76" i="47"/>
  <c r="U76" i="47" s="1"/>
  <c r="D92" i="47" s="1"/>
  <c r="Z75" i="47"/>
  <c r="I91" i="47" s="1"/>
  <c r="Y75" i="47"/>
  <c r="W75" i="47"/>
  <c r="X75" i="47" s="1"/>
  <c r="V75" i="47"/>
  <c r="U75" i="47"/>
  <c r="AE74" i="47"/>
  <c r="N90" i="47" s="1"/>
  <c r="AD74" i="47"/>
  <c r="M90" i="47" s="1"/>
  <c r="AC74" i="47"/>
  <c r="L90" i="47" s="1"/>
  <c r="AB74" i="47"/>
  <c r="K90" i="47" s="1"/>
  <c r="Z74" i="47"/>
  <c r="AA74" i="47" s="1"/>
  <c r="J90" i="47" s="1"/>
  <c r="Y74" i="47"/>
  <c r="H90" i="47" s="1"/>
  <c r="X74" i="47"/>
  <c r="G90" i="47" s="1"/>
  <c r="W74" i="47"/>
  <c r="F90" i="47" s="1"/>
  <c r="V74" i="47"/>
  <c r="U74" i="47"/>
  <c r="Z73" i="47"/>
  <c r="AA73" i="47" s="1"/>
  <c r="J89" i="47" s="1"/>
  <c r="X73" i="47"/>
  <c r="W73" i="47"/>
  <c r="V73" i="47"/>
  <c r="U73" i="47"/>
  <c r="W72" i="47"/>
  <c r="F88" i="47" s="1"/>
  <c r="V72" i="47"/>
  <c r="E88" i="47" s="1"/>
  <c r="U72" i="47"/>
  <c r="D88" i="47" s="1"/>
  <c r="AA71" i="47"/>
  <c r="J87" i="47" s="1"/>
  <c r="Z71" i="47"/>
  <c r="I87" i="47" s="1"/>
  <c r="V71" i="47"/>
  <c r="U71" i="47"/>
  <c r="Z70" i="47"/>
  <c r="AA70" i="47" s="1"/>
  <c r="J86" i="47" s="1"/>
  <c r="U70" i="47"/>
  <c r="AD75" i="47" l="1"/>
  <c r="Y70" i="47"/>
  <c r="X71" i="47"/>
  <c r="X78" i="47"/>
  <c r="AD76" i="47"/>
  <c r="I90" i="47"/>
  <c r="E96" i="47"/>
  <c r="AA75" i="47"/>
  <c r="J91" i="47" s="1"/>
  <c r="F96" i="47"/>
  <c r="I86" i="47"/>
  <c r="E94" i="47"/>
  <c r="F95" i="47"/>
  <c r="G96" i="47"/>
  <c r="G95" i="47"/>
  <c r="W19" i="45"/>
  <c r="N80" i="47"/>
  <c r="N79" i="47"/>
  <c r="N74" i="47"/>
  <c r="M80" i="47"/>
  <c r="M79" i="47"/>
  <c r="M74" i="47"/>
  <c r="L78" i="47"/>
  <c r="L74" i="47"/>
  <c r="K77" i="47"/>
  <c r="K74" i="47"/>
  <c r="J71" i="47"/>
  <c r="J75" i="47"/>
  <c r="J76" i="47"/>
  <c r="I76" i="47"/>
  <c r="I75" i="47"/>
  <c r="I74" i="47"/>
  <c r="J74" i="47" s="1"/>
  <c r="I73" i="47"/>
  <c r="J73" i="47" s="1"/>
  <c r="I72" i="47"/>
  <c r="J72" i="47" s="1"/>
  <c r="I71" i="47"/>
  <c r="H80" i="47"/>
  <c r="H79" i="47"/>
  <c r="H78" i="47"/>
  <c r="H77" i="47"/>
  <c r="H76" i="47"/>
  <c r="H75" i="47"/>
  <c r="H74" i="47"/>
  <c r="G73" i="47"/>
  <c r="G75" i="47"/>
  <c r="G76" i="47"/>
  <c r="F76" i="47"/>
  <c r="F75" i="47"/>
  <c r="F72" i="47"/>
  <c r="D76" i="47"/>
  <c r="E76" i="47"/>
  <c r="E75" i="47"/>
  <c r="D75" i="47" s="1"/>
  <c r="E71" i="47"/>
  <c r="I70" i="47"/>
  <c r="J70" i="47" s="1"/>
  <c r="D70" i="47"/>
  <c r="Q54" i="47"/>
  <c r="Q55" i="47" s="1"/>
  <c r="Q56" i="47" s="1"/>
  <c r="Q57" i="47" s="1"/>
  <c r="Q58" i="47" s="1"/>
  <c r="Q59" i="47" s="1"/>
  <c r="Q60" i="47" s="1"/>
  <c r="Q61" i="47" s="1"/>
  <c r="Q62" i="47" s="1"/>
  <c r="Q63" i="47" s="1"/>
  <c r="X72" i="47" l="1"/>
  <c r="AE76" i="47"/>
  <c r="Z78" i="47"/>
  <c r="G94" i="47"/>
  <c r="AB70" i="47"/>
  <c r="Y71" i="47"/>
  <c r="AE75" i="47"/>
  <c r="S21" i="47"/>
  <c r="AA78" i="47" l="1"/>
  <c r="J94" i="47" s="1"/>
  <c r="I94" i="47"/>
  <c r="AC70" i="47"/>
  <c r="AB71" i="47"/>
  <c r="Y72" i="47"/>
  <c r="A44" i="47"/>
  <c r="F32" i="47" s="1"/>
  <c r="C41" i="47"/>
  <c r="C21" i="47"/>
  <c r="M29" i="45"/>
  <c r="N29" i="45" s="1"/>
  <c r="M33" i="45"/>
  <c r="N33" i="45" s="1"/>
  <c r="M50" i="45"/>
  <c r="M41" i="45"/>
  <c r="M51" i="45"/>
  <c r="AH19" i="45"/>
  <c r="E64" i="45"/>
  <c r="M14" i="47" l="1"/>
  <c r="O15" i="47"/>
  <c r="N8" i="47"/>
  <c r="D30" i="47"/>
  <c r="J37" i="47"/>
  <c r="AD70" i="47"/>
  <c r="AC71" i="47"/>
  <c r="M10" i="47"/>
  <c r="Y73" i="47"/>
  <c r="H88" i="47"/>
  <c r="M9" i="47"/>
  <c r="E30" i="47"/>
  <c r="K37" i="47"/>
  <c r="L13" i="47"/>
  <c r="M13" i="47"/>
  <c r="H8" i="47"/>
  <c r="F35" i="47"/>
  <c r="I8" i="47"/>
  <c r="D36" i="47"/>
  <c r="O16" i="47"/>
  <c r="L36" i="47"/>
  <c r="D37" i="47"/>
  <c r="I9" i="47"/>
  <c r="F7" i="47"/>
  <c r="N9" i="47"/>
  <c r="F31" i="47"/>
  <c r="E38" i="47"/>
  <c r="K7" i="47"/>
  <c r="G32" i="47"/>
  <c r="N7" i="47"/>
  <c r="E34" i="47"/>
  <c r="O7" i="47"/>
  <c r="E35" i="47"/>
  <c r="N14" i="47"/>
  <c r="M8" i="47"/>
  <c r="F36" i="47"/>
  <c r="H9" i="47"/>
  <c r="AB72" i="47"/>
  <c r="I7" i="47"/>
  <c r="K10" i="47"/>
  <c r="G31" i="47"/>
  <c r="G38" i="47"/>
  <c r="M19" i="45"/>
  <c r="N19" i="45" s="1"/>
  <c r="AH27" i="45"/>
  <c r="AG11" i="45"/>
  <c r="M31" i="45"/>
  <c r="N31" i="45" s="1"/>
  <c r="M47" i="45"/>
  <c r="M44" i="45"/>
  <c r="M27" i="45"/>
  <c r="N27" i="45" s="1"/>
  <c r="L38" i="47"/>
  <c r="L59" i="47"/>
  <c r="F74" i="47" s="1"/>
  <c r="O62" i="47"/>
  <c r="O60" i="47"/>
  <c r="O56" i="47"/>
  <c r="K56" i="47"/>
  <c r="N55" i="47"/>
  <c r="I55" i="47"/>
  <c r="N54" i="47"/>
  <c r="I54" i="47"/>
  <c r="O53" i="47"/>
  <c r="K53" i="47"/>
  <c r="F53" i="47"/>
  <c r="L80" i="47" s="1"/>
  <c r="L64" i="47"/>
  <c r="F64" i="47"/>
  <c r="L63" i="47"/>
  <c r="F70" i="47" s="1"/>
  <c r="F86" i="47" s="1"/>
  <c r="F63" i="47"/>
  <c r="L70" i="47" s="1"/>
  <c r="L86" i="47" s="1"/>
  <c r="K62" i="47"/>
  <c r="G71" i="47" s="1"/>
  <c r="G87" i="47" s="1"/>
  <c r="E62" i="47"/>
  <c r="M71" i="47" s="1"/>
  <c r="G61" i="47"/>
  <c r="K72" i="47" s="1"/>
  <c r="J60" i="47"/>
  <c r="H73" i="47" s="1"/>
  <c r="D60" i="47"/>
  <c r="N73" i="47" s="1"/>
  <c r="D58" i="47"/>
  <c r="N75" i="47" s="1"/>
  <c r="N91" i="47" s="1"/>
  <c r="D57" i="47"/>
  <c r="N76" i="47" s="1"/>
  <c r="N92" i="47" s="1"/>
  <c r="M60" i="47"/>
  <c r="E73" i="47" s="1"/>
  <c r="O59" i="47"/>
  <c r="M56" i="47"/>
  <c r="E77" i="47" s="1"/>
  <c r="D77" i="47" s="1"/>
  <c r="L55" i="47"/>
  <c r="F78" i="47" s="1"/>
  <c r="G78" i="47" s="1"/>
  <c r="I78" i="47" s="1"/>
  <c r="J78" i="47" s="1"/>
  <c r="G55" i="47"/>
  <c r="K78" i="47" s="1"/>
  <c r="G54" i="47"/>
  <c r="K79" i="47" s="1"/>
  <c r="H53" i="47"/>
  <c r="J64" i="47"/>
  <c r="J63" i="47"/>
  <c r="H70" i="47" s="1"/>
  <c r="H86" i="47" s="1"/>
  <c r="G62" i="47"/>
  <c r="K71" i="47" s="1"/>
  <c r="K87" i="47" s="1"/>
  <c r="E61" i="47"/>
  <c r="M72" i="47" s="1"/>
  <c r="F58" i="47"/>
  <c r="L75" i="47" s="1"/>
  <c r="L91" i="47" s="1"/>
  <c r="D56" i="47"/>
  <c r="N77" i="47" s="1"/>
  <c r="N93" i="47" s="1"/>
  <c r="N60" i="47"/>
  <c r="D73" i="47" s="1"/>
  <c r="I56" i="47"/>
  <c r="H55" i="47"/>
  <c r="H54" i="47"/>
  <c r="I53" i="47"/>
  <c r="K64" i="47"/>
  <c r="K63" i="47"/>
  <c r="G70" i="47" s="1"/>
  <c r="G86" i="47" s="1"/>
  <c r="J62" i="47"/>
  <c r="H71" i="47" s="1"/>
  <c r="H87" i="47" s="1"/>
  <c r="G60" i="47"/>
  <c r="K73" i="47" s="1"/>
  <c r="G57" i="47"/>
  <c r="K76" i="47" s="1"/>
  <c r="K92" i="47" s="1"/>
  <c r="L60" i="47"/>
  <c r="F73" i="47" s="1"/>
  <c r="M59" i="47"/>
  <c r="E74" i="47" s="1"/>
  <c r="N61" i="47"/>
  <c r="D72" i="47" s="1"/>
  <c r="N59" i="47"/>
  <c r="D74" i="47" s="1"/>
  <c r="L56" i="47"/>
  <c r="F77" i="47" s="1"/>
  <c r="G77" i="47" s="1"/>
  <c r="I77" i="47" s="1"/>
  <c r="J77" i="47" s="1"/>
  <c r="O55" i="47"/>
  <c r="K55" i="47"/>
  <c r="O54" i="47"/>
  <c r="K54" i="47"/>
  <c r="F54" i="47"/>
  <c r="L79" i="47" s="1"/>
  <c r="L53" i="47"/>
  <c r="F80" i="47" s="1"/>
  <c r="G80" i="47" s="1"/>
  <c r="I80" i="47" s="1"/>
  <c r="J80" i="47" s="1"/>
  <c r="G53" i="47"/>
  <c r="K80" i="47" s="1"/>
  <c r="M64" i="47"/>
  <c r="G64" i="47"/>
  <c r="M63" i="47"/>
  <c r="E70" i="47" s="1"/>
  <c r="E86" i="47" s="1"/>
  <c r="G63" i="47"/>
  <c r="K70" i="47" s="1"/>
  <c r="K86" i="47" s="1"/>
  <c r="L62" i="47"/>
  <c r="F71" i="47" s="1"/>
  <c r="F87" i="47" s="1"/>
  <c r="F62" i="47"/>
  <c r="L71" i="47" s="1"/>
  <c r="J61" i="47"/>
  <c r="H72" i="47" s="1"/>
  <c r="D61" i="47"/>
  <c r="N72" i="47" s="1"/>
  <c r="E60" i="47"/>
  <c r="M73" i="47" s="1"/>
  <c r="E58" i="47"/>
  <c r="M75" i="47" s="1"/>
  <c r="M91" i="47" s="1"/>
  <c r="E57" i="47"/>
  <c r="M76" i="47" s="1"/>
  <c r="M92" i="47" s="1"/>
  <c r="E55" i="47"/>
  <c r="M78" i="47" s="1"/>
  <c r="M94" i="47" s="1"/>
  <c r="K59" i="47"/>
  <c r="G74" i="47" s="1"/>
  <c r="O61" i="47"/>
  <c r="H56" i="47"/>
  <c r="L54" i="47"/>
  <c r="F79" i="47" s="1"/>
  <c r="G79" i="47" s="1"/>
  <c r="I79" i="47" s="1"/>
  <c r="J79" i="47" s="1"/>
  <c r="M53" i="47"/>
  <c r="E80" i="47" s="1"/>
  <c r="D80" i="47" s="1"/>
  <c r="D55" i="47"/>
  <c r="N78" i="47" s="1"/>
  <c r="N94" i="47" s="1"/>
  <c r="D64" i="47"/>
  <c r="D63" i="47"/>
  <c r="N70" i="47" s="1"/>
  <c r="K61" i="47"/>
  <c r="G72" i="47" s="1"/>
  <c r="G88" i="47" s="1"/>
  <c r="F60" i="47"/>
  <c r="L73" i="47" s="1"/>
  <c r="F57" i="47"/>
  <c r="L76" i="47" s="1"/>
  <c r="L92" i="47" s="1"/>
  <c r="N62" i="47"/>
  <c r="D71" i="47" s="1"/>
  <c r="N56" i="47"/>
  <c r="M55" i="47"/>
  <c r="E78" i="47" s="1"/>
  <c r="D78" i="47" s="1"/>
  <c r="M54" i="47"/>
  <c r="E79" i="47" s="1"/>
  <c r="D79" i="47" s="1"/>
  <c r="N53" i="47"/>
  <c r="F56" i="47"/>
  <c r="L77" i="47" s="1"/>
  <c r="L93" i="47" s="1"/>
  <c r="E64" i="47"/>
  <c r="E63" i="47"/>
  <c r="M70" i="47" s="1"/>
  <c r="D62" i="47"/>
  <c r="N71" i="47" s="1"/>
  <c r="G58" i="47"/>
  <c r="K75" i="47" s="1"/>
  <c r="K91" i="47" s="1"/>
  <c r="E56" i="47"/>
  <c r="M77" i="47" s="1"/>
  <c r="M93" i="47" s="1"/>
  <c r="M61" i="47"/>
  <c r="E72" i="47" s="1"/>
  <c r="F61" i="47"/>
  <c r="L72" i="47" s="1"/>
  <c r="Z38" i="47"/>
  <c r="T38" i="47"/>
  <c r="Z37" i="47"/>
  <c r="T37" i="47"/>
  <c r="W36" i="47"/>
  <c r="AA35" i="47"/>
  <c r="U35" i="47"/>
  <c r="V34" i="47"/>
  <c r="V32" i="47"/>
  <c r="V31" i="47"/>
  <c r="U30" i="47"/>
  <c r="AD15" i="47"/>
  <c r="AC14" i="47"/>
  <c r="AC13" i="47"/>
  <c r="AD10" i="47"/>
  <c r="Y10" i="47"/>
  <c r="AC9" i="47"/>
  <c r="X9" i="47"/>
  <c r="AC8" i="47"/>
  <c r="X8" i="47"/>
  <c r="AD7" i="47"/>
  <c r="Y7" i="47"/>
  <c r="D35" i="47"/>
  <c r="AB38" i="47"/>
  <c r="AB37" i="47"/>
  <c r="U36" i="47"/>
  <c r="T34" i="47"/>
  <c r="T31" i="47"/>
  <c r="U29" i="47"/>
  <c r="AE14" i="47"/>
  <c r="AA13" i="47"/>
  <c r="AE9" i="47"/>
  <c r="AA8" i="47"/>
  <c r="W8" i="47"/>
  <c r="AA38" i="47"/>
  <c r="U38" i="47"/>
  <c r="AA37" i="47"/>
  <c r="U37" i="47"/>
  <c r="Z36" i="47"/>
  <c r="T36" i="47"/>
  <c r="V35" i="47"/>
  <c r="W34" i="47"/>
  <c r="W32" i="47"/>
  <c r="W31" i="47"/>
  <c r="V30" i="47"/>
  <c r="T29" i="47"/>
  <c r="AE15" i="47"/>
  <c r="AD14" i="47"/>
  <c r="AD13" i="47"/>
  <c r="AE10" i="47"/>
  <c r="AA10" i="47"/>
  <c r="AD9" i="47"/>
  <c r="Y9" i="47"/>
  <c r="AD8" i="47"/>
  <c r="Y8" i="47"/>
  <c r="AE7" i="47"/>
  <c r="AA7" i="47"/>
  <c r="V7" i="47"/>
  <c r="V38" i="47"/>
  <c r="V37" i="47"/>
  <c r="AA36" i="47"/>
  <c r="W35" i="47"/>
  <c r="Z34" i="47"/>
  <c r="T32" i="47"/>
  <c r="AD16" i="47"/>
  <c r="AE13" i="47"/>
  <c r="AB10" i="47"/>
  <c r="AA9" i="47"/>
  <c r="AE8" i="47"/>
  <c r="V8" i="47"/>
  <c r="AB7" i="47"/>
  <c r="W7" i="47"/>
  <c r="AB8" i="47"/>
  <c r="X7" i="47"/>
  <c r="AC38" i="47"/>
  <c r="W38" i="47"/>
  <c r="AC37" i="47"/>
  <c r="W37" i="47"/>
  <c r="AB36" i="47"/>
  <c r="V36" i="47"/>
  <c r="Z35" i="47"/>
  <c r="T35" i="47"/>
  <c r="U34" i="47"/>
  <c r="U32" i="47"/>
  <c r="U31" i="47"/>
  <c r="T30" i="47"/>
  <c r="AE16" i="47"/>
  <c r="AC15" i="47"/>
  <c r="AB14" i="47"/>
  <c r="AB13" i="47"/>
  <c r="AC10" i="47"/>
  <c r="X10" i="47"/>
  <c r="AB9" i="47"/>
  <c r="W9" i="47"/>
  <c r="AC7" i="47"/>
  <c r="H7" i="47"/>
  <c r="M7" i="47"/>
  <c r="G8" i="47"/>
  <c r="L8" i="47"/>
  <c r="G9" i="47"/>
  <c r="L9" i="47"/>
  <c r="I10" i="47"/>
  <c r="O10" i="47"/>
  <c r="L14" i="47"/>
  <c r="N15" i="47"/>
  <c r="D29" i="47"/>
  <c r="E31" i="47"/>
  <c r="G34" i="47"/>
  <c r="K35" i="47"/>
  <c r="J36" i="47"/>
  <c r="G37" i="47"/>
  <c r="D38" i="47"/>
  <c r="K38" i="47"/>
  <c r="G7" i="47"/>
  <c r="L7" i="47"/>
  <c r="F8" i="47"/>
  <c r="K8" i="47"/>
  <c r="O8" i="47"/>
  <c r="K9" i="47"/>
  <c r="H10" i="47"/>
  <c r="N10" i="47"/>
  <c r="N13" i="47"/>
  <c r="M15" i="47"/>
  <c r="F30" i="47"/>
  <c r="E32" i="47"/>
  <c r="F34" i="47"/>
  <c r="J35" i="47"/>
  <c r="G36" i="47"/>
  <c r="E37" i="47"/>
  <c r="M37" i="47"/>
  <c r="J38" i="47"/>
  <c r="M38" i="47"/>
  <c r="O9" i="47"/>
  <c r="L10" i="47"/>
  <c r="K13" i="47"/>
  <c r="O13" i="47"/>
  <c r="O14" i="47"/>
  <c r="N16" i="47"/>
  <c r="E29" i="47"/>
  <c r="D31" i="47"/>
  <c r="D32" i="47"/>
  <c r="D34" i="47"/>
  <c r="J34" i="47"/>
  <c r="G35" i="47"/>
  <c r="E36" i="47"/>
  <c r="K36" i="47"/>
  <c r="F37" i="47"/>
  <c r="L37" i="47"/>
  <c r="F38" i="47"/>
  <c r="H89" i="47" l="1"/>
  <c r="L87" i="47"/>
  <c r="AC72" i="47"/>
  <c r="K88" i="47"/>
  <c r="AB73" i="47"/>
  <c r="K89" i="47" s="1"/>
  <c r="AD71" i="47"/>
  <c r="M86" i="47"/>
  <c r="AE70" i="47"/>
  <c r="O19" i="45"/>
  <c r="R19" i="45"/>
  <c r="Q19" i="45"/>
  <c r="P19" i="45"/>
  <c r="AH50" i="45"/>
  <c r="AH39" i="45"/>
  <c r="AH44" i="45"/>
  <c r="J21" i="45"/>
  <c r="J23" i="45"/>
  <c r="AG27" i="45"/>
  <c r="M87" i="47" l="1"/>
  <c r="AD72" i="47"/>
  <c r="AE71" i="47"/>
  <c r="N86" i="47"/>
  <c r="L88" i="47"/>
  <c r="AC73" i="47"/>
  <c r="L89" i="47" s="1"/>
  <c r="S19" i="45"/>
  <c r="T19" i="45"/>
  <c r="AG39" i="45"/>
  <c r="M88" i="47" l="1"/>
  <c r="AD73" i="47"/>
  <c r="M89" i="47" s="1"/>
  <c r="AE72" i="47"/>
  <c r="N87" i="47"/>
  <c r="AG44" i="45"/>
  <c r="N88" i="47" l="1"/>
  <c r="AE73" i="47"/>
  <c r="N89" i="47" s="1"/>
  <c r="F35" i="45"/>
  <c r="I35" i="45"/>
  <c r="R39" i="45" l="1"/>
  <c r="I66" i="45"/>
  <c r="W39" i="45"/>
  <c r="F66" i="45"/>
  <c r="J55" i="45"/>
  <c r="Q39" i="45"/>
  <c r="P40" i="45"/>
  <c r="P39" i="45"/>
  <c r="T39" i="45" s="1"/>
  <c r="J44" i="45"/>
  <c r="F64" i="45"/>
  <c r="J66" i="45"/>
  <c r="I64" i="45"/>
  <c r="J42" i="45"/>
  <c r="O39" i="45"/>
  <c r="O40" i="45"/>
  <c r="J57" i="45"/>
  <c r="AB39" i="45"/>
  <c r="O57" i="45" l="1"/>
  <c r="S39" i="45"/>
</calcChain>
</file>

<file path=xl/comments1.xml><?xml version="1.0" encoding="utf-8"?>
<comments xmlns="http://schemas.openxmlformats.org/spreadsheetml/2006/main">
  <authors>
    <author>kn815jk</author>
    <author>kn815ee</author>
  </authors>
  <commentList>
    <comment ref="K3" authorId="0" shapeId="0">
      <text>
        <r>
          <rPr>
            <b/>
            <sz val="12"/>
            <color indexed="81"/>
            <rFont val="Tahoma"/>
            <family val="2"/>
          </rPr>
          <t>kn815jk:</t>
        </r>
        <r>
          <rPr>
            <sz val="12"/>
            <color indexed="81"/>
            <rFont val="Tahoma"/>
            <family val="2"/>
          </rPr>
          <t xml:space="preserve">
SunPASS indexed Toll. Cash toll is 0.25 higher. </t>
        </r>
      </text>
    </comment>
    <comment ref="AH4" authorId="1" shapeId="0">
      <text>
        <r>
          <rPr>
            <b/>
            <sz val="9"/>
            <color indexed="81"/>
            <rFont val="Tahoma"/>
            <family val="2"/>
          </rPr>
          <t>kn815ee:</t>
        </r>
        <r>
          <rPr>
            <sz val="9"/>
            <color indexed="81"/>
            <rFont val="Tahoma"/>
            <family val="2"/>
          </rPr>
          <t xml:space="preserve">
A single lane capacity shall be adjusted/lowered (investigated) and not calculated by dividing two lane capacity by two</t>
        </r>
      </text>
    </comment>
    <comment ref="M19" authorId="0" shapeId="0">
      <text>
        <r>
          <rPr>
            <b/>
            <sz val="12"/>
            <color indexed="81"/>
            <rFont val="Tahoma"/>
            <family val="2"/>
          </rPr>
          <t>kn815jk:</t>
        </r>
        <r>
          <rPr>
            <sz val="12"/>
            <color indexed="81"/>
            <rFont val="Tahoma"/>
            <family val="2"/>
          </rPr>
          <t xml:space="preserve">
rate based on the mainline toll from Hutchison to Ehrlich.</t>
        </r>
      </text>
    </comment>
    <comment ref="O19" authorId="0" shapeId="0">
      <text>
        <r>
          <rPr>
            <b/>
            <sz val="12"/>
            <color indexed="81"/>
            <rFont val="Tahoma"/>
            <family val="2"/>
          </rPr>
          <t>kn815jk:</t>
        </r>
        <r>
          <rPr>
            <sz val="12"/>
            <color indexed="81"/>
            <rFont val="Tahoma"/>
            <family val="2"/>
          </rPr>
          <t xml:space="preserve">
rate based on the Sugarwood mainline toll. Distance is from Hutchinson Rd. to Linebaugh slip ramp.</t>
        </r>
      </text>
    </comment>
    <comment ref="Q19" authorId="0" shapeId="0">
      <text>
        <r>
          <rPr>
            <b/>
            <sz val="12"/>
            <color indexed="81"/>
            <rFont val="Tahoma"/>
            <family val="2"/>
          </rPr>
          <t>kn815jk:</t>
        </r>
        <r>
          <rPr>
            <sz val="12"/>
            <color indexed="81"/>
            <rFont val="Tahoma"/>
            <family val="2"/>
          </rPr>
          <t xml:space="preserve">
rate based on the Sugarwood mainline toll. Distance is from Hutchinson Rd. to Linebaugh slip ramp.</t>
        </r>
      </text>
    </comment>
    <comment ref="R19" authorId="0" shapeId="0">
      <text>
        <r>
          <rPr>
            <b/>
            <sz val="12"/>
            <color indexed="81"/>
            <rFont val="Tahoma"/>
            <family val="2"/>
          </rPr>
          <t>kn815jk:</t>
        </r>
        <r>
          <rPr>
            <sz val="12"/>
            <color indexed="81"/>
            <rFont val="Tahoma"/>
            <family val="2"/>
          </rPr>
          <t xml:space="preserve">
rate based on the Sugarwood mainline toll. Distance is from Hutchinson Rd. to Linebaugh slip ramp.</t>
        </r>
      </text>
    </comment>
    <comment ref="S19" authorId="0" shapeId="0">
      <text>
        <r>
          <rPr>
            <b/>
            <sz val="12"/>
            <color indexed="81"/>
            <rFont val="Tahoma"/>
            <family val="2"/>
          </rPr>
          <t>kn815jk:</t>
        </r>
        <r>
          <rPr>
            <sz val="12"/>
            <color indexed="81"/>
            <rFont val="Tahoma"/>
            <family val="2"/>
          </rPr>
          <t xml:space="preserve">
rate based on the Sugarwood mainline toll. Distance is from Hutchinson Rd. to Linebaugh slip ramp.</t>
        </r>
      </text>
    </comment>
    <comment ref="T19" authorId="0" shapeId="0">
      <text>
        <r>
          <rPr>
            <b/>
            <sz val="12"/>
            <color indexed="81"/>
            <rFont val="Tahoma"/>
            <family val="2"/>
          </rPr>
          <t>kn815jk:</t>
        </r>
        <r>
          <rPr>
            <sz val="12"/>
            <color indexed="81"/>
            <rFont val="Tahoma"/>
            <family val="2"/>
          </rPr>
          <t xml:space="preserve">
rate based on the Sugarwood mainline toll. Distance is from Hutchinson Rd. to Linebaugh slip ramp.</t>
        </r>
      </text>
    </comment>
    <comment ref="M24" authorId="0" shapeId="0">
      <text>
        <r>
          <rPr>
            <b/>
            <sz val="12"/>
            <color indexed="81"/>
            <rFont val="Tahoma"/>
            <family val="2"/>
          </rPr>
          <t>kn815jk:</t>
        </r>
        <r>
          <rPr>
            <sz val="12"/>
            <color indexed="81"/>
            <rFont val="Tahoma"/>
            <family val="2"/>
          </rPr>
          <t xml:space="preserve">
total length of movement similar to XL trip for segment 3.</t>
        </r>
      </text>
    </comment>
    <comment ref="M27" authorId="0" shapeId="0">
      <text>
        <r>
          <rPr>
            <b/>
            <sz val="12"/>
            <color indexed="81"/>
            <rFont val="Tahoma"/>
            <family val="2"/>
          </rPr>
          <t>kn815jk:</t>
        </r>
        <r>
          <rPr>
            <sz val="12"/>
            <color indexed="81"/>
            <rFont val="Tahoma"/>
            <family val="2"/>
          </rPr>
          <t xml:space="preserve">
rate based on the mainline and ramp tolls from Hutchison to Gunn.</t>
        </r>
      </text>
    </comment>
    <comment ref="M31" authorId="0" shapeId="0">
      <text>
        <r>
          <rPr>
            <b/>
            <sz val="12"/>
            <color indexed="81"/>
            <rFont val="Tahoma"/>
            <family val="2"/>
          </rPr>
          <t>kn815jk:</t>
        </r>
        <r>
          <rPr>
            <sz val="12"/>
            <color indexed="81"/>
            <rFont val="Tahoma"/>
            <family val="2"/>
          </rPr>
          <t xml:space="preserve">
rate based on the mainline and ramp tolls from Hutchison to Wilsky.</t>
        </r>
      </text>
    </comment>
    <comment ref="O39" authorId="0" shapeId="0">
      <text>
        <r>
          <rPr>
            <b/>
            <sz val="12"/>
            <color indexed="81"/>
            <rFont val="Tahoma"/>
            <family val="2"/>
          </rPr>
          <t>kn815jk:</t>
        </r>
        <r>
          <rPr>
            <sz val="12"/>
            <color indexed="81"/>
            <rFont val="Tahoma"/>
            <family val="2"/>
          </rPr>
          <t xml:space="preserve">
rate based on the Anderson mainline toll. Distance is from Wilsky slip ramp to Memorial Hwy.</t>
        </r>
      </text>
    </comment>
    <comment ref="P39" authorId="0" shapeId="0">
      <text>
        <r>
          <rPr>
            <b/>
            <sz val="12"/>
            <color indexed="81"/>
            <rFont val="Tahoma"/>
            <family val="2"/>
          </rPr>
          <t>kn815jk:</t>
        </r>
        <r>
          <rPr>
            <sz val="12"/>
            <color indexed="81"/>
            <rFont val="Tahoma"/>
            <family val="2"/>
          </rPr>
          <t xml:space="preserve">
rate based on the Anderson mainline toll. Distance is from Hillsborough Ave. slip ramp to Wilsky slip ramp.</t>
        </r>
      </text>
    </comment>
    <comment ref="Q39" authorId="0" shapeId="0">
      <text>
        <r>
          <rPr>
            <b/>
            <sz val="12"/>
            <color indexed="81"/>
            <rFont val="Tahoma"/>
            <family val="2"/>
          </rPr>
          <t>kn815jk:</t>
        </r>
        <r>
          <rPr>
            <sz val="12"/>
            <color indexed="81"/>
            <rFont val="Tahoma"/>
            <family val="2"/>
          </rPr>
          <t xml:space="preserve">
rate based on the Anderson mainline toll. Distance is from Wilsky slip ramp to Memorial Hwy.</t>
        </r>
      </text>
    </comment>
    <comment ref="R39" authorId="0" shapeId="0">
      <text>
        <r>
          <rPr>
            <b/>
            <sz val="12"/>
            <color indexed="81"/>
            <rFont val="Tahoma"/>
            <family val="2"/>
          </rPr>
          <t>kn815jk:</t>
        </r>
        <r>
          <rPr>
            <sz val="12"/>
            <color indexed="81"/>
            <rFont val="Tahoma"/>
            <family val="2"/>
          </rPr>
          <t xml:space="preserve">
rate based on the Anderson mainline toll. Distance is from Hillsborough Ave. slip ramp to Wilsky slip ramp.</t>
        </r>
      </text>
    </comment>
    <comment ref="S39" authorId="0" shapeId="0">
      <text>
        <r>
          <rPr>
            <b/>
            <sz val="12"/>
            <color indexed="81"/>
            <rFont val="Tahoma"/>
            <family val="2"/>
          </rPr>
          <t>kn815jk:</t>
        </r>
        <r>
          <rPr>
            <sz val="12"/>
            <color indexed="81"/>
            <rFont val="Tahoma"/>
            <family val="2"/>
          </rPr>
          <t xml:space="preserve">
rate based on the Sugarwood mainline toll. Distance is from Hutchinson Rd. to Linebaugh slip ramp.</t>
        </r>
      </text>
    </comment>
    <comment ref="T39" authorId="0" shapeId="0">
      <text>
        <r>
          <rPr>
            <b/>
            <sz val="12"/>
            <color indexed="81"/>
            <rFont val="Tahoma"/>
            <family val="2"/>
          </rPr>
          <t>kn815jk:</t>
        </r>
        <r>
          <rPr>
            <sz val="12"/>
            <color indexed="81"/>
            <rFont val="Tahoma"/>
            <family val="2"/>
          </rPr>
          <t xml:space="preserve">
rate based on the Sugarwood mainline toll. Distance is from Hutchinson Rd. to Linebaugh slip ramp.</t>
        </r>
      </text>
    </comment>
    <comment ref="U56" authorId="0" shapeId="0">
      <text>
        <r>
          <rPr>
            <b/>
            <sz val="12"/>
            <color indexed="81"/>
            <rFont val="Tahoma"/>
            <family val="2"/>
          </rPr>
          <t>kn815jk:</t>
        </r>
        <r>
          <rPr>
            <sz val="12"/>
            <color indexed="81"/>
            <rFont val="Tahoma"/>
            <family val="2"/>
          </rPr>
          <t xml:space="preserve">
one aux lane</t>
        </r>
      </text>
    </comment>
    <comment ref="AD57" authorId="0" shapeId="0">
      <text>
        <r>
          <rPr>
            <b/>
            <sz val="12"/>
            <color indexed="81"/>
            <rFont val="Tahoma"/>
            <family val="2"/>
          </rPr>
          <t>kn815jk:</t>
        </r>
        <r>
          <rPr>
            <sz val="12"/>
            <color indexed="81"/>
            <rFont val="Tahoma"/>
            <family val="2"/>
          </rPr>
          <t xml:space="preserve">
one aux lane</t>
        </r>
      </text>
    </comment>
  </commentList>
</comments>
</file>

<file path=xl/comments2.xml><?xml version="1.0" encoding="utf-8"?>
<comments xmlns="http://schemas.openxmlformats.org/spreadsheetml/2006/main">
  <authors>
    <author>kn815jk</author>
  </authors>
  <commentList>
    <comment ref="P67" authorId="0" shapeId="0">
      <text>
        <r>
          <rPr>
            <b/>
            <sz val="9"/>
            <color indexed="81"/>
            <rFont val="Tahoma"/>
            <family val="2"/>
          </rPr>
          <t>kn815jk:</t>
        </r>
        <r>
          <rPr>
            <sz val="9"/>
            <color indexed="81"/>
            <rFont val="Tahoma"/>
            <family val="2"/>
          </rPr>
          <t xml:space="preserve">
Node representing the O/D zone in ELToD. </t>
        </r>
      </text>
    </comment>
    <comment ref="AG67" authorId="0" shapeId="0">
      <text>
        <r>
          <rPr>
            <b/>
            <sz val="9"/>
            <color indexed="81"/>
            <rFont val="Tahoma"/>
            <family val="2"/>
          </rPr>
          <t>kn815jk:</t>
        </r>
        <r>
          <rPr>
            <sz val="9"/>
            <color indexed="81"/>
            <rFont val="Tahoma"/>
            <family val="2"/>
          </rPr>
          <t xml:space="preserve">
Node representing the O/D zone in ELToD. </t>
        </r>
      </text>
    </comment>
    <comment ref="P83" authorId="0" shapeId="0">
      <text>
        <r>
          <rPr>
            <b/>
            <sz val="9"/>
            <color indexed="81"/>
            <rFont val="Tahoma"/>
            <family val="2"/>
          </rPr>
          <t>kn815jk:</t>
        </r>
        <r>
          <rPr>
            <sz val="9"/>
            <color indexed="81"/>
            <rFont val="Tahoma"/>
            <family val="2"/>
          </rPr>
          <t xml:space="preserve">
Node representing the O/D zone in ELToD. </t>
        </r>
      </text>
    </comment>
  </commentList>
</comments>
</file>

<file path=xl/sharedStrings.xml><?xml version="1.0" encoding="utf-8"?>
<sst xmlns="http://schemas.openxmlformats.org/spreadsheetml/2006/main" count="1182" uniqueCount="151">
  <si>
    <t xml:space="preserve">  Milepost - Description</t>
  </si>
  <si>
    <t>11 - SUGARWOOD PLAZA</t>
  </si>
  <si>
    <t>To Tampa Int'l              Airport &amp; I-275</t>
  </si>
  <si>
    <t>6 - ANDERSON PLAZA</t>
  </si>
  <si>
    <t>10 - Ehrlich Ave.</t>
  </si>
  <si>
    <t>9 - Gunn Hwy.</t>
  </si>
  <si>
    <t>8 - Wilsky Blvd.</t>
  </si>
  <si>
    <t>7 - Linebaugh Ave.</t>
  </si>
  <si>
    <t>6B - Anderson Rd.</t>
  </si>
  <si>
    <t>6A - Waters Ave.</t>
  </si>
  <si>
    <t>4 - Hillsborough Ave.</t>
  </si>
  <si>
    <t>3 - Memorial Hwy.</t>
  </si>
  <si>
    <t>To Suncoast Parkway</t>
  </si>
  <si>
    <t>Seg.</t>
  </si>
  <si>
    <t>13 - Suncoast</t>
  </si>
  <si>
    <t>Veterans Expressway Express Lanes</t>
  </si>
  <si>
    <t>Toll Plan</t>
  </si>
  <si>
    <t>Interchange</t>
  </si>
  <si>
    <t>Segment</t>
  </si>
  <si>
    <t>Distance</t>
  </si>
  <si>
    <t>Station</t>
  </si>
  <si>
    <t>$/mile</t>
  </si>
  <si>
    <t>TOLLED</t>
  </si>
  <si>
    <t># of Lanes</t>
  </si>
  <si>
    <t>GUL</t>
  </si>
  <si>
    <t>XL</t>
  </si>
  <si>
    <t>Seg.Dist.</t>
  </si>
  <si>
    <t>LOS E/Ln (QLOS_Table 7)</t>
  </si>
  <si>
    <t>GUL (DHT = 3%)</t>
  </si>
  <si>
    <t>XL (DHT = 0%)</t>
  </si>
  <si>
    <t>Aux Lane Capacity</t>
  </si>
  <si>
    <t>Capacity (HCS)</t>
  </si>
  <si>
    <t>Veterans Expressway</t>
  </si>
  <si>
    <t>DHT %</t>
  </si>
  <si>
    <t>fhv</t>
  </si>
  <si>
    <t>QLOS Table</t>
  </si>
  <si>
    <t>DHT%</t>
  </si>
  <si>
    <t># Lanes</t>
  </si>
  <si>
    <t>Capacity</t>
  </si>
  <si>
    <t>Aux</t>
  </si>
  <si>
    <t>HCS</t>
  </si>
  <si>
    <t>FFS = 70</t>
  </si>
  <si>
    <t>FFS = 65</t>
  </si>
  <si>
    <t>Ratio</t>
  </si>
  <si>
    <t>FREEWAYS</t>
  </si>
  <si>
    <t>Lanes</t>
  </si>
  <si>
    <t>B</t>
  </si>
  <si>
    <t>C</t>
  </si>
  <si>
    <t>D</t>
  </si>
  <si>
    <t>E</t>
  </si>
  <si>
    <t>Mile Posts</t>
  </si>
  <si>
    <t>SLD</t>
  </si>
  <si>
    <t>Check/total distance</t>
  </si>
  <si>
    <t>NB</t>
  </si>
  <si>
    <t>SB</t>
  </si>
  <si>
    <t>GU Toll $</t>
  </si>
  <si>
    <t>SB toll$</t>
  </si>
  <si>
    <t>NB toll$</t>
  </si>
  <si>
    <t>GU (rate per mile)</t>
  </si>
  <si>
    <t>unadjusted*</t>
  </si>
  <si>
    <t>XL (rate per mile)*</t>
  </si>
  <si>
    <t>* no additional toll amount has been added.</t>
  </si>
  <si>
    <t>Veterans Exwy</t>
  </si>
  <si>
    <t>Toll Company =</t>
  </si>
  <si>
    <t>Direction =</t>
  </si>
  <si>
    <t>To</t>
  </si>
  <si>
    <t>Location</t>
  </si>
  <si>
    <t>SR 60</t>
  </si>
  <si>
    <t>Memorial</t>
  </si>
  <si>
    <t>Hillsborough</t>
  </si>
  <si>
    <t>Waters</t>
  </si>
  <si>
    <t>Anderson</t>
  </si>
  <si>
    <t>Linebaugh</t>
  </si>
  <si>
    <t>Wilsky</t>
  </si>
  <si>
    <t>Gunn</t>
  </si>
  <si>
    <t>Ehrlich</t>
  </si>
  <si>
    <t>Hutchison</t>
  </si>
  <si>
    <t>Suncoast</t>
  </si>
  <si>
    <t>Dale Mabry</t>
  </si>
  <si>
    <t>Dynamap IDs</t>
  </si>
  <si>
    <t>-</t>
  </si>
  <si>
    <t>From</t>
  </si>
  <si>
    <t>SunPass Rate</t>
  </si>
  <si>
    <t>Year</t>
  </si>
  <si>
    <t>Conversion</t>
  </si>
  <si>
    <t>Includes planned SunPass FY 2012 toll rate increase and toll indexing</t>
  </si>
  <si>
    <t>Factor to convert future toll rates to 2010 dollars for the specified analysis year</t>
  </si>
  <si>
    <t>Inflation Factor</t>
  </si>
  <si>
    <t>Analysis Year</t>
  </si>
  <si>
    <t>Years</t>
  </si>
  <si>
    <t>SunPass Toll Rate Matrices - 2015update.xls</t>
  </si>
  <si>
    <t xml:space="preserve">original base file:  </t>
  </si>
  <si>
    <t>Override Minimum Toll Rate ($/mile)</t>
  </si>
  <si>
    <t>Segment Number</t>
  </si>
  <si>
    <t>Period</t>
  </si>
  <si>
    <t>Peak 1</t>
  </si>
  <si>
    <t>Peak 2</t>
  </si>
  <si>
    <t>OffPeak 1</t>
  </si>
  <si>
    <t>OffPeak 2</t>
  </si>
  <si>
    <t>Name</t>
  </si>
  <si>
    <t>AM</t>
  </si>
  <si>
    <t>PM</t>
  </si>
  <si>
    <t>OP</t>
  </si>
  <si>
    <t>Night</t>
  </si>
  <si>
    <t>3SBx</t>
  </si>
  <si>
    <t>2SBx</t>
  </si>
  <si>
    <t>1SBx</t>
  </si>
  <si>
    <t>1NBx</t>
  </si>
  <si>
    <t>2NBx</t>
  </si>
  <si>
    <t>3NBx</t>
  </si>
  <si>
    <t>12 - Hutchison Rd.</t>
  </si>
  <si>
    <t>ID</t>
  </si>
  <si>
    <t>N. of Hutchison</t>
  </si>
  <si>
    <t>Hutchinson Rd</t>
  </si>
  <si>
    <t>Ehrlich Road</t>
  </si>
  <si>
    <t>Gunn Hwy</t>
  </si>
  <si>
    <t>Wilsky Blvd</t>
  </si>
  <si>
    <t>Linebaugh Avenue</t>
  </si>
  <si>
    <t>Anderson Rd</t>
  </si>
  <si>
    <t>Waters Ave</t>
  </si>
  <si>
    <t xml:space="preserve"> Memorial Highway</t>
  </si>
  <si>
    <t>S of Memorial Hwy</t>
  </si>
  <si>
    <t>TAZ</t>
  </si>
  <si>
    <t>S of Memorial</t>
  </si>
  <si>
    <t>incremental</t>
  </si>
  <si>
    <t>total XL Toll</t>
  </si>
  <si>
    <t>minimum</t>
  </si>
  <si>
    <t>Zone</t>
  </si>
  <si>
    <t>1, 2</t>
  </si>
  <si>
    <t>11,12</t>
  </si>
  <si>
    <t xml:space="preserve">Jeff,
It is rather difficult to portray an example with only a two segment project so I outlined three segments in the attached.  I think the discussion we are attempting to provide an example of is something like SB from zone 1,2 to 11,12 (which represent south of the green segment 1, south of memorial hwy).  A driver has the choice of entering the XL at Hutchison or using the GU until Wilsky.  Alternatively, a driver could enter at Hutchison and exit at Linebaugh OR south of Memorial. OR, the driver may chose to traverse ALL 3 segments.  Each of the 3 segments could have a different “premium toll charge”.  
</t>
  </si>
  <si>
    <t>Distances</t>
  </si>
  <si>
    <t>from hutchison</t>
  </si>
  <si>
    <t>Per-Mile Rate</t>
  </si>
  <si>
    <t>Veterans</t>
  </si>
  <si>
    <t>cap.</t>
  </si>
  <si>
    <t>XL (rate per mile)</t>
  </si>
  <si>
    <t>(toll distance split)</t>
  </si>
  <si>
    <t>Free Flow Speed</t>
  </si>
  <si>
    <t>GUL = 65 FFS</t>
  </si>
  <si>
    <t>2009 QLOS - DRAFT</t>
  </si>
  <si>
    <t>LOS D (pcphpl)</t>
  </si>
  <si>
    <t>Capacity (pcphpl)</t>
  </si>
  <si>
    <t>(mph)</t>
  </si>
  <si>
    <t>Continuous</t>
  </si>
  <si>
    <t>Barrier 1</t>
  </si>
  <si>
    <t>Barrier 2</t>
  </si>
  <si>
    <r>
      <t>Barrier 1</t>
    </r>
    <r>
      <rPr>
        <b/>
        <vertAlign val="superscript"/>
        <sz val="10"/>
        <color rgb="FF000000"/>
        <rFont val="Cambria"/>
        <family val="1"/>
      </rPr>
      <t>*</t>
    </r>
  </si>
  <si>
    <t>XL (NB)</t>
  </si>
  <si>
    <t>XL (SB)</t>
  </si>
  <si>
    <t>XLMiles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</si>
</sst>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_);[Red]\(&quot;$&quot;#,##0.00\)"/>
    <numFmt numFmtId="164" formatCode="0.0"/>
    <numFmt numFmtId="165" formatCode="#,##0.000"/>
    <numFmt numFmtId="166" formatCode="0.000"/>
    <numFmt numFmtId="167" formatCode="&quot;$&quot;#,##0.00"/>
    <numFmt numFmtId="168" formatCode="0.0000"/>
    <numFmt numFmtId="169" formatCode="&quot;$&quot;#,##0.000"/>
  </numFmts>
  <fonts count="45" x14ac:knownFonts="1">
    <font>
      <sz val="12"/>
      <name val="Arial"/>
    </font>
    <font>
      <sz val="12"/>
      <name val="Arial"/>
      <family val="2"/>
    </font>
    <font>
      <b/>
      <sz val="16"/>
      <name val="Arial"/>
      <family val="2"/>
    </font>
    <font>
      <sz val="10"/>
      <name val="Arial"/>
      <family val="2"/>
    </font>
    <font>
      <b/>
      <sz val="24"/>
      <name val="Arial Narrow"/>
      <family val="2"/>
    </font>
    <font>
      <b/>
      <sz val="16"/>
      <name val="Arial Narrow"/>
      <family val="2"/>
    </font>
    <font>
      <sz val="12"/>
      <name val="Arial Narrow"/>
      <family val="2"/>
    </font>
    <font>
      <sz val="10"/>
      <name val="Arial Narrow"/>
      <family val="2"/>
    </font>
    <font>
      <sz val="12"/>
      <color indexed="8"/>
      <name val="Arial Narrow"/>
      <family val="2"/>
    </font>
    <font>
      <b/>
      <sz val="12"/>
      <name val="Arial Narrow"/>
      <family val="2"/>
    </font>
    <font>
      <b/>
      <sz val="12"/>
      <name val="Arial"/>
      <family val="2"/>
    </font>
    <font>
      <sz val="11"/>
      <color rgb="FFFF0000"/>
      <name val="Calibri"/>
      <family val="2"/>
      <scheme val="minor"/>
    </font>
    <font>
      <b/>
      <sz val="11"/>
      <color theme="1"/>
      <name val="Calibri"/>
      <family val="2"/>
      <scheme val="minor"/>
    </font>
    <font>
      <b/>
      <sz val="12"/>
      <color rgb="FFFF0000"/>
      <name val="Arial Narrow"/>
      <family val="2"/>
    </font>
    <font>
      <b/>
      <sz val="12"/>
      <color theme="1"/>
      <name val="Arial Narrow"/>
      <family val="2"/>
    </font>
    <font>
      <b/>
      <sz val="9"/>
      <color indexed="81"/>
      <name val="Tahoma"/>
      <family val="2"/>
    </font>
    <font>
      <sz val="9"/>
      <color indexed="81"/>
      <name val="Tahoma"/>
      <family val="2"/>
    </font>
    <font>
      <b/>
      <sz val="12"/>
      <color rgb="FF0000FF"/>
      <name val="Arial Narrow"/>
      <family val="2"/>
    </font>
    <font>
      <b/>
      <sz val="28"/>
      <color indexed="8"/>
      <name val="Arial Narrow"/>
      <family val="2"/>
    </font>
    <font>
      <b/>
      <sz val="28"/>
      <name val="Arial Narrow"/>
      <family val="2"/>
    </font>
    <font>
      <b/>
      <sz val="36"/>
      <color indexed="8"/>
      <name val="Arial Narrow"/>
      <family val="2"/>
    </font>
    <font>
      <sz val="16"/>
      <name val="Arial Narrow"/>
      <family val="2"/>
    </font>
    <font>
      <b/>
      <sz val="20"/>
      <name val="Arial Narrow"/>
      <family val="2"/>
    </font>
    <font>
      <b/>
      <sz val="20"/>
      <color indexed="8"/>
      <name val="Arial Narrow"/>
      <family val="2"/>
    </font>
    <font>
      <b/>
      <sz val="20"/>
      <name val="Arial"/>
      <family val="2"/>
    </font>
    <font>
      <sz val="16"/>
      <name val="Arial"/>
      <family val="2"/>
    </font>
    <font>
      <sz val="16"/>
      <color rgb="FF0000FF"/>
      <name val="Arial"/>
      <family val="2"/>
    </font>
    <font>
      <sz val="16"/>
      <color indexed="8"/>
      <name val="Arial Narrow"/>
      <family val="2"/>
    </font>
    <font>
      <sz val="11"/>
      <color rgb="FF006100"/>
      <name val="Calibri"/>
      <family val="2"/>
      <scheme val="minor"/>
    </font>
    <font>
      <b/>
      <sz val="12"/>
      <color indexed="81"/>
      <name val="Tahoma"/>
      <family val="2"/>
    </font>
    <font>
      <sz val="12"/>
      <color indexed="81"/>
      <name val="Tahoma"/>
      <family val="2"/>
    </font>
    <font>
      <b/>
      <sz val="10"/>
      <name val="Arial"/>
      <family val="2"/>
    </font>
    <font>
      <sz val="8"/>
      <name val="Arial"/>
      <family val="2"/>
    </font>
    <font>
      <b/>
      <sz val="10"/>
      <color rgb="FFFF0000"/>
      <name val="Arial"/>
      <family val="2"/>
    </font>
    <font>
      <sz val="10"/>
      <name val="Trebuchet MS"/>
      <family val="2"/>
    </font>
    <font>
      <sz val="10"/>
      <color theme="1"/>
      <name val="Arial Narrow"/>
      <family val="2"/>
    </font>
    <font>
      <b/>
      <sz val="14"/>
      <name val="Arial Narrow"/>
      <family val="2"/>
    </font>
    <font>
      <b/>
      <sz val="14"/>
      <color indexed="8"/>
      <name val="Arial Narrow"/>
      <family val="2"/>
    </font>
    <font>
      <b/>
      <sz val="14"/>
      <name val="Arial"/>
      <family val="2"/>
    </font>
    <font>
      <sz val="9"/>
      <color rgb="FF0070C0"/>
      <name val="Arial Narrow"/>
      <family val="2"/>
    </font>
    <font>
      <b/>
      <sz val="10"/>
      <color rgb="FF000000"/>
      <name val="Cambria"/>
      <family val="1"/>
    </font>
    <font>
      <b/>
      <i/>
      <sz val="10"/>
      <name val="Times New Roman"/>
      <family val="1"/>
    </font>
    <font>
      <b/>
      <vertAlign val="superscript"/>
      <sz val="10"/>
      <color rgb="FF000000"/>
      <name val="Cambria"/>
      <family val="1"/>
    </font>
    <font>
      <b/>
      <sz val="12"/>
      <color rgb="FF000000"/>
      <name val="Arial Narrow"/>
      <family val="2"/>
    </font>
    <font>
      <sz val="12"/>
      <color rgb="FF000000"/>
      <name val="Arial Narrow"/>
      <family val="2"/>
    </font>
  </fonts>
  <fills count="27">
    <fill>
      <patternFill patternType="none"/>
    </fill>
    <fill>
      <patternFill patternType="gray125"/>
    </fill>
    <fill>
      <patternFill patternType="solid">
        <fgColor theme="5" tint="0.59999389629810485"/>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00B050"/>
        <bgColor indexed="64"/>
      </patternFill>
    </fill>
    <fill>
      <patternFill patternType="solid">
        <fgColor rgb="FF99CCFF"/>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C6EFCE"/>
      </patternFill>
    </fill>
    <fill>
      <patternFill patternType="solid">
        <fgColor theme="6" tint="0.39997558519241921"/>
        <bgColor indexed="64"/>
      </patternFill>
    </fill>
    <fill>
      <patternFill patternType="solid">
        <fgColor theme="9" tint="0.39997558519241921"/>
        <bgColor indexed="64"/>
      </patternFill>
    </fill>
    <fill>
      <patternFill patternType="solid">
        <fgColor indexed="51"/>
        <bgColor indexed="64"/>
      </patternFill>
    </fill>
    <fill>
      <patternFill patternType="solid">
        <fgColor indexed="44"/>
        <bgColor indexed="64"/>
      </patternFill>
    </fill>
    <fill>
      <patternFill patternType="solid">
        <fgColor indexed="46"/>
        <bgColor indexed="64"/>
      </patternFill>
    </fill>
    <fill>
      <patternFill patternType="solid">
        <fgColor theme="0" tint="-0.499984740745262"/>
        <bgColor indexed="64"/>
      </patternFill>
    </fill>
    <fill>
      <patternFill patternType="solid">
        <fgColor theme="0"/>
        <bgColor indexed="64"/>
      </patternFill>
    </fill>
    <fill>
      <patternFill patternType="solid">
        <fgColor rgb="FFFFC000"/>
        <bgColor indexed="64"/>
      </patternFill>
    </fill>
    <fill>
      <patternFill patternType="solid">
        <fgColor rgb="FF00FF00"/>
        <bgColor indexed="64"/>
      </patternFill>
    </fill>
    <fill>
      <patternFill patternType="solid">
        <fgColor rgb="FF99FF99"/>
        <bgColor indexed="64"/>
      </patternFill>
    </fill>
    <fill>
      <patternFill patternType="solid">
        <fgColor theme="0" tint="-0.249977111117893"/>
        <bgColor indexed="64"/>
      </patternFill>
    </fill>
  </fills>
  <borders count="112">
    <border>
      <left/>
      <right/>
      <top/>
      <bottom/>
      <diagonal/>
    </border>
    <border>
      <left/>
      <right/>
      <top/>
      <bottom style="double">
        <color indexed="64"/>
      </bottom>
      <diagonal/>
    </border>
    <border>
      <left/>
      <right style="thick">
        <color indexed="64"/>
      </right>
      <top/>
      <bottom/>
      <diagonal/>
    </border>
    <border>
      <left/>
      <right/>
      <top style="thick">
        <color indexed="64"/>
      </top>
      <bottom/>
      <diagonal/>
    </border>
    <border diagonalDown="1">
      <left/>
      <right style="thick">
        <color indexed="64"/>
      </right>
      <top style="thick">
        <color indexed="64"/>
      </top>
      <bottom/>
      <diagonal style="thick">
        <color indexed="64"/>
      </diagonal>
    </border>
    <border>
      <left/>
      <right/>
      <top/>
      <bottom style="thick">
        <color indexed="64"/>
      </bottom>
      <diagonal/>
    </border>
    <border diagonalUp="1">
      <left/>
      <right style="thick">
        <color indexed="64"/>
      </right>
      <top/>
      <bottom style="thick">
        <color indexed="64"/>
      </bottom>
      <diagonal style="thick">
        <color indexed="64"/>
      </diagonal>
    </border>
    <border>
      <left/>
      <right style="thick">
        <color indexed="64"/>
      </right>
      <top style="thick">
        <color indexed="64"/>
      </top>
      <bottom/>
      <diagonal/>
    </border>
    <border diagonalUp="1">
      <left style="thick">
        <color indexed="64"/>
      </left>
      <right/>
      <top style="thick">
        <color indexed="64"/>
      </top>
      <bottom/>
      <diagonal style="thick">
        <color indexed="64"/>
      </diagonal>
    </border>
    <border diagonalUp="1">
      <left style="thick">
        <color indexed="64"/>
      </left>
      <right/>
      <top style="thick">
        <color indexed="64"/>
      </top>
      <bottom/>
      <diagonal style="medium">
        <color rgb="FFFF0000"/>
      </diagonal>
    </border>
    <border>
      <left style="medium">
        <color rgb="FFFF0000"/>
      </left>
      <right style="thick">
        <color indexed="64"/>
      </right>
      <top/>
      <bottom style="thick">
        <color indexed="64"/>
      </bottom>
      <diagonal/>
    </border>
    <border>
      <left style="medium">
        <color rgb="FFFF0000"/>
      </left>
      <right style="thick">
        <color indexed="64"/>
      </right>
      <top style="thick">
        <color indexed="64"/>
      </top>
      <bottom/>
      <diagonal/>
    </border>
    <border>
      <left style="medium">
        <color rgb="FFFF0000"/>
      </left>
      <right style="thick">
        <color indexed="64"/>
      </right>
      <top/>
      <bottom/>
      <diagonal/>
    </border>
    <border>
      <left style="thick">
        <color indexed="64"/>
      </left>
      <right/>
      <top/>
      <bottom/>
      <diagonal/>
    </border>
    <border diagonalDown="1">
      <left style="thick">
        <color indexed="64"/>
      </left>
      <right/>
      <top/>
      <bottom style="thick">
        <color indexed="64"/>
      </bottom>
      <diagonal style="medium">
        <color rgb="FFFF0000"/>
      </diagonal>
    </border>
    <border diagonalUp="1">
      <left/>
      <right style="thick">
        <color indexed="64"/>
      </right>
      <top/>
      <bottom style="thick">
        <color indexed="64"/>
      </bottom>
      <diagonal style="medium">
        <color rgb="FFFF0000"/>
      </diagonal>
    </border>
    <border>
      <left style="thick">
        <color indexed="64"/>
      </left>
      <right/>
      <top style="thick">
        <color indexed="64"/>
      </top>
      <bottom/>
      <diagonal/>
    </border>
    <border>
      <left/>
      <right style="thick">
        <color indexed="64"/>
      </right>
      <top/>
      <bottom style="thick">
        <color indexed="64"/>
      </bottom>
      <diagonal/>
    </border>
    <border>
      <left style="thick">
        <color indexed="64"/>
      </left>
      <right style="medium">
        <color rgb="FFFF0000"/>
      </right>
      <top style="thick">
        <color indexed="64"/>
      </top>
      <bottom/>
      <diagonal/>
    </border>
    <border>
      <left style="mediumDashed">
        <color rgb="FFFF0000"/>
      </left>
      <right style="thick">
        <color indexed="64"/>
      </right>
      <top style="thick">
        <color indexed="64"/>
      </top>
      <bottom/>
      <diagonal/>
    </border>
    <border diagonalUp="1">
      <left style="thick">
        <color indexed="64"/>
      </left>
      <right style="mediumDashed">
        <color rgb="FFFF0000"/>
      </right>
      <top style="thick">
        <color indexed="64"/>
      </top>
      <bottom/>
      <diagonal style="mediumDashed">
        <color rgb="FFFF0000"/>
      </diagonal>
    </border>
    <border diagonalDown="1">
      <left style="thick">
        <color indexed="64"/>
      </left>
      <right/>
      <top/>
      <bottom style="thick">
        <color indexed="64"/>
      </bottom>
      <diagonal style="thick">
        <color indexed="64"/>
      </diagonal>
    </border>
    <border diagonalDown="1">
      <left/>
      <right style="thick">
        <color indexed="64"/>
      </right>
      <top/>
      <bottom/>
      <diagonal style="medium">
        <color rgb="FFFF0000"/>
      </diagonal>
    </border>
    <border>
      <left style="thick">
        <color indexed="64"/>
      </left>
      <right style="medium">
        <color rgb="FFFF0000"/>
      </right>
      <top/>
      <bottom style="thick">
        <color indexed="64"/>
      </bottom>
      <diagonal/>
    </border>
    <border>
      <left style="thick">
        <color indexed="64"/>
      </left>
      <right style="medium">
        <color rgb="FFFF0000"/>
      </right>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diagonal/>
    </border>
    <border>
      <left style="double">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top style="double">
        <color auto="1"/>
      </top>
      <bottom/>
      <diagonal/>
    </border>
    <border>
      <left style="double">
        <color auto="1"/>
      </left>
      <right/>
      <top/>
      <bottom style="double">
        <color indexed="64"/>
      </bottom>
      <diagonal/>
    </border>
    <border>
      <left style="double">
        <color auto="1"/>
      </left>
      <right/>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thin">
        <color auto="1"/>
      </left>
      <right style="thin">
        <color auto="1"/>
      </right>
      <top/>
      <bottom style="double">
        <color indexed="64"/>
      </bottom>
      <diagonal/>
    </border>
    <border>
      <left style="thin">
        <color auto="1"/>
      </left>
      <right style="double">
        <color auto="1"/>
      </right>
      <top/>
      <bottom style="double">
        <color indexed="64"/>
      </bottom>
      <diagonal/>
    </border>
    <border>
      <left style="thin">
        <color auto="1"/>
      </left>
      <right style="thin">
        <color auto="1"/>
      </right>
      <top/>
      <bottom/>
      <diagonal/>
    </border>
    <border>
      <left style="thin">
        <color auto="1"/>
      </left>
      <right style="double">
        <color auto="1"/>
      </right>
      <top/>
      <bottom/>
      <diagonal/>
    </border>
    <border>
      <left/>
      <right style="thin">
        <color indexed="64"/>
      </right>
      <top style="thin">
        <color indexed="64"/>
      </top>
      <bottom style="thin">
        <color indexed="64"/>
      </bottom>
      <diagonal/>
    </border>
    <border>
      <left style="double">
        <color auto="1"/>
      </left>
      <right style="thin">
        <color auto="1"/>
      </right>
      <top style="double">
        <color auto="1"/>
      </top>
      <bottom/>
      <diagonal/>
    </border>
    <border>
      <left style="double">
        <color auto="1"/>
      </left>
      <right style="thin">
        <color auto="1"/>
      </right>
      <top/>
      <bottom style="double">
        <color indexed="64"/>
      </bottom>
      <diagonal/>
    </border>
    <border>
      <left style="double">
        <color auto="1"/>
      </left>
      <right style="thin">
        <color auto="1"/>
      </right>
      <top/>
      <bottom/>
      <diagonal/>
    </border>
    <border>
      <left style="double">
        <color indexed="64"/>
      </left>
      <right style="double">
        <color indexed="64"/>
      </right>
      <top/>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indexed="64"/>
      </left>
      <right/>
      <top/>
      <bottom style="thin">
        <color indexed="64"/>
      </bottom>
      <diagonal/>
    </border>
    <border>
      <left style="double">
        <color auto="1"/>
      </left>
      <right style="thin">
        <color auto="1"/>
      </right>
      <top/>
      <bottom style="thin">
        <color indexed="64"/>
      </bottom>
      <diagonal/>
    </border>
    <border>
      <left/>
      <right/>
      <top/>
      <bottom style="thin">
        <color indexed="64"/>
      </bottom>
      <diagonal/>
    </border>
    <border>
      <left style="double">
        <color auto="1"/>
      </left>
      <right style="double">
        <color indexed="64"/>
      </right>
      <top/>
      <bottom style="thin">
        <color auto="1"/>
      </bottom>
      <diagonal/>
    </border>
    <border>
      <left style="double">
        <color indexed="64"/>
      </left>
      <right/>
      <top style="thin">
        <color indexed="64"/>
      </top>
      <bottom style="thin">
        <color auto="1"/>
      </bottom>
      <diagonal/>
    </border>
    <border>
      <left style="thin">
        <color auto="1"/>
      </left>
      <right/>
      <top style="thin">
        <color indexed="64"/>
      </top>
      <bottom/>
      <diagonal/>
    </border>
    <border>
      <left/>
      <right/>
      <top style="thin">
        <color indexed="64"/>
      </top>
      <bottom/>
      <diagonal/>
    </border>
    <border>
      <left/>
      <right style="thin">
        <color auto="1"/>
      </right>
      <top style="thin">
        <color indexed="64"/>
      </top>
      <bottom/>
      <diagonal/>
    </border>
    <border>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top/>
      <bottom style="thick">
        <color indexed="64"/>
      </bottom>
      <diagonal/>
    </border>
    <border>
      <left style="double">
        <color auto="1"/>
      </left>
      <right/>
      <top style="thin">
        <color auto="1"/>
      </top>
      <bottom/>
      <diagonal/>
    </border>
    <border>
      <left/>
      <right style="double">
        <color indexed="64"/>
      </right>
      <top/>
      <bottom style="double">
        <color auto="1"/>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auto="1"/>
      </left>
      <right style="thin">
        <color auto="1"/>
      </right>
      <top style="thin">
        <color indexed="64"/>
      </top>
      <bottom/>
      <diagonal/>
    </border>
    <border>
      <left/>
      <right style="thin">
        <color indexed="64"/>
      </right>
      <top/>
      <bottom style="thin">
        <color indexed="64"/>
      </bottom>
      <diagonal/>
    </border>
    <border>
      <left/>
      <right style="double">
        <color auto="1"/>
      </right>
      <top/>
      <bottom/>
      <diagonal/>
    </border>
    <border>
      <left style="thin">
        <color auto="1"/>
      </left>
      <right/>
      <top/>
      <bottom style="thin">
        <color indexed="64"/>
      </bottom>
      <diagonal/>
    </border>
    <border>
      <left/>
      <right style="double">
        <color indexed="64"/>
      </right>
      <top style="thin">
        <color indexed="64"/>
      </top>
      <bottom/>
      <diagonal/>
    </border>
    <border>
      <left style="double">
        <color auto="1"/>
      </left>
      <right style="double">
        <color auto="1"/>
      </right>
      <top style="double">
        <color auto="1"/>
      </top>
      <bottom style="thin">
        <color auto="1"/>
      </bottom>
      <diagonal/>
    </border>
    <border>
      <left style="thin">
        <color auto="1"/>
      </left>
      <right/>
      <top style="double">
        <color auto="1"/>
      </top>
      <bottom/>
      <diagonal/>
    </border>
    <border>
      <left/>
      <right style="double">
        <color auto="1"/>
      </right>
      <top style="double">
        <color auto="1"/>
      </top>
      <bottom/>
      <diagonal/>
    </border>
    <border>
      <left style="thin">
        <color auto="1"/>
      </left>
      <right/>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bottom style="medium">
        <color rgb="FF000000"/>
      </bottom>
      <diagonal/>
    </border>
    <border>
      <left/>
      <right style="double">
        <color indexed="64"/>
      </right>
      <top/>
      <bottom style="medium">
        <color indexed="64"/>
      </bottom>
      <diagonal/>
    </border>
    <border>
      <left/>
      <right style="medium">
        <color rgb="FF000000"/>
      </right>
      <top/>
      <bottom style="medium">
        <color indexed="64"/>
      </bottom>
      <diagonal/>
    </border>
    <border>
      <left/>
      <right style="medium">
        <color rgb="FF000000"/>
      </right>
      <top/>
      <bottom/>
      <diagonal/>
    </border>
    <border>
      <left style="double">
        <color indexed="64"/>
      </left>
      <right style="double">
        <color indexed="64"/>
      </right>
      <top/>
      <bottom style="medium">
        <color indexed="64"/>
      </bottom>
      <diagonal/>
    </border>
    <border>
      <left/>
      <right style="medium">
        <color indexed="64"/>
      </right>
      <top/>
      <bottom style="double">
        <color indexed="64"/>
      </bottom>
      <diagonal/>
    </border>
    <border>
      <left/>
      <right style="medium">
        <color rgb="FF000000"/>
      </right>
      <top/>
      <bottom style="double">
        <color indexed="64"/>
      </bottom>
      <diagonal/>
    </border>
    <border diagonalDown="1">
      <left style="thick">
        <color indexed="64"/>
      </left>
      <right style="mediumDashed">
        <color rgb="FFFF0000"/>
      </right>
      <top/>
      <bottom/>
      <diagonal style="mediumDashed">
        <color rgb="FFFF0000"/>
      </diagonal>
    </border>
    <border diagonalUp="1">
      <left style="mediumDashed">
        <color rgb="FFFF0000"/>
      </left>
      <right style="thick">
        <color indexed="64"/>
      </right>
      <top/>
      <bottom/>
      <diagonal style="mediumDashed">
        <color rgb="FFFF0000"/>
      </diagonal>
    </border>
    <border diagonalUp="1">
      <left style="thick">
        <color indexed="64"/>
      </left>
      <right style="mediumDashed">
        <color rgb="FFFF0000"/>
      </right>
      <top/>
      <bottom/>
      <diagonal style="mediumDashed">
        <color rgb="FFFF0000"/>
      </diagonal>
    </border>
    <border diagonalDown="1">
      <left style="mediumDashed">
        <color rgb="FFFF0000"/>
      </left>
      <right style="thick">
        <color indexed="64"/>
      </right>
      <top/>
      <bottom/>
      <diagonal style="mediumDashed">
        <color rgb="FFFF0000"/>
      </diagonal>
    </border>
    <border>
      <left style="thin">
        <color indexed="64"/>
      </left>
      <right/>
      <top style="thick">
        <color indexed="64"/>
      </top>
      <bottom/>
      <diagonal/>
    </border>
    <border>
      <left style="thin">
        <color indexed="64"/>
      </left>
      <right/>
      <top/>
      <bottom style="thick">
        <color indexed="64"/>
      </bottom>
      <diagonal/>
    </border>
    <border>
      <left style="thin">
        <color indexed="64"/>
      </left>
      <right/>
      <top style="thick">
        <color indexed="64"/>
      </top>
      <bottom style="thick">
        <color indexed="64"/>
      </bottom>
      <diagonal/>
    </border>
    <border>
      <left/>
      <right style="thick">
        <color indexed="64"/>
      </right>
      <top style="thick">
        <color indexed="64"/>
      </top>
      <bottom style="thick">
        <color indexed="64"/>
      </bottom>
      <diagonal/>
    </border>
    <border diagonalUp="1">
      <left style="thick">
        <color indexed="64"/>
      </left>
      <right/>
      <top/>
      <bottom style="thick">
        <color indexed="64"/>
      </bottom>
      <diagonal style="medium">
        <color rgb="FFFF0000"/>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mediumDashed">
        <color rgb="FFFF0000"/>
      </right>
      <top/>
      <bottom style="thick">
        <color indexed="64"/>
      </bottom>
      <diagonal/>
    </border>
    <border>
      <left style="mediumDashed">
        <color rgb="FFFF0000"/>
      </left>
      <right style="thick">
        <color indexed="64"/>
      </right>
      <top/>
      <bottom style="thick">
        <color indexed="64"/>
      </bottom>
      <diagonal/>
    </border>
    <border>
      <left style="thick">
        <color indexed="64"/>
      </left>
      <right style="mediumDashed">
        <color rgb="FFFF0000"/>
      </right>
      <top style="thick">
        <color indexed="64"/>
      </top>
      <bottom/>
      <diagonal/>
    </border>
  </borders>
  <cellStyleXfs count="7">
    <xf numFmtId="3" fontId="0" fillId="0" borderId="0"/>
    <xf numFmtId="164" fontId="1" fillId="0" borderId="0"/>
    <xf numFmtId="164" fontId="1" fillId="0" borderId="0"/>
    <xf numFmtId="0" fontId="3" fillId="0" borderId="0"/>
    <xf numFmtId="3" fontId="1" fillId="0" borderId="0"/>
    <xf numFmtId="3" fontId="1" fillId="0" borderId="0"/>
    <xf numFmtId="0" fontId="28" fillId="15" borderId="0" applyNumberFormat="0" applyBorder="0" applyAlignment="0" applyProtection="0"/>
  </cellStyleXfs>
  <cellXfs count="715">
    <xf numFmtId="3" fontId="0" fillId="0" borderId="0" xfId="0" applyAlignment="1"/>
    <xf numFmtId="3" fontId="2" fillId="0" borderId="0" xfId="0" applyFont="1" applyBorder="1" applyAlignment="1">
      <alignment horizontal="center"/>
    </xf>
    <xf numFmtId="1" fontId="2" fillId="0" borderId="0" xfId="0" applyNumberFormat="1" applyFont="1" applyBorder="1" applyAlignment="1">
      <alignment horizontal="center"/>
    </xf>
    <xf numFmtId="3" fontId="1" fillId="0" borderId="0" xfId="0" applyFont="1" applyAlignment="1"/>
    <xf numFmtId="3" fontId="4" fillId="0" borderId="0" xfId="0" applyFont="1" applyFill="1" applyBorder="1" applyAlignment="1">
      <alignment horizontal="left"/>
    </xf>
    <xf numFmtId="3" fontId="5" fillId="0" borderId="0" xfId="0" applyFont="1" applyBorder="1" applyAlignment="1">
      <alignment horizontal="center"/>
    </xf>
    <xf numFmtId="3" fontId="5" fillId="0" borderId="0" xfId="2" applyNumberFormat="1" applyFont="1" applyFill="1" applyBorder="1" applyAlignment="1">
      <alignment horizontal="center"/>
    </xf>
    <xf numFmtId="1" fontId="5" fillId="0" borderId="0" xfId="2" applyNumberFormat="1" applyFont="1" applyFill="1" applyBorder="1" applyAlignment="1">
      <alignment horizontal="center"/>
    </xf>
    <xf numFmtId="3" fontId="5" fillId="0" borderId="1" xfId="2" applyNumberFormat="1" applyFont="1" applyFill="1" applyBorder="1" applyAlignment="1">
      <alignment horizontal="center"/>
    </xf>
    <xf numFmtId="3" fontId="5" fillId="0" borderId="1" xfId="2" applyNumberFormat="1" applyFont="1" applyFill="1" applyBorder="1" applyAlignment="1">
      <alignment horizontal="left"/>
    </xf>
    <xf numFmtId="3" fontId="5" fillId="0" borderId="0" xfId="2" applyNumberFormat="1" applyFont="1" applyFill="1" applyBorder="1" applyAlignment="1">
      <alignment horizontal="left"/>
    </xf>
    <xf numFmtId="0" fontId="13" fillId="0" borderId="25" xfId="0" applyNumberFormat="1" applyFont="1" applyFill="1" applyBorder="1" applyAlignment="1">
      <alignment horizontal="center" vertical="center"/>
    </xf>
    <xf numFmtId="0" fontId="13" fillId="0" borderId="28" xfId="0" applyNumberFormat="1" applyFont="1" applyFill="1" applyBorder="1" applyAlignment="1">
      <alignment horizontal="center" vertical="center"/>
    </xf>
    <xf numFmtId="3" fontId="6" fillId="0" borderId="38" xfId="0" applyFont="1" applyBorder="1" applyAlignment="1"/>
    <xf numFmtId="3" fontId="1" fillId="0" borderId="0" xfId="0" applyFont="1" applyBorder="1" applyAlignment="1"/>
    <xf numFmtId="0" fontId="8" fillId="0" borderId="38" xfId="0" applyNumberFormat="1" applyFont="1" applyFill="1" applyBorder="1"/>
    <xf numFmtId="0" fontId="6" fillId="0" borderId="38" xfId="0" applyNumberFormat="1" applyFont="1" applyFill="1" applyBorder="1"/>
    <xf numFmtId="3" fontId="6" fillId="0" borderId="37" xfId="0" applyFont="1" applyBorder="1" applyAlignment="1"/>
    <xf numFmtId="3" fontId="1" fillId="0" borderId="1" xfId="0" applyFont="1" applyBorder="1" applyAlignment="1"/>
    <xf numFmtId="3" fontId="6" fillId="0" borderId="43" xfId="0" applyFont="1" applyBorder="1" applyAlignment="1"/>
    <xf numFmtId="3" fontId="6" fillId="0" borderId="44" xfId="0" applyFont="1" applyBorder="1" applyAlignment="1"/>
    <xf numFmtId="0" fontId="8" fillId="0" borderId="44" xfId="0" applyNumberFormat="1" applyFont="1" applyFill="1" applyBorder="1"/>
    <xf numFmtId="0" fontId="6" fillId="0" borderId="44" xfId="0" applyNumberFormat="1" applyFont="1" applyFill="1" applyBorder="1"/>
    <xf numFmtId="3" fontId="6" fillId="0" borderId="41" xfId="0" applyFont="1" applyBorder="1" applyAlignment="1"/>
    <xf numFmtId="3" fontId="6" fillId="0" borderId="42" xfId="0" applyFont="1" applyBorder="1" applyAlignment="1"/>
    <xf numFmtId="3" fontId="1" fillId="0" borderId="43" xfId="0" applyFont="1" applyBorder="1" applyAlignment="1"/>
    <xf numFmtId="3" fontId="1" fillId="0" borderId="41" xfId="0" applyFont="1" applyBorder="1" applyAlignment="1"/>
    <xf numFmtId="1" fontId="2" fillId="0" borderId="38" xfId="0" applyNumberFormat="1" applyFont="1" applyBorder="1" applyAlignment="1">
      <alignment horizontal="center"/>
    </xf>
    <xf numFmtId="3" fontId="1" fillId="0" borderId="49" xfId="0" applyFont="1" applyBorder="1" applyAlignment="1"/>
    <xf numFmtId="3" fontId="1" fillId="0" borderId="35" xfId="0" applyFont="1" applyBorder="1" applyAlignment="1"/>
    <xf numFmtId="0" fontId="6" fillId="3" borderId="38" xfId="0" applyNumberFormat="1" applyFont="1" applyFill="1" applyBorder="1"/>
    <xf numFmtId="3" fontId="6" fillId="3" borderId="38" xfId="0" applyFont="1" applyFill="1" applyBorder="1" applyAlignment="1"/>
    <xf numFmtId="0" fontId="6" fillId="4" borderId="38" xfId="0" applyNumberFormat="1" applyFont="1" applyFill="1" applyBorder="1"/>
    <xf numFmtId="3" fontId="6" fillId="4" borderId="5" xfId="0" applyNumberFormat="1" applyFont="1" applyFill="1" applyBorder="1" applyAlignment="1">
      <alignment horizontal="center"/>
    </xf>
    <xf numFmtId="3" fontId="1" fillId="4" borderId="6" xfId="0" applyNumberFormat="1" applyFont="1" applyFill="1" applyBorder="1" applyAlignment="1">
      <alignment horizontal="center"/>
    </xf>
    <xf numFmtId="3" fontId="1" fillId="4" borderId="21" xfId="0" applyNumberFormat="1" applyFont="1" applyFill="1" applyBorder="1" applyAlignment="1"/>
    <xf numFmtId="3" fontId="6" fillId="4" borderId="5" xfId="0" applyNumberFormat="1" applyFont="1" applyFill="1" applyBorder="1" applyAlignment="1"/>
    <xf numFmtId="3" fontId="9" fillId="4" borderId="3" xfId="0" applyNumberFormat="1" applyFont="1" applyFill="1" applyBorder="1" applyAlignment="1">
      <alignment horizontal="center"/>
    </xf>
    <xf numFmtId="3" fontId="10" fillId="4" borderId="4" xfId="0" applyNumberFormat="1" applyFont="1" applyFill="1" applyBorder="1" applyAlignment="1">
      <alignment horizontal="center"/>
    </xf>
    <xf numFmtId="3" fontId="10" fillId="4" borderId="8" xfId="0" applyNumberFormat="1" applyFont="1" applyFill="1" applyBorder="1" applyAlignment="1"/>
    <xf numFmtId="0" fontId="6" fillId="4" borderId="0" xfId="0" applyNumberFormat="1" applyFont="1" applyFill="1" applyBorder="1" applyProtection="1"/>
    <xf numFmtId="0" fontId="1" fillId="4" borderId="2" xfId="0" applyNumberFormat="1" applyFont="1" applyFill="1" applyBorder="1" applyProtection="1"/>
    <xf numFmtId="0" fontId="6" fillId="4" borderId="12" xfId="0" applyNumberFormat="1" applyFont="1" applyFill="1" applyBorder="1" applyProtection="1"/>
    <xf numFmtId="0" fontId="1" fillId="4" borderId="0" xfId="0" applyNumberFormat="1" applyFont="1" applyFill="1" applyBorder="1" applyProtection="1"/>
    <xf numFmtId="3" fontId="9" fillId="4" borderId="11" xfId="0" applyNumberFormat="1" applyFont="1" applyFill="1" applyBorder="1" applyAlignment="1">
      <alignment horizontal="center"/>
    </xf>
    <xf numFmtId="3" fontId="6" fillId="4" borderId="0" xfId="0" applyNumberFormat="1" applyFont="1" applyFill="1" applyBorder="1" applyAlignment="1">
      <alignment horizontal="center"/>
    </xf>
    <xf numFmtId="3" fontId="1" fillId="4" borderId="2" xfId="0" applyNumberFormat="1" applyFont="1" applyFill="1" applyBorder="1" applyAlignment="1">
      <alignment horizontal="center"/>
    </xf>
    <xf numFmtId="3" fontId="6" fillId="4" borderId="12" xfId="0" applyNumberFormat="1" applyFont="1" applyFill="1" applyBorder="1" applyAlignment="1">
      <alignment horizontal="center"/>
    </xf>
    <xf numFmtId="3" fontId="1" fillId="4" borderId="0" xfId="0" applyNumberFormat="1" applyFont="1" applyFill="1" applyBorder="1" applyAlignment="1"/>
    <xf numFmtId="0" fontId="6" fillId="4" borderId="0" xfId="0" applyNumberFormat="1" applyFont="1" applyFill="1" applyBorder="1" applyAlignment="1" applyProtection="1">
      <alignment horizontal="center" vertical="center"/>
    </xf>
    <xf numFmtId="3" fontId="6" fillId="4" borderId="10" xfId="0" applyNumberFormat="1" applyFont="1" applyFill="1" applyBorder="1" applyAlignment="1">
      <alignment horizontal="center"/>
    </xf>
    <xf numFmtId="3" fontId="9" fillId="4" borderId="0" xfId="0" applyNumberFormat="1" applyFont="1" applyFill="1" applyBorder="1" applyAlignment="1">
      <alignment horizontal="center"/>
    </xf>
    <xf numFmtId="3" fontId="9" fillId="4" borderId="0" xfId="0" applyNumberFormat="1" applyFont="1" applyFill="1" applyBorder="1" applyAlignment="1"/>
    <xf numFmtId="3" fontId="10" fillId="4" borderId="2" xfId="0" applyNumberFormat="1" applyFont="1" applyFill="1" applyBorder="1" applyAlignment="1">
      <alignment horizontal="center"/>
    </xf>
    <xf numFmtId="3" fontId="9" fillId="4" borderId="12" xfId="0" applyNumberFormat="1" applyFont="1" applyFill="1" applyBorder="1" applyAlignment="1">
      <alignment horizontal="center"/>
    </xf>
    <xf numFmtId="3" fontId="10" fillId="4" borderId="0" xfId="0" applyNumberFormat="1" applyFont="1" applyFill="1" applyBorder="1" applyAlignment="1"/>
    <xf numFmtId="0" fontId="6" fillId="5" borderId="38" xfId="0" applyNumberFormat="1" applyFont="1" applyFill="1" applyBorder="1"/>
    <xf numFmtId="3" fontId="6" fillId="5" borderId="5" xfId="0" applyNumberFormat="1" applyFont="1" applyFill="1" applyBorder="1" applyAlignment="1">
      <alignment horizontal="center"/>
    </xf>
    <xf numFmtId="3" fontId="1" fillId="5" borderId="6" xfId="0" applyNumberFormat="1" applyFont="1" applyFill="1" applyBorder="1" applyAlignment="1">
      <alignment horizontal="center"/>
    </xf>
    <xf numFmtId="3" fontId="1" fillId="5" borderId="21" xfId="0" applyNumberFormat="1" applyFont="1" applyFill="1" applyBorder="1" applyAlignment="1"/>
    <xf numFmtId="3" fontId="6" fillId="5" borderId="5" xfId="0" applyNumberFormat="1" applyFont="1" applyFill="1" applyBorder="1" applyAlignment="1"/>
    <xf numFmtId="0" fontId="1" fillId="5" borderId="3" xfId="0" applyNumberFormat="1" applyFont="1" applyFill="1" applyBorder="1" applyProtection="1"/>
    <xf numFmtId="0" fontId="6" fillId="5" borderId="3" xfId="0" applyNumberFormat="1" applyFont="1" applyFill="1" applyBorder="1" applyAlignment="1" applyProtection="1">
      <alignment horizontal="center" vertical="center"/>
    </xf>
    <xf numFmtId="3" fontId="9" fillId="5" borderId="3" xfId="0" applyNumberFormat="1" applyFont="1" applyFill="1" applyBorder="1" applyAlignment="1">
      <alignment horizontal="center"/>
    </xf>
    <xf numFmtId="3" fontId="10" fillId="5" borderId="4" xfId="0" applyNumberFormat="1" applyFont="1" applyFill="1" applyBorder="1" applyAlignment="1">
      <alignment horizontal="center"/>
    </xf>
    <xf numFmtId="3" fontId="10" fillId="5" borderId="8" xfId="0" applyNumberFormat="1" applyFont="1" applyFill="1" applyBorder="1" applyAlignment="1"/>
    <xf numFmtId="3" fontId="6" fillId="5" borderId="3" xfId="0" applyNumberFormat="1" applyFont="1" applyFill="1" applyBorder="1" applyAlignment="1">
      <alignment horizontal="center"/>
    </xf>
    <xf numFmtId="0" fontId="6" fillId="5" borderId="0" xfId="0" applyNumberFormat="1" applyFont="1" applyFill="1" applyBorder="1" applyProtection="1"/>
    <xf numFmtId="0" fontId="1" fillId="5" borderId="2" xfId="0" applyNumberFormat="1" applyFont="1" applyFill="1" applyBorder="1" applyProtection="1"/>
    <xf numFmtId="0" fontId="6" fillId="5" borderId="12" xfId="0" applyNumberFormat="1" applyFont="1" applyFill="1" applyBorder="1" applyProtection="1"/>
    <xf numFmtId="0" fontId="1" fillId="5" borderId="0" xfId="0" applyNumberFormat="1" applyFont="1" applyFill="1" applyBorder="1" applyProtection="1"/>
    <xf numFmtId="0" fontId="6" fillId="5" borderId="0" xfId="0" applyNumberFormat="1" applyFont="1" applyFill="1" applyBorder="1" applyAlignment="1" applyProtection="1">
      <alignment horizontal="center"/>
    </xf>
    <xf numFmtId="3" fontId="9" fillId="5" borderId="18" xfId="0" applyNumberFormat="1" applyFont="1" applyFill="1" applyBorder="1" applyAlignment="1">
      <alignment horizontal="center"/>
    </xf>
    <xf numFmtId="3" fontId="9" fillId="5" borderId="11" xfId="0" applyNumberFormat="1" applyFont="1" applyFill="1" applyBorder="1" applyAlignment="1">
      <alignment horizontal="center"/>
    </xf>
    <xf numFmtId="3" fontId="9" fillId="5" borderId="3" xfId="0" applyNumberFormat="1" applyFont="1" applyFill="1" applyBorder="1" applyAlignment="1"/>
    <xf numFmtId="3" fontId="6" fillId="5" borderId="0" xfId="0" applyNumberFormat="1" applyFont="1" applyFill="1" applyBorder="1" applyAlignment="1">
      <alignment horizontal="center"/>
    </xf>
    <xf numFmtId="3" fontId="1" fillId="5" borderId="2" xfId="0" applyNumberFormat="1" applyFont="1" applyFill="1" applyBorder="1" applyAlignment="1">
      <alignment horizontal="center"/>
    </xf>
    <xf numFmtId="3" fontId="6" fillId="5" borderId="12" xfId="0" applyNumberFormat="1" applyFont="1" applyFill="1" applyBorder="1" applyAlignment="1">
      <alignment horizontal="center"/>
    </xf>
    <xf numFmtId="3" fontId="1" fillId="5" borderId="0" xfId="0" applyNumberFormat="1" applyFont="1" applyFill="1" applyBorder="1" applyAlignment="1"/>
    <xf numFmtId="0" fontId="6" fillId="5" borderId="0" xfId="0" applyNumberFormat="1" applyFont="1" applyFill="1" applyBorder="1" applyAlignment="1" applyProtection="1">
      <alignment horizontal="center" vertical="center"/>
    </xf>
    <xf numFmtId="3" fontId="6" fillId="5" borderId="10" xfId="0" applyNumberFormat="1" applyFont="1" applyFill="1" applyBorder="1" applyAlignment="1">
      <alignment horizontal="center"/>
    </xf>
    <xf numFmtId="3" fontId="9" fillId="5" borderId="0" xfId="0" applyNumberFormat="1" applyFont="1" applyFill="1" applyBorder="1" applyAlignment="1">
      <alignment horizontal="center"/>
    </xf>
    <xf numFmtId="3" fontId="9" fillId="5" borderId="0" xfId="0" applyNumberFormat="1" applyFont="1" applyFill="1" applyBorder="1" applyAlignment="1"/>
    <xf numFmtId="3" fontId="10" fillId="5" borderId="2" xfId="0" applyNumberFormat="1" applyFont="1" applyFill="1" applyBorder="1" applyAlignment="1">
      <alignment horizontal="center"/>
    </xf>
    <xf numFmtId="3" fontId="9" fillId="5" borderId="12" xfId="0" applyNumberFormat="1" applyFont="1" applyFill="1" applyBorder="1" applyAlignment="1">
      <alignment horizontal="center"/>
    </xf>
    <xf numFmtId="3" fontId="10" fillId="5" borderId="0" xfId="0" applyNumberFormat="1" applyFont="1" applyFill="1" applyBorder="1" applyAlignment="1"/>
    <xf numFmtId="3" fontId="6" fillId="4" borderId="14" xfId="0" applyNumberFormat="1" applyFont="1" applyFill="1" applyBorder="1" applyAlignment="1">
      <alignment horizontal="center"/>
    </xf>
    <xf numFmtId="3" fontId="6" fillId="4" borderId="15" xfId="0" applyNumberFormat="1" applyFont="1" applyFill="1" applyBorder="1" applyAlignment="1">
      <alignment horizontal="center"/>
    </xf>
    <xf numFmtId="3" fontId="6" fillId="4" borderId="0" xfId="0" applyNumberFormat="1" applyFont="1" applyFill="1" applyBorder="1" applyAlignment="1"/>
    <xf numFmtId="3" fontId="9" fillId="0" borderId="0" xfId="2" applyNumberFormat="1" applyFont="1" applyFill="1" applyBorder="1" applyAlignment="1">
      <alignment horizontal="center"/>
    </xf>
    <xf numFmtId="3" fontId="9" fillId="0" borderId="0" xfId="0" applyFont="1" applyFill="1" applyBorder="1" applyAlignment="1">
      <alignment horizontal="center"/>
    </xf>
    <xf numFmtId="3" fontId="6" fillId="9" borderId="43" xfId="0" applyFont="1" applyFill="1" applyBorder="1" applyAlignment="1">
      <alignment horizontal="center"/>
    </xf>
    <xf numFmtId="3" fontId="6" fillId="10" borderId="43" xfId="0" applyFont="1" applyFill="1" applyBorder="1" applyAlignment="1">
      <alignment horizontal="center"/>
    </xf>
    <xf numFmtId="0" fontId="6" fillId="9" borderId="43" xfId="0" applyNumberFormat="1" applyFont="1" applyFill="1" applyBorder="1" applyAlignment="1">
      <alignment horizontal="center"/>
    </xf>
    <xf numFmtId="0" fontId="6" fillId="10" borderId="43" xfId="0" applyNumberFormat="1" applyFont="1" applyFill="1" applyBorder="1" applyAlignment="1">
      <alignment horizontal="center"/>
    </xf>
    <xf numFmtId="3" fontId="6" fillId="9" borderId="41" xfId="0" applyFont="1" applyFill="1" applyBorder="1" applyAlignment="1">
      <alignment horizontal="center"/>
    </xf>
    <xf numFmtId="3" fontId="6" fillId="10" borderId="41" xfId="0" applyFont="1" applyFill="1" applyBorder="1" applyAlignment="1">
      <alignment horizontal="center"/>
    </xf>
    <xf numFmtId="3" fontId="1" fillId="0" borderId="0" xfId="0" applyFont="1" applyAlignment="1">
      <alignment horizontal="center"/>
    </xf>
    <xf numFmtId="3" fontId="9" fillId="0" borderId="0" xfId="0" applyFont="1" applyBorder="1" applyAlignment="1">
      <alignment horizontal="center"/>
    </xf>
    <xf numFmtId="3" fontId="9" fillId="9" borderId="48" xfId="0" applyFont="1" applyFill="1" applyBorder="1" applyAlignment="1">
      <alignment horizontal="center"/>
    </xf>
    <xf numFmtId="3" fontId="9" fillId="10" borderId="44" xfId="0" applyFont="1" applyFill="1" applyBorder="1" applyAlignment="1">
      <alignment horizontal="center"/>
    </xf>
    <xf numFmtId="3" fontId="9" fillId="9" borderId="47" xfId="0" applyFont="1" applyFill="1" applyBorder="1" applyAlignment="1">
      <alignment horizontal="center"/>
    </xf>
    <xf numFmtId="3" fontId="9" fillId="10" borderId="42" xfId="0" applyFont="1" applyFill="1" applyBorder="1" applyAlignment="1">
      <alignment horizontal="center"/>
    </xf>
    <xf numFmtId="3" fontId="9" fillId="0" borderId="0" xfId="0" applyFont="1" applyAlignment="1">
      <alignment horizontal="center"/>
    </xf>
    <xf numFmtId="3" fontId="6" fillId="10" borderId="44" xfId="0" applyFont="1" applyFill="1" applyBorder="1" applyAlignment="1">
      <alignment horizontal="center"/>
    </xf>
    <xf numFmtId="3" fontId="6" fillId="10" borderId="42" xfId="0" applyFont="1" applyFill="1" applyBorder="1" applyAlignment="1">
      <alignment horizontal="center"/>
    </xf>
    <xf numFmtId="3" fontId="6" fillId="0" borderId="0" xfId="0" applyFont="1" applyAlignment="1">
      <alignment horizontal="center"/>
    </xf>
    <xf numFmtId="3" fontId="5" fillId="0" borderId="0" xfId="5" applyFont="1" applyFill="1" applyBorder="1" applyAlignment="1">
      <alignment horizontal="left"/>
    </xf>
    <xf numFmtId="3" fontId="4" fillId="0" borderId="0" xfId="5" applyFont="1" applyFill="1" applyBorder="1" applyAlignment="1">
      <alignment horizontal="left"/>
    </xf>
    <xf numFmtId="3" fontId="5" fillId="0" borderId="0" xfId="5" applyFont="1" applyBorder="1" applyAlignment="1">
      <alignment horizontal="center"/>
    </xf>
    <xf numFmtId="3" fontId="2" fillId="0" borderId="0" xfId="5" applyFont="1" applyBorder="1" applyAlignment="1">
      <alignment horizontal="center"/>
    </xf>
    <xf numFmtId="1" fontId="2" fillId="0" borderId="0" xfId="5" applyNumberFormat="1" applyFont="1" applyBorder="1" applyAlignment="1">
      <alignment horizontal="center"/>
    </xf>
    <xf numFmtId="3" fontId="6" fillId="0" borderId="0" xfId="5" applyFont="1" applyBorder="1" applyAlignment="1"/>
    <xf numFmtId="3" fontId="1" fillId="0" borderId="0" xfId="5" applyFont="1" applyAlignment="1"/>
    <xf numFmtId="0" fontId="8" fillId="0" borderId="0" xfId="5" applyNumberFormat="1" applyFont="1" applyFill="1"/>
    <xf numFmtId="0" fontId="6" fillId="0" borderId="0" xfId="5" applyNumberFormat="1" applyFont="1" applyFill="1"/>
    <xf numFmtId="0" fontId="6" fillId="0" borderId="0" xfId="5" applyNumberFormat="1" applyFont="1" applyFill="1" applyBorder="1"/>
    <xf numFmtId="0" fontId="6" fillId="0" borderId="2" xfId="5" applyNumberFormat="1" applyFont="1" applyFill="1" applyBorder="1"/>
    <xf numFmtId="3" fontId="6" fillId="0" borderId="3" xfId="5" applyNumberFormat="1" applyFont="1" applyFill="1" applyBorder="1" applyAlignment="1">
      <alignment horizontal="center"/>
    </xf>
    <xf numFmtId="3" fontId="1" fillId="0" borderId="4" xfId="5" applyNumberFormat="1" applyFont="1" applyFill="1" applyBorder="1" applyAlignment="1">
      <alignment horizontal="center"/>
    </xf>
    <xf numFmtId="3" fontId="1" fillId="0" borderId="8" xfId="5" applyNumberFormat="1" applyFont="1" applyFill="1" applyBorder="1" applyAlignment="1"/>
    <xf numFmtId="3" fontId="6" fillId="0" borderId="3" xfId="5" applyNumberFormat="1" applyFont="1" applyFill="1" applyBorder="1" applyAlignment="1"/>
    <xf numFmtId="0" fontId="6" fillId="0" borderId="0" xfId="5" applyNumberFormat="1" applyFont="1" applyFill="1" applyBorder="1" applyProtection="1"/>
    <xf numFmtId="0" fontId="1" fillId="0" borderId="2" xfId="5" applyNumberFormat="1" applyFont="1" applyFill="1" applyBorder="1" applyProtection="1"/>
    <xf numFmtId="0" fontId="6" fillId="0" borderId="13" xfId="5" applyNumberFormat="1" applyFont="1" applyFill="1" applyBorder="1" applyProtection="1"/>
    <xf numFmtId="0" fontId="6" fillId="0" borderId="2" xfId="5" applyNumberFormat="1" applyFont="1" applyFill="1" applyBorder="1" applyProtection="1"/>
    <xf numFmtId="0" fontId="1" fillId="0" borderId="0" xfId="5" applyNumberFormat="1" applyFont="1" applyFill="1" applyBorder="1" applyProtection="1"/>
    <xf numFmtId="3" fontId="6" fillId="0" borderId="5" xfId="5" applyNumberFormat="1" applyFont="1" applyFill="1" applyBorder="1" applyAlignment="1">
      <alignment horizontal="center"/>
    </xf>
    <xf numFmtId="3" fontId="1" fillId="0" borderId="6" xfId="5" applyNumberFormat="1" applyFont="1" applyFill="1" applyBorder="1" applyAlignment="1">
      <alignment horizontal="center"/>
    </xf>
    <xf numFmtId="3" fontId="1" fillId="0" borderId="21" xfId="5" applyNumberFormat="1" applyFont="1" applyFill="1" applyBorder="1" applyAlignment="1"/>
    <xf numFmtId="3" fontId="6" fillId="0" borderId="5" xfId="5" applyNumberFormat="1" applyFont="1" applyFill="1" applyBorder="1" applyAlignment="1"/>
    <xf numFmtId="3" fontId="9" fillId="0" borderId="0" xfId="5" applyNumberFormat="1" applyFont="1" applyFill="1" applyBorder="1" applyAlignment="1">
      <alignment horizontal="center"/>
    </xf>
    <xf numFmtId="3" fontId="10" fillId="0" borderId="4" xfId="5" applyNumberFormat="1" applyFont="1" applyFill="1" applyBorder="1" applyAlignment="1">
      <alignment horizontal="center"/>
    </xf>
    <xf numFmtId="3" fontId="9" fillId="0" borderId="3" xfId="5" applyNumberFormat="1" applyFont="1" applyFill="1" applyBorder="1" applyAlignment="1">
      <alignment horizontal="center"/>
    </xf>
    <xf numFmtId="3" fontId="10" fillId="0" borderId="8" xfId="5" applyNumberFormat="1" applyFont="1" applyFill="1" applyBorder="1" applyAlignment="1"/>
    <xf numFmtId="3" fontId="9" fillId="0" borderId="0" xfId="5" applyNumberFormat="1" applyFont="1" applyFill="1" applyBorder="1" applyAlignment="1"/>
    <xf numFmtId="0" fontId="6" fillId="0" borderId="0" xfId="5" applyNumberFormat="1" applyFont="1" applyFill="1" applyBorder="1" applyAlignment="1" applyProtection="1">
      <alignment horizontal="center" vertical="center"/>
    </xf>
    <xf numFmtId="3" fontId="6" fillId="0" borderId="0" xfId="5" applyNumberFormat="1" applyFont="1" applyFill="1" applyBorder="1" applyAlignment="1">
      <alignment horizontal="center"/>
    </xf>
    <xf numFmtId="3" fontId="1" fillId="0" borderId="2" xfId="5" applyNumberFormat="1" applyFont="1" applyFill="1" applyBorder="1" applyAlignment="1">
      <alignment horizontal="center"/>
    </xf>
    <xf numFmtId="3" fontId="1" fillId="0" borderId="0" xfId="5" applyNumberFormat="1" applyFont="1" applyFill="1" applyBorder="1" applyAlignment="1"/>
    <xf numFmtId="3" fontId="6" fillId="0" borderId="0" xfId="5" applyNumberFormat="1" applyFont="1" applyFill="1" applyBorder="1" applyAlignment="1"/>
    <xf numFmtId="0" fontId="6" fillId="0" borderId="3" xfId="5" applyNumberFormat="1" applyFont="1" applyFill="1" applyBorder="1" applyProtection="1"/>
    <xf numFmtId="0" fontId="1" fillId="0" borderId="7" xfId="5" applyNumberFormat="1" applyFont="1" applyFill="1" applyBorder="1" applyProtection="1"/>
    <xf numFmtId="0" fontId="6" fillId="0" borderId="16" xfId="5" applyNumberFormat="1" applyFont="1" applyFill="1" applyBorder="1" applyProtection="1"/>
    <xf numFmtId="0" fontId="6" fillId="0" borderId="19" xfId="5" applyNumberFormat="1" applyFont="1" applyFill="1" applyBorder="1" applyProtection="1"/>
    <xf numFmtId="0" fontId="1" fillId="0" borderId="3" xfId="5" applyNumberFormat="1" applyFont="1" applyFill="1" applyBorder="1" applyProtection="1"/>
    <xf numFmtId="0" fontId="6" fillId="0" borderId="3" xfId="5" applyNumberFormat="1" applyFont="1" applyFill="1" applyBorder="1" applyAlignment="1" applyProtection="1">
      <alignment horizontal="center" vertical="center"/>
    </xf>
    <xf numFmtId="3" fontId="9" fillId="0" borderId="20" xfId="5" applyNumberFormat="1" applyFont="1" applyFill="1" applyBorder="1" applyAlignment="1">
      <alignment horizontal="center"/>
    </xf>
    <xf numFmtId="0" fontId="6" fillId="0" borderId="0" xfId="5" applyNumberFormat="1" applyFont="1" applyFill="1" applyBorder="1" applyAlignment="1" applyProtection="1">
      <alignment horizontal="center"/>
    </xf>
    <xf numFmtId="3" fontId="9" fillId="0" borderId="3" xfId="5" applyNumberFormat="1" applyFont="1" applyFill="1" applyBorder="1" applyAlignment="1"/>
    <xf numFmtId="3" fontId="10" fillId="0" borderId="2" xfId="5" applyNumberFormat="1" applyFont="1" applyFill="1" applyBorder="1" applyAlignment="1">
      <alignment horizontal="center"/>
    </xf>
    <xf numFmtId="3" fontId="10" fillId="0" borderId="0" xfId="5" applyNumberFormat="1" applyFont="1" applyFill="1" applyBorder="1" applyAlignment="1"/>
    <xf numFmtId="3" fontId="9" fillId="0" borderId="22" xfId="5" applyNumberFormat="1" applyFont="1" applyFill="1" applyBorder="1" applyAlignment="1">
      <alignment horizontal="center"/>
    </xf>
    <xf numFmtId="3" fontId="6" fillId="0" borderId="0" xfId="5" applyFont="1" applyAlignment="1"/>
    <xf numFmtId="3" fontId="19" fillId="0" borderId="0" xfId="0" applyFont="1" applyFill="1" applyBorder="1" applyAlignment="1">
      <alignment horizontal="left"/>
    </xf>
    <xf numFmtId="3" fontId="9" fillId="0" borderId="31" xfId="4" applyFont="1" applyFill="1" applyBorder="1" applyAlignment="1">
      <alignment horizontal="center" vertical="center"/>
    </xf>
    <xf numFmtId="3" fontId="9" fillId="2" borderId="30" xfId="4" applyFont="1" applyFill="1" applyBorder="1" applyAlignment="1">
      <alignment horizontal="center" vertical="center"/>
    </xf>
    <xf numFmtId="3" fontId="9" fillId="0" borderId="58" xfId="4" applyFont="1" applyFill="1" applyBorder="1" applyAlignment="1">
      <alignment horizontal="center" vertical="center"/>
    </xf>
    <xf numFmtId="3" fontId="9" fillId="0" borderId="30" xfId="4" applyFont="1" applyFill="1" applyBorder="1" applyAlignment="1">
      <alignment horizontal="center" vertical="center"/>
    </xf>
    <xf numFmtId="0" fontId="3" fillId="0" borderId="0" xfId="3" applyAlignment="1">
      <alignment vertical="center"/>
    </xf>
    <xf numFmtId="0" fontId="3" fillId="0" borderId="63" xfId="3" applyBorder="1" applyAlignment="1">
      <alignment vertical="center"/>
    </xf>
    <xf numFmtId="0" fontId="3" fillId="0" borderId="64" xfId="3" applyBorder="1" applyAlignment="1">
      <alignment vertical="center"/>
    </xf>
    <xf numFmtId="0" fontId="3" fillId="0" borderId="65" xfId="3" applyBorder="1" applyAlignment="1">
      <alignment vertical="center"/>
    </xf>
    <xf numFmtId="0" fontId="3" fillId="0" borderId="66" xfId="3" applyBorder="1" applyAlignment="1">
      <alignment vertical="center"/>
    </xf>
    <xf numFmtId="0" fontId="3" fillId="0" borderId="0" xfId="3" applyBorder="1" applyAlignment="1">
      <alignment vertical="center"/>
    </xf>
    <xf numFmtId="0" fontId="12" fillId="0" borderId="0" xfId="3" applyFont="1" applyBorder="1" applyAlignment="1">
      <alignment horizontal="center" vertical="center"/>
    </xf>
    <xf numFmtId="0" fontId="12" fillId="0" borderId="28" xfId="3" applyFont="1" applyBorder="1" applyAlignment="1">
      <alignment horizontal="center" vertical="center"/>
    </xf>
    <xf numFmtId="0" fontId="12" fillId="0" borderId="67" xfId="3" applyFont="1" applyBorder="1" applyAlignment="1">
      <alignment horizontal="center" vertical="center"/>
    </xf>
    <xf numFmtId="0" fontId="3" fillId="0" borderId="66" xfId="3" applyFill="1" applyBorder="1" applyAlignment="1">
      <alignment vertical="center"/>
    </xf>
    <xf numFmtId="0" fontId="3" fillId="0" borderId="0" xfId="3" applyFill="1" applyBorder="1"/>
    <xf numFmtId="0" fontId="12" fillId="0" borderId="0" xfId="3" applyFont="1" applyFill="1" applyBorder="1" applyAlignment="1">
      <alignment horizontal="center" vertical="center"/>
    </xf>
    <xf numFmtId="0" fontId="12" fillId="0" borderId="28" xfId="3" applyFont="1" applyFill="1" applyBorder="1" applyAlignment="1">
      <alignment horizontal="center" vertical="center"/>
    </xf>
    <xf numFmtId="0" fontId="12" fillId="7" borderId="28" xfId="3" applyFont="1" applyFill="1" applyBorder="1" applyAlignment="1">
      <alignment horizontal="center" vertical="center"/>
    </xf>
    <xf numFmtId="0" fontId="3" fillId="11" borderId="0" xfId="3" applyFill="1" applyBorder="1" applyAlignment="1">
      <alignment vertical="center"/>
    </xf>
    <xf numFmtId="0" fontId="3" fillId="7" borderId="0" xfId="3" applyFont="1" applyFill="1" applyBorder="1" applyAlignment="1">
      <alignment vertical="center"/>
    </xf>
    <xf numFmtId="9" fontId="12" fillId="6" borderId="28" xfId="3" applyNumberFormat="1" applyFont="1" applyFill="1" applyBorder="1" applyAlignment="1">
      <alignment horizontal="center" vertical="center"/>
    </xf>
    <xf numFmtId="9" fontId="12" fillId="7" borderId="28" xfId="3" applyNumberFormat="1" applyFont="1" applyFill="1" applyBorder="1" applyAlignment="1">
      <alignment horizontal="center" vertical="center"/>
    </xf>
    <xf numFmtId="9" fontId="12" fillId="0" borderId="28" xfId="3" applyNumberFormat="1" applyFont="1" applyBorder="1" applyAlignment="1">
      <alignment horizontal="center" vertical="center"/>
    </xf>
    <xf numFmtId="3" fontId="3" fillId="6" borderId="28" xfId="3" applyNumberFormat="1" applyFill="1" applyBorder="1" applyAlignment="1">
      <alignment horizontal="center" vertical="center"/>
    </xf>
    <xf numFmtId="3" fontId="3" fillId="7" borderId="28" xfId="3" applyNumberFormat="1" applyFill="1" applyBorder="1" applyAlignment="1">
      <alignment horizontal="center" vertical="center"/>
    </xf>
    <xf numFmtId="3" fontId="3" fillId="0" borderId="28" xfId="3" applyNumberFormat="1" applyBorder="1" applyAlignment="1">
      <alignment horizontal="center" vertical="center"/>
    </xf>
    <xf numFmtId="0" fontId="3" fillId="0" borderId="67" xfId="3" applyBorder="1" applyAlignment="1">
      <alignment vertical="center"/>
    </xf>
    <xf numFmtId="9" fontId="12" fillId="0" borderId="67" xfId="3" applyNumberFormat="1" applyFont="1" applyBorder="1" applyAlignment="1">
      <alignment horizontal="center" vertical="center"/>
    </xf>
    <xf numFmtId="3" fontId="3" fillId="8" borderId="28" xfId="3" applyNumberFormat="1" applyFill="1" applyBorder="1" applyAlignment="1">
      <alignment horizontal="center" vertical="center"/>
    </xf>
    <xf numFmtId="165" fontId="3" fillId="0" borderId="28" xfId="3" applyNumberFormat="1" applyBorder="1" applyAlignment="1">
      <alignment horizontal="center" vertical="center"/>
    </xf>
    <xf numFmtId="3" fontId="3" fillId="0" borderId="67" xfId="3" applyNumberFormat="1" applyBorder="1" applyAlignment="1">
      <alignment horizontal="center" vertical="center"/>
    </xf>
    <xf numFmtId="0" fontId="3" fillId="0" borderId="67" xfId="3" applyBorder="1" applyAlignment="1">
      <alignment horizontal="center" vertical="center"/>
    </xf>
    <xf numFmtId="0" fontId="3" fillId="0" borderId="0" xfId="3" applyBorder="1" applyAlignment="1">
      <alignment horizontal="center" vertical="center"/>
    </xf>
    <xf numFmtId="165" fontId="3" fillId="0" borderId="0" xfId="3" applyNumberFormat="1" applyBorder="1" applyAlignment="1">
      <alignment horizontal="center" vertical="center"/>
    </xf>
    <xf numFmtId="0" fontId="3" fillId="0" borderId="0" xfId="3" applyFill="1" applyBorder="1" applyAlignment="1">
      <alignment vertical="center"/>
    </xf>
    <xf numFmtId="3" fontId="6" fillId="2" borderId="28" xfId="0" applyNumberFormat="1" applyFont="1" applyFill="1" applyBorder="1" applyAlignment="1">
      <alignment horizontal="center"/>
    </xf>
    <xf numFmtId="0" fontId="3" fillId="0" borderId="0" xfId="3" applyFill="1" applyBorder="1" applyAlignment="1">
      <alignment horizontal="center" vertical="center"/>
    </xf>
    <xf numFmtId="165" fontId="3" fillId="0" borderId="0" xfId="3" applyNumberFormat="1" applyFill="1" applyBorder="1" applyAlignment="1">
      <alignment horizontal="center" vertical="center"/>
    </xf>
    <xf numFmtId="0" fontId="3" fillId="0" borderId="69" xfId="3" applyBorder="1" applyAlignment="1">
      <alignment vertical="center"/>
    </xf>
    <xf numFmtId="0" fontId="3" fillId="0" borderId="70" xfId="3" applyBorder="1" applyAlignment="1">
      <alignment vertical="center"/>
    </xf>
    <xf numFmtId="0" fontId="3" fillId="0" borderId="71" xfId="3" applyBorder="1" applyAlignment="1">
      <alignment vertical="center"/>
    </xf>
    <xf numFmtId="0" fontId="11" fillId="0" borderId="0" xfId="3" applyFont="1" applyAlignment="1">
      <alignment vertical="center"/>
    </xf>
    <xf numFmtId="3" fontId="9" fillId="9" borderId="38" xfId="0" applyFont="1" applyFill="1" applyBorder="1" applyAlignment="1">
      <alignment horizontal="center"/>
    </xf>
    <xf numFmtId="3" fontId="9" fillId="9" borderId="37" xfId="0" applyFont="1" applyFill="1" applyBorder="1" applyAlignment="1">
      <alignment horizontal="center"/>
    </xf>
    <xf numFmtId="2" fontId="1" fillId="0" borderId="0" xfId="0" applyNumberFormat="1" applyFont="1" applyAlignment="1">
      <alignment horizontal="center"/>
    </xf>
    <xf numFmtId="166" fontId="5" fillId="0" borderId="0" xfId="0" applyNumberFormat="1" applyFont="1" applyBorder="1" applyAlignment="1">
      <alignment horizontal="center"/>
    </xf>
    <xf numFmtId="166" fontId="5" fillId="0" borderId="0" xfId="0" applyNumberFormat="1" applyFont="1" applyAlignment="1">
      <alignment horizontal="center"/>
    </xf>
    <xf numFmtId="3" fontId="22" fillId="0" borderId="0" xfId="2" applyNumberFormat="1" applyFont="1" applyFill="1" applyBorder="1" applyAlignment="1">
      <alignment horizontal="center"/>
    </xf>
    <xf numFmtId="3" fontId="22" fillId="0" borderId="0" xfId="0" applyFont="1" applyFill="1" applyBorder="1" applyAlignment="1">
      <alignment horizontal="center"/>
    </xf>
    <xf numFmtId="3" fontId="22" fillId="0" borderId="48" xfId="0" applyFont="1" applyBorder="1" applyAlignment="1">
      <alignment horizontal="center"/>
    </xf>
    <xf numFmtId="0" fontId="23" fillId="0" borderId="48" xfId="0" applyNumberFormat="1" applyFont="1" applyFill="1" applyBorder="1" applyAlignment="1">
      <alignment horizontal="center"/>
    </xf>
    <xf numFmtId="0" fontId="22" fillId="0" borderId="48" xfId="0" applyNumberFormat="1" applyFont="1" applyFill="1" applyBorder="1" applyAlignment="1">
      <alignment horizontal="center"/>
    </xf>
    <xf numFmtId="0" fontId="22" fillId="4" borderId="48" xfId="0" applyNumberFormat="1" applyFont="1" applyFill="1" applyBorder="1" applyAlignment="1">
      <alignment horizontal="center"/>
    </xf>
    <xf numFmtId="0" fontId="22" fillId="5" borderId="48" xfId="0" applyNumberFormat="1" applyFont="1" applyFill="1" applyBorder="1" applyAlignment="1">
      <alignment horizontal="center"/>
    </xf>
    <xf numFmtId="0" fontId="22" fillId="3" borderId="48" xfId="0" applyNumberFormat="1" applyFont="1" applyFill="1" applyBorder="1" applyAlignment="1">
      <alignment horizontal="center"/>
    </xf>
    <xf numFmtId="3" fontId="22" fillId="0" borderId="47" xfId="0" applyFont="1" applyBorder="1" applyAlignment="1">
      <alignment horizontal="center"/>
    </xf>
    <xf numFmtId="3" fontId="24" fillId="0" borderId="0" xfId="0" applyFont="1" applyAlignment="1">
      <alignment horizontal="center"/>
    </xf>
    <xf numFmtId="0" fontId="25" fillId="7" borderId="0" xfId="3" applyFont="1" applyFill="1" applyAlignment="1">
      <alignment horizontal="center" vertical="center"/>
    </xf>
    <xf numFmtId="2" fontId="10" fillId="7" borderId="0" xfId="3" applyNumberFormat="1" applyFont="1" applyFill="1" applyAlignment="1">
      <alignment horizontal="center" vertical="center"/>
    </xf>
    <xf numFmtId="0" fontId="25" fillId="0" borderId="0" xfId="3" applyFont="1" applyAlignment="1">
      <alignment horizontal="center" vertical="center"/>
    </xf>
    <xf numFmtId="0" fontId="2" fillId="0" borderId="0" xfId="3" applyFont="1" applyAlignment="1">
      <alignment horizontal="center" vertical="center"/>
    </xf>
    <xf numFmtId="3" fontId="2" fillId="0" borderId="0" xfId="3" applyNumberFormat="1" applyFont="1" applyAlignment="1">
      <alignment horizontal="center" vertical="center"/>
    </xf>
    <xf numFmtId="3" fontId="26" fillId="0" borderId="0" xfId="3" applyNumberFormat="1" applyFont="1" applyAlignment="1">
      <alignment horizontal="center" vertical="center"/>
    </xf>
    <xf numFmtId="0" fontId="10" fillId="0" borderId="0" xfId="3" applyFont="1" applyAlignment="1">
      <alignment horizontal="center" vertical="center"/>
    </xf>
    <xf numFmtId="0" fontId="9" fillId="2" borderId="28" xfId="0" applyNumberFormat="1" applyFont="1" applyFill="1" applyBorder="1" applyAlignment="1">
      <alignment horizontal="center"/>
    </xf>
    <xf numFmtId="2" fontId="5" fillId="0" borderId="0" xfId="2" applyNumberFormat="1" applyFont="1" applyFill="1" applyBorder="1" applyAlignment="1">
      <alignment horizontal="center"/>
    </xf>
    <xf numFmtId="2" fontId="5" fillId="0" borderId="0" xfId="0" applyNumberFormat="1" applyFont="1" applyFill="1" applyBorder="1" applyAlignment="1">
      <alignment horizontal="left"/>
    </xf>
    <xf numFmtId="2" fontId="5" fillId="0" borderId="28" xfId="4" applyNumberFormat="1" applyFont="1" applyFill="1" applyBorder="1" applyAlignment="1">
      <alignment horizontal="center" vertical="center"/>
    </xf>
    <xf numFmtId="2" fontId="21" fillId="0" borderId="43" xfId="0" applyNumberFormat="1" applyFont="1" applyBorder="1" applyAlignment="1"/>
    <xf numFmtId="2" fontId="21" fillId="0" borderId="41" xfId="0" applyNumberFormat="1" applyFont="1" applyBorder="1" applyAlignment="1"/>
    <xf numFmtId="2" fontId="25" fillId="0" borderId="0" xfId="0" applyNumberFormat="1" applyFont="1" applyAlignment="1"/>
    <xf numFmtId="2" fontId="25" fillId="7" borderId="0" xfId="3" applyNumberFormat="1" applyFont="1" applyFill="1" applyAlignment="1">
      <alignment horizontal="center" vertical="center"/>
    </xf>
    <xf numFmtId="2" fontId="4" fillId="0" borderId="0" xfId="0" applyNumberFormat="1" applyFont="1" applyFill="1" applyBorder="1" applyAlignment="1">
      <alignment horizontal="center"/>
    </xf>
    <xf numFmtId="2" fontId="6" fillId="0" borderId="43" xfId="0" applyNumberFormat="1" applyFont="1" applyBorder="1" applyAlignment="1">
      <alignment horizontal="center"/>
    </xf>
    <xf numFmtId="2" fontId="6" fillId="0" borderId="41" xfId="0" applyNumberFormat="1" applyFont="1" applyBorder="1" applyAlignment="1">
      <alignment horizontal="center"/>
    </xf>
    <xf numFmtId="4" fontId="1" fillId="0" borderId="0" xfId="0" applyNumberFormat="1" applyFont="1" applyAlignment="1">
      <alignment horizontal="center"/>
    </xf>
    <xf numFmtId="3" fontId="6" fillId="13" borderId="38" xfId="0" applyFont="1" applyFill="1" applyBorder="1" applyAlignment="1"/>
    <xf numFmtId="3" fontId="6" fillId="13" borderId="43" xfId="0" applyFont="1" applyFill="1" applyBorder="1" applyAlignment="1"/>
    <xf numFmtId="3" fontId="6" fillId="13" borderId="44" xfId="0" applyFont="1" applyFill="1" applyBorder="1" applyAlignment="1"/>
    <xf numFmtId="3" fontId="22" fillId="13" borderId="48" xfId="0" applyFont="1" applyFill="1" applyBorder="1" applyAlignment="1">
      <alignment horizontal="center"/>
    </xf>
    <xf numFmtId="2" fontId="21" fillId="13" borderId="43" xfId="0" applyNumberFormat="1" applyFont="1" applyFill="1" applyBorder="1" applyAlignment="1"/>
    <xf numFmtId="2" fontId="6" fillId="13" borderId="43" xfId="0" applyNumberFormat="1" applyFont="1" applyFill="1" applyBorder="1" applyAlignment="1">
      <alignment horizontal="center"/>
    </xf>
    <xf numFmtId="0" fontId="8" fillId="13" borderId="38" xfId="0" applyNumberFormat="1" applyFont="1" applyFill="1" applyBorder="1"/>
    <xf numFmtId="0" fontId="8" fillId="13" borderId="43" xfId="0" applyNumberFormat="1" applyFont="1" applyFill="1" applyBorder="1"/>
    <xf numFmtId="0" fontId="8" fillId="13" borderId="44" xfId="0" applyNumberFormat="1" applyFont="1" applyFill="1" applyBorder="1"/>
    <xf numFmtId="0" fontId="23" fillId="13" borderId="48" xfId="0" applyNumberFormat="1" applyFont="1" applyFill="1" applyBorder="1" applyAlignment="1">
      <alignment horizontal="center"/>
    </xf>
    <xf numFmtId="2" fontId="27" fillId="13" borderId="43" xfId="0" applyNumberFormat="1" applyFont="1" applyFill="1" applyBorder="1"/>
    <xf numFmtId="2" fontId="8" fillId="13" borderId="43" xfId="0" applyNumberFormat="1" applyFont="1" applyFill="1" applyBorder="1" applyAlignment="1">
      <alignment horizontal="center"/>
    </xf>
    <xf numFmtId="3" fontId="6" fillId="13" borderId="43" xfId="0" applyFont="1" applyFill="1" applyBorder="1" applyAlignment="1">
      <alignment horizontal="center"/>
    </xf>
    <xf numFmtId="0" fontId="8" fillId="13" borderId="43" xfId="0" applyNumberFormat="1" applyFont="1" applyFill="1" applyBorder="1" applyAlignment="1">
      <alignment horizontal="center"/>
    </xf>
    <xf numFmtId="0" fontId="6" fillId="13" borderId="0" xfId="0" applyNumberFormat="1" applyFont="1" applyFill="1" applyBorder="1"/>
    <xf numFmtId="0" fontId="6" fillId="13" borderId="2" xfId="0" applyNumberFormat="1" applyFont="1" applyFill="1" applyBorder="1"/>
    <xf numFmtId="0" fontId="6" fillId="13" borderId="72" xfId="0" applyNumberFormat="1" applyFont="1" applyFill="1" applyBorder="1"/>
    <xf numFmtId="3" fontId="6" fillId="13" borderId="44" xfId="0" applyFont="1" applyFill="1" applyBorder="1" applyAlignment="1">
      <alignment horizontal="center"/>
    </xf>
    <xf numFmtId="3" fontId="9" fillId="13" borderId="48" xfId="0" applyFont="1" applyFill="1" applyBorder="1" applyAlignment="1">
      <alignment horizontal="center"/>
    </xf>
    <xf numFmtId="3" fontId="9" fillId="13" borderId="44" xfId="0" applyFont="1" applyFill="1" applyBorder="1" applyAlignment="1">
      <alignment horizontal="center"/>
    </xf>
    <xf numFmtId="3" fontId="9" fillId="13" borderId="38" xfId="0" applyFont="1" applyFill="1" applyBorder="1" applyAlignment="1">
      <alignment horizontal="center"/>
    </xf>
    <xf numFmtId="3" fontId="9" fillId="13" borderId="73" xfId="0" applyFont="1" applyFill="1" applyBorder="1" applyAlignment="1">
      <alignment horizontal="center"/>
    </xf>
    <xf numFmtId="3" fontId="9" fillId="13" borderId="50" xfId="0" applyFont="1" applyFill="1" applyBorder="1" applyAlignment="1">
      <alignment horizontal="center"/>
    </xf>
    <xf numFmtId="3" fontId="9" fillId="13" borderId="54" xfId="0" applyFont="1" applyFill="1" applyBorder="1" applyAlignment="1">
      <alignment horizontal="center"/>
    </xf>
    <xf numFmtId="3" fontId="9" fillId="13" borderId="51" xfId="0" applyFont="1" applyFill="1" applyBorder="1" applyAlignment="1">
      <alignment horizontal="center"/>
    </xf>
    <xf numFmtId="3" fontId="9" fillId="13" borderId="55" xfId="0" applyFont="1" applyFill="1" applyBorder="1" applyAlignment="1">
      <alignment horizontal="center"/>
    </xf>
    <xf numFmtId="3" fontId="6" fillId="13" borderId="53" xfId="0" applyFont="1" applyFill="1" applyBorder="1" applyAlignment="1">
      <alignment horizontal="center"/>
    </xf>
    <xf numFmtId="3" fontId="6" fillId="13" borderId="51" xfId="0" applyFont="1" applyFill="1" applyBorder="1" applyAlignment="1">
      <alignment horizontal="center"/>
    </xf>
    <xf numFmtId="0" fontId="6" fillId="13" borderId="54" xfId="0" applyNumberFormat="1" applyFont="1" applyFill="1" applyBorder="1"/>
    <xf numFmtId="0" fontId="6" fillId="13" borderId="53" xfId="0" applyNumberFormat="1" applyFont="1" applyFill="1" applyBorder="1"/>
    <xf numFmtId="0" fontId="6" fillId="13" borderId="51" xfId="0" applyNumberFormat="1" applyFont="1" applyFill="1" applyBorder="1"/>
    <xf numFmtId="0" fontId="22" fillId="13" borderId="55" xfId="0" applyNumberFormat="1" applyFont="1" applyFill="1" applyBorder="1" applyAlignment="1">
      <alignment horizontal="center"/>
    </xf>
    <xf numFmtId="2" fontId="21" fillId="13" borderId="53" xfId="0" applyNumberFormat="1" applyFont="1" applyFill="1" applyBorder="1"/>
    <xf numFmtId="2" fontId="6" fillId="13" borderId="53" xfId="0" applyNumberFormat="1" applyFont="1" applyFill="1" applyBorder="1" applyAlignment="1">
      <alignment horizontal="center"/>
    </xf>
    <xf numFmtId="3" fontId="1" fillId="0" borderId="52" xfId="0" applyFont="1" applyBorder="1" applyAlignment="1"/>
    <xf numFmtId="3" fontId="1" fillId="0" borderId="53" xfId="0" applyFont="1" applyBorder="1" applyAlignment="1"/>
    <xf numFmtId="0" fontId="6" fillId="13" borderId="53" xfId="0" applyNumberFormat="1" applyFont="1" applyFill="1" applyBorder="1" applyAlignment="1">
      <alignment horizontal="center"/>
    </xf>
    <xf numFmtId="0" fontId="8" fillId="0" borderId="43" xfId="0" applyNumberFormat="1" applyFont="1" applyFill="1" applyBorder="1" applyAlignment="1">
      <alignment horizontal="center"/>
    </xf>
    <xf numFmtId="0" fontId="6" fillId="0" borderId="43" xfId="0" applyNumberFormat="1" applyFont="1" applyFill="1" applyBorder="1" applyAlignment="1">
      <alignment horizontal="center"/>
    </xf>
    <xf numFmtId="3" fontId="6" fillId="0" borderId="43" xfId="0" applyFont="1" applyFill="1" applyBorder="1" applyAlignment="1">
      <alignment horizontal="center"/>
    </xf>
    <xf numFmtId="3" fontId="6" fillId="0" borderId="44" xfId="0" applyFont="1" applyFill="1" applyBorder="1" applyAlignment="1">
      <alignment horizontal="center"/>
    </xf>
    <xf numFmtId="3" fontId="9" fillId="0" borderId="48" xfId="0" applyFont="1" applyFill="1" applyBorder="1" applyAlignment="1">
      <alignment horizontal="center"/>
    </xf>
    <xf numFmtId="3" fontId="9" fillId="0" borderId="44" xfId="0" applyFont="1" applyFill="1" applyBorder="1" applyAlignment="1">
      <alignment horizontal="center"/>
    </xf>
    <xf numFmtId="3" fontId="9" fillId="0" borderId="38" xfId="0" applyFont="1" applyFill="1" applyBorder="1" applyAlignment="1">
      <alignment horizontal="center"/>
    </xf>
    <xf numFmtId="167" fontId="9" fillId="14" borderId="49" xfId="0" applyNumberFormat="1" applyFont="1" applyFill="1" applyBorder="1" applyAlignment="1">
      <alignment horizontal="center"/>
    </xf>
    <xf numFmtId="167" fontId="4" fillId="0" borderId="0" xfId="0" applyNumberFormat="1" applyFont="1" applyFill="1" applyBorder="1" applyAlignment="1">
      <alignment horizontal="center"/>
    </xf>
    <xf numFmtId="167" fontId="5" fillId="0" borderId="0" xfId="2" applyNumberFormat="1" applyFont="1" applyFill="1" applyBorder="1" applyAlignment="1">
      <alignment horizontal="center"/>
    </xf>
    <xf numFmtId="167" fontId="6" fillId="13" borderId="49" xfId="0" applyNumberFormat="1" applyFont="1" applyFill="1" applyBorder="1" applyAlignment="1">
      <alignment horizontal="center"/>
    </xf>
    <xf numFmtId="167" fontId="8" fillId="13" borderId="49" xfId="0" applyNumberFormat="1" applyFont="1" applyFill="1" applyBorder="1" applyAlignment="1">
      <alignment horizontal="center"/>
    </xf>
    <xf numFmtId="167" fontId="8" fillId="14" borderId="49" xfId="0" applyNumberFormat="1" applyFont="1" applyFill="1" applyBorder="1" applyAlignment="1">
      <alignment horizontal="center"/>
    </xf>
    <xf numFmtId="167" fontId="6" fillId="14" borderId="49" xfId="0" applyNumberFormat="1" applyFont="1" applyFill="1" applyBorder="1" applyAlignment="1">
      <alignment horizontal="center"/>
    </xf>
    <xf numFmtId="167" fontId="6" fillId="0" borderId="49" xfId="0" applyNumberFormat="1" applyFont="1" applyBorder="1" applyAlignment="1">
      <alignment horizontal="center"/>
    </xf>
    <xf numFmtId="167" fontId="6" fillId="0" borderId="35" xfId="0" applyNumberFormat="1" applyFont="1" applyBorder="1" applyAlignment="1">
      <alignment horizontal="center"/>
    </xf>
    <xf numFmtId="167" fontId="1" fillId="0" borderId="0" xfId="0" applyNumberFormat="1" applyFont="1" applyAlignment="1">
      <alignment horizontal="center"/>
    </xf>
    <xf numFmtId="167" fontId="25" fillId="0" borderId="0" xfId="3" applyNumberFormat="1" applyFont="1" applyAlignment="1">
      <alignment horizontal="center" vertical="center"/>
    </xf>
    <xf numFmtId="167" fontId="4" fillId="0" borderId="0" xfId="0" applyNumberFormat="1" applyFont="1" applyFill="1" applyBorder="1" applyAlignment="1">
      <alignment horizontal="left"/>
    </xf>
    <xf numFmtId="167" fontId="9" fillId="0" borderId="48" xfId="4" applyNumberFormat="1" applyFont="1" applyFill="1" applyBorder="1" applyAlignment="1">
      <alignment horizontal="center" vertical="center" wrapText="1"/>
    </xf>
    <xf numFmtId="167" fontId="9" fillId="0" borderId="0" xfId="4" applyNumberFormat="1" applyFont="1" applyFill="1" applyBorder="1" applyAlignment="1">
      <alignment horizontal="center" vertical="center" wrapText="1"/>
    </xf>
    <xf numFmtId="167" fontId="6" fillId="13" borderId="0" xfId="0" applyNumberFormat="1" applyFont="1" applyFill="1" applyBorder="1" applyAlignment="1"/>
    <xf numFmtId="167" fontId="8" fillId="13" borderId="0" xfId="0" applyNumberFormat="1" applyFont="1" applyFill="1" applyBorder="1"/>
    <xf numFmtId="167" fontId="6" fillId="13" borderId="0" xfId="0" applyNumberFormat="1" applyFont="1" applyFill="1" applyBorder="1"/>
    <xf numFmtId="167" fontId="6" fillId="0" borderId="0" xfId="0" applyNumberFormat="1" applyFont="1" applyBorder="1" applyAlignment="1"/>
    <xf numFmtId="167" fontId="6" fillId="0" borderId="1" xfId="0" applyNumberFormat="1" applyFont="1" applyBorder="1" applyAlignment="1"/>
    <xf numFmtId="167" fontId="1" fillId="0" borderId="0" xfId="0" applyNumberFormat="1" applyFont="1" applyAlignment="1"/>
    <xf numFmtId="167" fontId="6" fillId="17" borderId="48" xfId="0" applyNumberFormat="1" applyFont="1" applyFill="1" applyBorder="1"/>
    <xf numFmtId="167" fontId="9" fillId="17" borderId="48" xfId="0" applyNumberFormat="1" applyFont="1" applyFill="1" applyBorder="1" applyAlignment="1">
      <alignment horizontal="center"/>
    </xf>
    <xf numFmtId="167" fontId="6" fillId="17" borderId="55" xfId="0" applyNumberFormat="1" applyFont="1" applyFill="1" applyBorder="1" applyAlignment="1"/>
    <xf numFmtId="167" fontId="6" fillId="16" borderId="80" xfId="0" applyNumberFormat="1" applyFont="1" applyFill="1" applyBorder="1"/>
    <xf numFmtId="167" fontId="9" fillId="16" borderId="80" xfId="0" applyNumberFormat="1" applyFont="1" applyFill="1" applyBorder="1" applyAlignment="1">
      <alignment horizontal="center"/>
    </xf>
    <xf numFmtId="167" fontId="6" fillId="16" borderId="75" xfId="0" applyNumberFormat="1" applyFont="1" applyFill="1" applyBorder="1" applyAlignment="1"/>
    <xf numFmtId="167" fontId="8" fillId="0" borderId="0" xfId="0" applyNumberFormat="1" applyFont="1" applyFill="1" applyBorder="1"/>
    <xf numFmtId="167" fontId="6" fillId="16" borderId="62" xfId="0" applyNumberFormat="1" applyFont="1" applyFill="1" applyBorder="1"/>
    <xf numFmtId="167" fontId="9" fillId="16" borderId="62" xfId="0" applyNumberFormat="1" applyFont="1" applyFill="1" applyBorder="1" applyAlignment="1">
      <alignment horizontal="center"/>
    </xf>
    <xf numFmtId="167" fontId="6" fillId="16" borderId="79" xfId="0" applyNumberFormat="1" applyFont="1" applyFill="1" applyBorder="1" applyAlignment="1"/>
    <xf numFmtId="167" fontId="6" fillId="13" borderId="80" xfId="0" applyNumberFormat="1" applyFont="1" applyFill="1" applyBorder="1" applyAlignment="1"/>
    <xf numFmtId="167" fontId="8" fillId="13" borderId="80" xfId="0" applyNumberFormat="1" applyFont="1" applyFill="1" applyBorder="1"/>
    <xf numFmtId="167" fontId="6" fillId="13" borderId="80" xfId="0" applyNumberFormat="1" applyFont="1" applyFill="1" applyBorder="1"/>
    <xf numFmtId="167" fontId="8" fillId="0" borderId="80" xfId="0" applyNumberFormat="1" applyFont="1" applyFill="1" applyBorder="1"/>
    <xf numFmtId="167" fontId="6" fillId="17" borderId="80" xfId="0" applyNumberFormat="1" applyFont="1" applyFill="1" applyBorder="1"/>
    <xf numFmtId="167" fontId="9" fillId="17" borderId="80" xfId="0" applyNumberFormat="1" applyFont="1" applyFill="1" applyBorder="1" applyAlignment="1">
      <alignment horizontal="center"/>
    </xf>
    <xf numFmtId="167" fontId="6" fillId="17" borderId="75" xfId="0" applyNumberFormat="1" applyFont="1" applyFill="1" applyBorder="1" applyAlignment="1"/>
    <xf numFmtId="167" fontId="6" fillId="0" borderId="80" xfId="0" applyNumberFormat="1" applyFont="1" applyBorder="1" applyAlignment="1"/>
    <xf numFmtId="167" fontId="6" fillId="0" borderId="74" xfId="0" applyNumberFormat="1" applyFont="1" applyBorder="1" applyAlignment="1"/>
    <xf numFmtId="167" fontId="5" fillId="0" borderId="0" xfId="2" applyNumberFormat="1" applyFont="1" applyFill="1" applyBorder="1" applyAlignment="1">
      <alignment horizontal="left"/>
    </xf>
    <xf numFmtId="167" fontId="6" fillId="17" borderId="48" xfId="0" applyNumberFormat="1" applyFont="1" applyFill="1" applyBorder="1" applyAlignment="1">
      <alignment horizontal="left"/>
    </xf>
    <xf numFmtId="167" fontId="6" fillId="17" borderId="80" xfId="0" applyNumberFormat="1" applyFont="1" applyFill="1" applyBorder="1" applyAlignment="1">
      <alignment horizontal="left"/>
    </xf>
    <xf numFmtId="0" fontId="3" fillId="0" borderId="0" xfId="3"/>
    <xf numFmtId="0" fontId="3" fillId="0" borderId="0" xfId="3" applyAlignment="1">
      <alignment horizontal="left"/>
    </xf>
    <xf numFmtId="0" fontId="3" fillId="0" borderId="0" xfId="3" applyAlignment="1">
      <alignment horizontal="centerContinuous"/>
    </xf>
    <xf numFmtId="0" fontId="3" fillId="18" borderId="59" xfId="3" applyFill="1" applyBorder="1"/>
    <xf numFmtId="0" fontId="3" fillId="18" borderId="60" xfId="3" applyFill="1" applyBorder="1"/>
    <xf numFmtId="0" fontId="3" fillId="18" borderId="60" xfId="3" applyFill="1" applyBorder="1" applyAlignment="1">
      <alignment horizontal="center"/>
    </xf>
    <xf numFmtId="0" fontId="3" fillId="18" borderId="68" xfId="3" applyFill="1" applyBorder="1" applyAlignment="1">
      <alignment horizontal="center"/>
    </xf>
    <xf numFmtId="0" fontId="3" fillId="18" borderId="61" xfId="3" applyFill="1" applyBorder="1" applyAlignment="1">
      <alignment horizontal="center"/>
    </xf>
    <xf numFmtId="0" fontId="3" fillId="18" borderId="32" xfId="3" applyFill="1" applyBorder="1"/>
    <xf numFmtId="0" fontId="3" fillId="0" borderId="59" xfId="3" applyFill="1" applyBorder="1" applyAlignment="1">
      <alignment horizontal="left"/>
    </xf>
    <xf numFmtId="0" fontId="3" fillId="19" borderId="60" xfId="3" applyFill="1" applyBorder="1" applyAlignment="1">
      <alignment horizontal="center"/>
    </xf>
    <xf numFmtId="0" fontId="3" fillId="19" borderId="60" xfId="3" applyFill="1" applyBorder="1"/>
    <xf numFmtId="0" fontId="3" fillId="19" borderId="61" xfId="3" applyFill="1" applyBorder="1"/>
    <xf numFmtId="0" fontId="3" fillId="18" borderId="32" xfId="3" applyFill="1" applyBorder="1" applyAlignment="1">
      <alignment horizontal="left"/>
    </xf>
    <xf numFmtId="0" fontId="3" fillId="19" borderId="32" xfId="3" applyFill="1" applyBorder="1"/>
    <xf numFmtId="0" fontId="3" fillId="0" borderId="59" xfId="3" applyBorder="1" applyAlignment="1">
      <alignment horizontal="center"/>
    </xf>
    <xf numFmtId="0" fontId="3" fillId="0" borderId="60" xfId="3" applyBorder="1" applyAlignment="1">
      <alignment horizontal="center"/>
    </xf>
    <xf numFmtId="8" fontId="3" fillId="19" borderId="60" xfId="3" applyNumberFormat="1" applyFill="1" applyBorder="1" applyAlignment="1">
      <alignment horizontal="center"/>
    </xf>
    <xf numFmtId="8" fontId="3" fillId="19" borderId="61" xfId="3" applyNumberFormat="1" applyFill="1" applyBorder="1" applyAlignment="1">
      <alignment horizontal="center"/>
    </xf>
    <xf numFmtId="8" fontId="3" fillId="0" borderId="32" xfId="3" applyNumberFormat="1" applyFill="1" applyBorder="1" applyAlignment="1">
      <alignment horizontal="center"/>
    </xf>
    <xf numFmtId="0" fontId="3" fillId="0" borderId="0" xfId="3" applyBorder="1" applyAlignment="1">
      <alignment horizontal="center"/>
    </xf>
    <xf numFmtId="8" fontId="3" fillId="19" borderId="0" xfId="3" applyNumberFormat="1" applyFill="1" applyBorder="1" applyAlignment="1">
      <alignment horizontal="center"/>
    </xf>
    <xf numFmtId="8" fontId="3" fillId="19" borderId="62" xfId="3" applyNumberFormat="1" applyFill="1" applyBorder="1" applyAlignment="1">
      <alignment horizontal="center"/>
    </xf>
    <xf numFmtId="8" fontId="3" fillId="0" borderId="0" xfId="3" applyNumberFormat="1" applyFill="1" applyBorder="1" applyAlignment="1">
      <alignment horizontal="center"/>
    </xf>
    <xf numFmtId="0" fontId="3" fillId="19" borderId="32" xfId="3" applyFill="1" applyBorder="1" applyAlignment="1">
      <alignment horizontal="right"/>
    </xf>
    <xf numFmtId="0" fontId="3" fillId="0" borderId="62" xfId="3" applyBorder="1" applyAlignment="1">
      <alignment horizontal="center"/>
    </xf>
    <xf numFmtId="0" fontId="3" fillId="0" borderId="32" xfId="3" applyBorder="1" applyAlignment="1">
      <alignment horizontal="center"/>
    </xf>
    <xf numFmtId="0" fontId="3" fillId="18" borderId="81" xfId="3" applyFill="1" applyBorder="1"/>
    <xf numFmtId="0" fontId="3" fillId="0" borderId="81" xfId="3" applyFill="1" applyBorder="1"/>
    <xf numFmtId="0" fontId="3" fillId="0" borderId="68" xfId="3" applyFill="1" applyBorder="1" applyAlignment="1">
      <alignment horizontal="center"/>
    </xf>
    <xf numFmtId="0" fontId="3" fillId="0" borderId="68" xfId="3" applyFill="1" applyBorder="1"/>
    <xf numFmtId="0" fontId="3" fillId="0" borderId="45" xfId="3" applyFill="1" applyBorder="1" applyAlignment="1">
      <alignment horizontal="center"/>
    </xf>
    <xf numFmtId="0" fontId="3" fillId="0" borderId="0" xfId="3" applyFill="1"/>
    <xf numFmtId="0" fontId="3" fillId="20" borderId="68" xfId="3" applyFill="1" applyBorder="1" applyAlignment="1">
      <alignment horizontal="center"/>
    </xf>
    <xf numFmtId="0" fontId="3" fillId="20" borderId="68" xfId="3" applyFill="1" applyBorder="1"/>
    <xf numFmtId="0" fontId="3" fillId="20" borderId="45" xfId="3" applyFill="1" applyBorder="1" applyAlignment="1">
      <alignment horizontal="center"/>
    </xf>
    <xf numFmtId="0" fontId="3" fillId="20" borderId="32" xfId="3" applyFill="1" applyBorder="1" applyAlignment="1">
      <alignment horizontal="right"/>
    </xf>
    <xf numFmtId="8" fontId="3" fillId="0" borderId="60" xfId="3" applyNumberFormat="1" applyFill="1" applyBorder="1" applyAlignment="1">
      <alignment horizontal="center"/>
    </xf>
    <xf numFmtId="8" fontId="3" fillId="0" borderId="61" xfId="3" applyNumberFormat="1" applyFill="1" applyBorder="1" applyAlignment="1">
      <alignment horizontal="center"/>
    </xf>
    <xf numFmtId="8" fontId="3" fillId="0" borderId="62" xfId="3" applyNumberFormat="1" applyFill="1" applyBorder="1" applyAlignment="1">
      <alignment horizontal="center"/>
    </xf>
    <xf numFmtId="8" fontId="3" fillId="20" borderId="32" xfId="3" applyNumberFormat="1" applyFill="1" applyBorder="1" applyAlignment="1">
      <alignment horizontal="center"/>
    </xf>
    <xf numFmtId="8" fontId="3" fillId="20" borderId="0" xfId="3" applyNumberFormat="1" applyFill="1" applyBorder="1" applyAlignment="1">
      <alignment horizontal="center"/>
    </xf>
    <xf numFmtId="0" fontId="3" fillId="20" borderId="32" xfId="3" applyFill="1" applyBorder="1"/>
    <xf numFmtId="8" fontId="3" fillId="20" borderId="81" xfId="3" applyNumberFormat="1" applyFill="1" applyBorder="1" applyAlignment="1">
      <alignment horizontal="center"/>
    </xf>
    <xf numFmtId="0" fontId="3" fillId="0" borderId="68" xfId="3" applyBorder="1"/>
    <xf numFmtId="0" fontId="3" fillId="0" borderId="45" xfId="3" applyBorder="1"/>
    <xf numFmtId="0" fontId="31" fillId="0" borderId="0" xfId="3" applyFont="1"/>
    <xf numFmtId="0" fontId="32" fillId="0" borderId="0" xfId="3" applyFont="1"/>
    <xf numFmtId="168" fontId="3" fillId="0" borderId="0" xfId="3" applyNumberFormat="1" applyFont="1"/>
    <xf numFmtId="0" fontId="33" fillId="0" borderId="0" xfId="3" applyFont="1"/>
    <xf numFmtId="167" fontId="6" fillId="11" borderId="48" xfId="0" applyNumberFormat="1" applyFont="1" applyFill="1" applyBorder="1"/>
    <xf numFmtId="0" fontId="31" fillId="21" borderId="28" xfId="0" applyNumberFormat="1" applyFont="1" applyFill="1" applyBorder="1"/>
    <xf numFmtId="0" fontId="3" fillId="0" borderId="28" xfId="0" applyNumberFormat="1" applyFont="1" applyBorder="1"/>
    <xf numFmtId="0" fontId="33" fillId="0" borderId="28" xfId="0" applyNumberFormat="1" applyFont="1" applyBorder="1"/>
    <xf numFmtId="0" fontId="34" fillId="0" borderId="28" xfId="0" applyNumberFormat="1" applyFont="1" applyBorder="1" applyAlignment="1" applyProtection="1">
      <alignment horizontal="center"/>
      <protection locked="0"/>
    </xf>
    <xf numFmtId="0" fontId="28" fillId="15" borderId="0" xfId="6" applyNumberFormat="1" applyAlignment="1">
      <alignment horizontal="center" wrapText="1"/>
    </xf>
    <xf numFmtId="3" fontId="28" fillId="15" borderId="0" xfId="6" applyNumberFormat="1" applyAlignment="1"/>
    <xf numFmtId="167" fontId="0" fillId="0" borderId="59" xfId="0" applyNumberFormat="1" applyBorder="1" applyAlignment="1"/>
    <xf numFmtId="167" fontId="0" fillId="0" borderId="60" xfId="0" applyNumberFormat="1" applyBorder="1" applyAlignment="1"/>
    <xf numFmtId="167" fontId="0" fillId="0" borderId="61" xfId="0" applyNumberFormat="1" applyBorder="1" applyAlignment="1"/>
    <xf numFmtId="167" fontId="0" fillId="0" borderId="32" xfId="0" applyNumberFormat="1" applyBorder="1" applyAlignment="1"/>
    <xf numFmtId="167" fontId="0" fillId="0" borderId="0" xfId="0" applyNumberFormat="1" applyBorder="1" applyAlignment="1"/>
    <xf numFmtId="167" fontId="0" fillId="0" borderId="62" xfId="0" applyNumberFormat="1" applyBorder="1" applyAlignment="1"/>
    <xf numFmtId="167" fontId="0" fillId="0" borderId="81" xfId="0" applyNumberFormat="1" applyBorder="1" applyAlignment="1"/>
    <xf numFmtId="167" fontId="0" fillId="0" borderId="56" xfId="0" applyNumberFormat="1" applyBorder="1" applyAlignment="1"/>
    <xf numFmtId="167" fontId="0" fillId="0" borderId="79" xfId="0" applyNumberFormat="1" applyBorder="1" applyAlignment="1"/>
    <xf numFmtId="0" fontId="35" fillId="0" borderId="83" xfId="0" applyNumberFormat="1" applyFont="1" applyBorder="1" applyAlignment="1">
      <alignment horizontal="center"/>
    </xf>
    <xf numFmtId="0" fontId="35" fillId="22" borderId="27" xfId="0" applyNumberFormat="1" applyFont="1" applyFill="1" applyBorder="1"/>
    <xf numFmtId="0" fontId="35" fillId="0" borderId="49" xfId="0" applyNumberFormat="1" applyFont="1" applyBorder="1" applyAlignment="1">
      <alignment horizontal="center"/>
    </xf>
    <xf numFmtId="0" fontId="35" fillId="22" borderId="58" xfId="3" applyNumberFormat="1" applyFont="1" applyFill="1" applyBorder="1" applyAlignment="1">
      <alignment horizontal="center" vertical="center" wrapText="1"/>
    </xf>
    <xf numFmtId="0" fontId="31" fillId="0" borderId="0" xfId="3" applyFont="1" applyAlignment="1">
      <alignment horizontal="center"/>
    </xf>
    <xf numFmtId="0" fontId="3" fillId="18" borderId="60" xfId="3" applyFill="1" applyBorder="1" applyAlignment="1">
      <alignment horizontal="left"/>
    </xf>
    <xf numFmtId="0" fontId="3" fillId="18" borderId="81" xfId="3" applyFill="1" applyBorder="1" applyAlignment="1">
      <alignment horizontal="left"/>
    </xf>
    <xf numFmtId="0" fontId="3" fillId="20" borderId="81" xfId="3" applyFill="1" applyBorder="1"/>
    <xf numFmtId="0" fontId="3" fillId="0" borderId="79" xfId="3" applyBorder="1" applyAlignment="1">
      <alignment horizontal="center"/>
    </xf>
    <xf numFmtId="8" fontId="3" fillId="0" borderId="81" xfId="3" applyNumberFormat="1" applyFill="1" applyBorder="1" applyAlignment="1">
      <alignment horizontal="center"/>
    </xf>
    <xf numFmtId="0" fontId="3" fillId="0" borderId="0" xfId="3" applyFill="1" applyBorder="1" applyAlignment="1">
      <alignment horizontal="center"/>
    </xf>
    <xf numFmtId="8" fontId="3" fillId="0" borderId="56" xfId="3" applyNumberFormat="1" applyFill="1" applyBorder="1" applyAlignment="1">
      <alignment horizontal="center"/>
    </xf>
    <xf numFmtId="0" fontId="3" fillId="0" borderId="56" xfId="3" applyFill="1" applyBorder="1" applyAlignment="1">
      <alignment horizontal="center"/>
    </xf>
    <xf numFmtId="8" fontId="3" fillId="0" borderId="59" xfId="3" applyNumberFormat="1" applyFill="1" applyBorder="1" applyAlignment="1">
      <alignment horizontal="center"/>
    </xf>
    <xf numFmtId="8" fontId="3" fillId="19" borderId="52" xfId="3" applyNumberFormat="1" applyFill="1" applyBorder="1" applyAlignment="1">
      <alignment horizontal="center"/>
    </xf>
    <xf numFmtId="8" fontId="3" fillId="19" borderId="43" xfId="3" applyNumberFormat="1" applyFill="1" applyBorder="1" applyAlignment="1">
      <alignment horizontal="center"/>
    </xf>
    <xf numFmtId="0" fontId="3" fillId="0" borderId="43" xfId="3" applyBorder="1" applyAlignment="1">
      <alignment horizontal="center"/>
    </xf>
    <xf numFmtId="8" fontId="3" fillId="20" borderId="29" xfId="3" applyNumberFormat="1" applyFill="1" applyBorder="1" applyAlignment="1">
      <alignment horizontal="center"/>
    </xf>
    <xf numFmtId="8" fontId="3" fillId="20" borderId="68" xfId="3" applyNumberFormat="1" applyFill="1" applyBorder="1" applyAlignment="1">
      <alignment horizontal="center"/>
    </xf>
    <xf numFmtId="0" fontId="3" fillId="0" borderId="68" xfId="3" applyBorder="1" applyAlignment="1">
      <alignment horizontal="center"/>
    </xf>
    <xf numFmtId="8" fontId="3" fillId="0" borderId="68" xfId="3" applyNumberFormat="1" applyFill="1" applyBorder="1" applyAlignment="1">
      <alignment horizontal="center"/>
    </xf>
    <xf numFmtId="0" fontId="3" fillId="0" borderId="52" xfId="3" applyFill="1" applyBorder="1" applyAlignment="1">
      <alignment horizontal="center"/>
    </xf>
    <xf numFmtId="8" fontId="3" fillId="0" borderId="43" xfId="3" applyNumberFormat="1" applyFill="1" applyBorder="1" applyAlignment="1">
      <alignment horizontal="center"/>
    </xf>
    <xf numFmtId="0" fontId="3" fillId="0" borderId="43" xfId="3" applyFill="1" applyBorder="1" applyAlignment="1">
      <alignment horizontal="center"/>
    </xf>
    <xf numFmtId="0" fontId="3" fillId="0" borderId="53" xfId="3" applyFill="1" applyBorder="1" applyAlignment="1">
      <alignment horizontal="center"/>
    </xf>
    <xf numFmtId="0" fontId="3" fillId="18" borderId="28" xfId="3" applyFill="1" applyBorder="1" applyAlignment="1">
      <alignment horizontal="left"/>
    </xf>
    <xf numFmtId="167" fontId="6" fillId="13" borderId="0" xfId="0" applyNumberFormat="1" applyFont="1" applyFill="1" applyBorder="1" applyAlignment="1">
      <alignment horizontal="center"/>
    </xf>
    <xf numFmtId="167" fontId="8" fillId="13" borderId="0" xfId="0" applyNumberFormat="1" applyFont="1" applyFill="1" applyBorder="1" applyAlignment="1">
      <alignment horizontal="center"/>
    </xf>
    <xf numFmtId="167" fontId="8" fillId="14" borderId="0" xfId="0" applyNumberFormat="1" applyFont="1" applyFill="1" applyBorder="1" applyAlignment="1">
      <alignment horizontal="center"/>
    </xf>
    <xf numFmtId="167" fontId="8" fillId="14" borderId="38" xfId="0" applyNumberFormat="1" applyFont="1" applyFill="1" applyBorder="1" applyAlignment="1">
      <alignment horizontal="center"/>
    </xf>
    <xf numFmtId="167" fontId="6" fillId="14" borderId="38" xfId="0" applyNumberFormat="1" applyFont="1" applyFill="1" applyBorder="1" applyAlignment="1">
      <alignment horizontal="center"/>
    </xf>
    <xf numFmtId="167" fontId="9" fillId="14" borderId="38" xfId="0" applyNumberFormat="1" applyFont="1" applyFill="1" applyBorder="1" applyAlignment="1">
      <alignment horizontal="center"/>
    </xf>
    <xf numFmtId="167" fontId="6" fillId="0" borderId="0" xfId="0" applyNumberFormat="1" applyFont="1" applyBorder="1" applyAlignment="1">
      <alignment horizontal="center"/>
    </xf>
    <xf numFmtId="167" fontId="6" fillId="0" borderId="1" xfId="0" applyNumberFormat="1" applyFont="1" applyBorder="1" applyAlignment="1">
      <alignment horizontal="center"/>
    </xf>
    <xf numFmtId="3" fontId="36" fillId="0" borderId="0" xfId="2" applyNumberFormat="1" applyFont="1" applyFill="1" applyBorder="1" applyAlignment="1">
      <alignment horizontal="center"/>
    </xf>
    <xf numFmtId="1" fontId="36" fillId="0" borderId="0" xfId="2" applyNumberFormat="1" applyFont="1" applyFill="1" applyBorder="1" applyAlignment="1">
      <alignment horizontal="center"/>
    </xf>
    <xf numFmtId="3" fontId="36" fillId="0" borderId="1" xfId="2" applyNumberFormat="1" applyFont="1" applyFill="1" applyBorder="1" applyAlignment="1">
      <alignment horizontal="center"/>
    </xf>
    <xf numFmtId="3" fontId="36" fillId="0" borderId="0" xfId="5" applyFont="1" applyFill="1" applyBorder="1" applyAlignment="1">
      <alignment horizontal="center"/>
    </xf>
    <xf numFmtId="3" fontId="36" fillId="0" borderId="0" xfId="5" applyFont="1" applyBorder="1" applyAlignment="1">
      <alignment horizontal="center"/>
    </xf>
    <xf numFmtId="0" fontId="37" fillId="0" borderId="0" xfId="5" applyNumberFormat="1" applyFont="1" applyFill="1" applyAlignment="1">
      <alignment horizontal="center"/>
    </xf>
    <xf numFmtId="0" fontId="36" fillId="0" borderId="0" xfId="5" applyNumberFormat="1" applyFont="1" applyFill="1" applyAlignment="1">
      <alignment horizontal="center"/>
    </xf>
    <xf numFmtId="0" fontId="36" fillId="0" borderId="0" xfId="5" applyNumberFormat="1" applyFont="1" applyFill="1" applyBorder="1" applyAlignment="1">
      <alignment horizontal="center"/>
    </xf>
    <xf numFmtId="3" fontId="36" fillId="0" borderId="0" xfId="5" applyFont="1" applyAlignment="1">
      <alignment horizontal="center"/>
    </xf>
    <xf numFmtId="3" fontId="38" fillId="0" borderId="0" xfId="5" applyFont="1" applyAlignment="1">
      <alignment horizontal="center"/>
    </xf>
    <xf numFmtId="0" fontId="36" fillId="23" borderId="0" xfId="5" applyNumberFormat="1" applyFont="1" applyFill="1" applyAlignment="1">
      <alignment horizontal="center"/>
    </xf>
    <xf numFmtId="3" fontId="6" fillId="9" borderId="14" xfId="5" applyNumberFormat="1" applyFont="1" applyFill="1" applyBorder="1" applyAlignment="1">
      <alignment horizontal="center"/>
    </xf>
    <xf numFmtId="3" fontId="6" fillId="9" borderId="15" xfId="5" applyNumberFormat="1" applyFont="1" applyFill="1" applyBorder="1" applyAlignment="1">
      <alignment horizontal="center"/>
    </xf>
    <xf numFmtId="3" fontId="9" fillId="9" borderId="3" xfId="5" applyNumberFormat="1" applyFont="1" applyFill="1" applyBorder="1" applyAlignment="1">
      <alignment horizontal="center"/>
    </xf>
    <xf numFmtId="3" fontId="9" fillId="9" borderId="11" xfId="5" applyNumberFormat="1" applyFont="1" applyFill="1" applyBorder="1" applyAlignment="1">
      <alignment horizontal="center"/>
    </xf>
    <xf numFmtId="0" fontId="6" fillId="9" borderId="0" xfId="5" applyNumberFormat="1" applyFont="1" applyFill="1" applyBorder="1" applyProtection="1"/>
    <xf numFmtId="0" fontId="6" fillId="9" borderId="12" xfId="5" applyNumberFormat="1" applyFont="1" applyFill="1" applyBorder="1" applyProtection="1"/>
    <xf numFmtId="3" fontId="6" fillId="9" borderId="0" xfId="5" applyNumberFormat="1" applyFont="1" applyFill="1" applyBorder="1" applyAlignment="1">
      <alignment horizontal="center"/>
    </xf>
    <xf numFmtId="3" fontId="6" fillId="9" borderId="12" xfId="5" applyNumberFormat="1" applyFont="1" applyFill="1" applyBorder="1" applyAlignment="1">
      <alignment horizontal="center"/>
    </xf>
    <xf numFmtId="3" fontId="6" fillId="9" borderId="5" xfId="5" applyNumberFormat="1" applyFont="1" applyFill="1" applyBorder="1" applyAlignment="1">
      <alignment horizontal="center"/>
    </xf>
    <xf numFmtId="3" fontId="6" fillId="9" borderId="10" xfId="5" applyNumberFormat="1" applyFont="1" applyFill="1" applyBorder="1" applyAlignment="1">
      <alignment horizontal="center"/>
    </xf>
    <xf numFmtId="0" fontId="6" fillId="5" borderId="0" xfId="5" applyNumberFormat="1" applyFont="1" applyFill="1" applyBorder="1" applyProtection="1"/>
    <xf numFmtId="0" fontId="6" fillId="5" borderId="12" xfId="5" applyNumberFormat="1" applyFont="1" applyFill="1" applyBorder="1" applyProtection="1"/>
    <xf numFmtId="3" fontId="9" fillId="5" borderId="18" xfId="5" applyNumberFormat="1" applyFont="1" applyFill="1" applyBorder="1" applyAlignment="1">
      <alignment horizontal="center"/>
    </xf>
    <xf numFmtId="3" fontId="9" fillId="5" borderId="11" xfId="5" applyNumberFormat="1" applyFont="1" applyFill="1" applyBorder="1" applyAlignment="1">
      <alignment horizontal="center"/>
    </xf>
    <xf numFmtId="3" fontId="6" fillId="5" borderId="0" xfId="5" applyNumberFormat="1" applyFont="1" applyFill="1" applyBorder="1" applyAlignment="1">
      <alignment horizontal="center"/>
    </xf>
    <xf numFmtId="3" fontId="6" fillId="5" borderId="12" xfId="5" applyNumberFormat="1" applyFont="1" applyFill="1" applyBorder="1" applyAlignment="1">
      <alignment horizontal="center"/>
    </xf>
    <xf numFmtId="3" fontId="6" fillId="5" borderId="5" xfId="5" applyNumberFormat="1" applyFont="1" applyFill="1" applyBorder="1" applyAlignment="1">
      <alignment horizontal="center"/>
    </xf>
    <xf numFmtId="3" fontId="6" fillId="5" borderId="10" xfId="5" applyNumberFormat="1" applyFont="1" applyFill="1" applyBorder="1" applyAlignment="1">
      <alignment horizontal="center"/>
    </xf>
    <xf numFmtId="3" fontId="9" fillId="5" borderId="3" xfId="5" applyNumberFormat="1" applyFont="1" applyFill="1" applyBorder="1" applyAlignment="1">
      <alignment horizontal="center"/>
    </xf>
    <xf numFmtId="3" fontId="9" fillId="5" borderId="0" xfId="5" applyNumberFormat="1" applyFont="1" applyFill="1" applyBorder="1" applyAlignment="1">
      <alignment horizontal="center"/>
    </xf>
    <xf numFmtId="3" fontId="9" fillId="5" borderId="12" xfId="5" applyNumberFormat="1" applyFont="1" applyFill="1" applyBorder="1" applyAlignment="1">
      <alignment horizontal="center"/>
    </xf>
    <xf numFmtId="0" fontId="6" fillId="7" borderId="24" xfId="5" applyNumberFormat="1" applyFont="1" applyFill="1" applyBorder="1" applyProtection="1"/>
    <xf numFmtId="0" fontId="6" fillId="7" borderId="2" xfId="5" applyNumberFormat="1" applyFont="1" applyFill="1" applyBorder="1" applyProtection="1"/>
    <xf numFmtId="3" fontId="6" fillId="7" borderId="23" xfId="5" applyNumberFormat="1" applyFont="1" applyFill="1" applyBorder="1" applyAlignment="1">
      <alignment horizontal="center"/>
    </xf>
    <xf numFmtId="3" fontId="6" fillId="7" borderId="17" xfId="5" applyNumberFormat="1" applyFont="1" applyFill="1" applyBorder="1" applyAlignment="1">
      <alignment horizontal="center"/>
    </xf>
    <xf numFmtId="3" fontId="9" fillId="7" borderId="18" xfId="5" applyNumberFormat="1" applyFont="1" applyFill="1" applyBorder="1" applyAlignment="1">
      <alignment horizontal="center"/>
    </xf>
    <xf numFmtId="3" fontId="9" fillId="7" borderId="7" xfId="5" applyNumberFormat="1" applyFont="1" applyFill="1" applyBorder="1" applyAlignment="1">
      <alignment horizontal="center"/>
    </xf>
    <xf numFmtId="0" fontId="6" fillId="7" borderId="9" xfId="5" applyNumberFormat="1" applyFont="1" applyFill="1" applyBorder="1" applyProtection="1"/>
    <xf numFmtId="0" fontId="6" fillId="7" borderId="7" xfId="5" applyNumberFormat="1" applyFont="1" applyFill="1" applyBorder="1" applyProtection="1"/>
    <xf numFmtId="0" fontId="13" fillId="0" borderId="34" xfId="0" applyNumberFormat="1" applyFont="1" applyFill="1" applyBorder="1" applyAlignment="1">
      <alignment horizontal="center" vertical="center"/>
    </xf>
    <xf numFmtId="0" fontId="13" fillId="0" borderId="57" xfId="0" applyNumberFormat="1" applyFont="1" applyFill="1" applyBorder="1" applyAlignment="1">
      <alignment horizontal="center" vertical="center"/>
    </xf>
    <xf numFmtId="0" fontId="32" fillId="20" borderId="68" xfId="3" applyFont="1" applyFill="1" applyBorder="1" applyAlignment="1">
      <alignment horizontal="center"/>
    </xf>
    <xf numFmtId="0" fontId="32" fillId="20" borderId="68" xfId="3" applyFont="1" applyFill="1" applyBorder="1"/>
    <xf numFmtId="0" fontId="32" fillId="20" borderId="45" xfId="3" applyFont="1" applyFill="1" applyBorder="1" applyAlignment="1">
      <alignment horizontal="center"/>
    </xf>
    <xf numFmtId="2" fontId="3" fillId="0" borderId="59" xfId="3" applyNumberFormat="1" applyFill="1" applyBorder="1" applyAlignment="1">
      <alignment horizontal="center"/>
    </xf>
    <xf numFmtId="2" fontId="3" fillId="0" borderId="0" xfId="3" applyNumberFormat="1" applyFill="1" applyBorder="1" applyAlignment="1">
      <alignment horizontal="center"/>
    </xf>
    <xf numFmtId="2" fontId="3" fillId="0" borderId="32" xfId="3" applyNumberFormat="1" applyFill="1" applyBorder="1" applyAlignment="1">
      <alignment horizontal="center"/>
    </xf>
    <xf numFmtId="2" fontId="3" fillId="0" borderId="81" xfId="3" applyNumberFormat="1" applyFill="1" applyBorder="1" applyAlignment="1">
      <alignment horizontal="center"/>
    </xf>
    <xf numFmtId="2" fontId="3" fillId="0" borderId="56" xfId="3" applyNumberFormat="1" applyFill="1" applyBorder="1" applyAlignment="1">
      <alignment horizontal="center"/>
    </xf>
    <xf numFmtId="3" fontId="10" fillId="0" borderId="0" xfId="0" applyFont="1" applyAlignment="1">
      <alignment horizontal="right"/>
    </xf>
    <xf numFmtId="167" fontId="3" fillId="0" borderId="59" xfId="3" applyNumberFormat="1" applyFill="1" applyBorder="1" applyAlignment="1">
      <alignment horizontal="center"/>
    </xf>
    <xf numFmtId="167" fontId="3" fillId="0" borderId="0" xfId="3" applyNumberFormat="1" applyFill="1" applyBorder="1" applyAlignment="1">
      <alignment horizontal="center"/>
    </xf>
    <xf numFmtId="167" fontId="3" fillId="0" borderId="32" xfId="3" applyNumberFormat="1" applyFill="1" applyBorder="1" applyAlignment="1">
      <alignment horizontal="center"/>
    </xf>
    <xf numFmtId="167" fontId="3" fillId="0" borderId="81" xfId="3" applyNumberFormat="1" applyFill="1" applyBorder="1" applyAlignment="1">
      <alignment horizontal="center"/>
    </xf>
    <xf numFmtId="167" fontId="3" fillId="0" borderId="56" xfId="3" applyNumberFormat="1" applyFill="1" applyBorder="1" applyAlignment="1">
      <alignment horizontal="center"/>
    </xf>
    <xf numFmtId="2" fontId="1" fillId="0" borderId="0" xfId="0" applyNumberFormat="1" applyFont="1" applyAlignment="1"/>
    <xf numFmtId="0" fontId="6" fillId="11" borderId="43" xfId="0" applyNumberFormat="1" applyFont="1" applyFill="1" applyBorder="1" applyAlignment="1">
      <alignment horizontal="center"/>
    </xf>
    <xf numFmtId="3" fontId="6" fillId="11" borderId="43" xfId="0" applyFont="1" applyFill="1" applyBorder="1" applyAlignment="1">
      <alignment horizontal="center"/>
    </xf>
    <xf numFmtId="4" fontId="39" fillId="16" borderId="62" xfId="0" applyNumberFormat="1" applyFont="1" applyFill="1" applyBorder="1" applyAlignment="1">
      <alignment horizontal="center"/>
    </xf>
    <xf numFmtId="3" fontId="6" fillId="0" borderId="3" xfId="0" applyNumberFormat="1" applyFont="1" applyFill="1" applyBorder="1" applyAlignment="1">
      <alignment horizontal="center"/>
    </xf>
    <xf numFmtId="3" fontId="1" fillId="0" borderId="4" xfId="0" applyNumberFormat="1" applyFont="1" applyFill="1" applyBorder="1" applyAlignment="1">
      <alignment horizontal="center"/>
    </xf>
    <xf numFmtId="3" fontId="1" fillId="0" borderId="8" xfId="0" applyNumberFormat="1" applyFont="1" applyFill="1" applyBorder="1" applyAlignment="1"/>
    <xf numFmtId="3" fontId="6" fillId="0" borderId="3" xfId="0" applyNumberFormat="1" applyFont="1" applyFill="1" applyBorder="1" applyAlignment="1"/>
    <xf numFmtId="3" fontId="6" fillId="0" borderId="0" xfId="0" applyNumberFormat="1" applyFont="1" applyFill="1" applyBorder="1" applyAlignment="1">
      <alignment horizontal="center"/>
    </xf>
    <xf numFmtId="3" fontId="1" fillId="0" borderId="2" xfId="0" applyNumberFormat="1" applyFont="1" applyFill="1" applyBorder="1" applyAlignment="1">
      <alignment horizontal="center"/>
    </xf>
    <xf numFmtId="3" fontId="1" fillId="0" borderId="13" xfId="0" applyNumberFormat="1" applyFont="1" applyFill="1" applyBorder="1" applyAlignment="1"/>
    <xf numFmtId="3" fontId="6" fillId="0" borderId="0" xfId="0" applyNumberFormat="1" applyFont="1" applyFill="1" applyBorder="1" applyAlignment="1"/>
    <xf numFmtId="3" fontId="6" fillId="0" borderId="2" xfId="0" applyNumberFormat="1" applyFont="1" applyFill="1" applyBorder="1" applyAlignment="1">
      <alignment horizontal="center"/>
    </xf>
    <xf numFmtId="3" fontId="1" fillId="0" borderId="0" xfId="0" applyNumberFormat="1" applyFont="1" applyFill="1" applyBorder="1" applyAlignment="1"/>
    <xf numFmtId="0" fontId="6" fillId="0" borderId="0" xfId="0" applyNumberFormat="1" applyFont="1" applyFill="1" applyBorder="1" applyProtection="1"/>
    <xf numFmtId="0" fontId="1" fillId="0" borderId="2" xfId="0" applyNumberFormat="1" applyFont="1" applyFill="1" applyBorder="1" applyProtection="1"/>
    <xf numFmtId="0" fontId="6" fillId="0" borderId="13" xfId="0" applyNumberFormat="1" applyFont="1" applyFill="1" applyBorder="1" applyProtection="1"/>
    <xf numFmtId="0" fontId="6" fillId="0" borderId="2" xfId="0" applyNumberFormat="1" applyFont="1" applyFill="1" applyBorder="1" applyProtection="1"/>
    <xf numFmtId="0" fontId="1" fillId="0" borderId="0" xfId="0" applyNumberFormat="1" applyFont="1" applyFill="1" applyBorder="1" applyProtection="1"/>
    <xf numFmtId="3" fontId="9" fillId="5" borderId="24" xfId="0" applyNumberFormat="1" applyFont="1" applyFill="1" applyBorder="1" applyAlignment="1">
      <alignment horizontal="center"/>
    </xf>
    <xf numFmtId="3" fontId="9" fillId="5" borderId="22" xfId="0" applyNumberFormat="1" applyFont="1" applyFill="1" applyBorder="1" applyAlignment="1">
      <alignment horizontal="center"/>
    </xf>
    <xf numFmtId="167" fontId="6" fillId="17" borderId="78" xfId="0" applyNumberFormat="1" applyFont="1" applyFill="1" applyBorder="1"/>
    <xf numFmtId="167" fontId="6" fillId="17" borderId="82" xfId="0" applyNumberFormat="1" applyFont="1" applyFill="1" applyBorder="1"/>
    <xf numFmtId="167" fontId="6" fillId="16" borderId="61" xfId="0" applyNumberFormat="1" applyFont="1" applyFill="1" applyBorder="1"/>
    <xf numFmtId="167" fontId="6" fillId="16" borderId="82" xfId="0" applyNumberFormat="1" applyFont="1" applyFill="1" applyBorder="1"/>
    <xf numFmtId="169" fontId="6" fillId="16" borderId="80" xfId="0" applyNumberFormat="1" applyFont="1" applyFill="1" applyBorder="1"/>
    <xf numFmtId="0" fontId="6" fillId="4" borderId="80" xfId="0" applyNumberFormat="1" applyFont="1" applyFill="1" applyBorder="1"/>
    <xf numFmtId="0" fontId="9" fillId="4" borderId="80" xfId="0" applyNumberFormat="1" applyFont="1" applyFill="1" applyBorder="1" applyAlignment="1">
      <alignment horizontal="center"/>
    </xf>
    <xf numFmtId="167" fontId="9" fillId="4" borderId="80" xfId="0" applyNumberFormat="1" applyFont="1" applyFill="1" applyBorder="1" applyAlignment="1">
      <alignment horizontal="center"/>
    </xf>
    <xf numFmtId="0" fontId="6" fillId="5" borderId="80" xfId="0" applyNumberFormat="1" applyFont="1" applyFill="1" applyBorder="1"/>
    <xf numFmtId="0" fontId="6" fillId="5" borderId="80" xfId="0" applyNumberFormat="1" applyFont="1" applyFill="1" applyBorder="1" applyAlignment="1">
      <alignment horizontal="center"/>
    </xf>
    <xf numFmtId="167" fontId="9" fillId="5" borderId="80" xfId="0" applyNumberFormat="1" applyFont="1" applyFill="1" applyBorder="1" applyAlignment="1">
      <alignment horizontal="center"/>
    </xf>
    <xf numFmtId="0" fontId="6" fillId="3" borderId="80" xfId="0" applyNumberFormat="1" applyFont="1" applyFill="1" applyBorder="1"/>
    <xf numFmtId="0" fontId="9" fillId="3" borderId="80" xfId="0" applyNumberFormat="1" applyFont="1" applyFill="1" applyBorder="1" applyAlignment="1">
      <alignment horizontal="center"/>
    </xf>
    <xf numFmtId="167" fontId="9" fillId="3" borderId="80" xfId="0" applyNumberFormat="1" applyFont="1" applyFill="1" applyBorder="1" applyAlignment="1">
      <alignment horizontal="center"/>
    </xf>
    <xf numFmtId="3" fontId="6" fillId="3" borderId="80" xfId="0" applyFont="1" applyFill="1" applyBorder="1" applyAlignment="1"/>
    <xf numFmtId="0" fontId="7" fillId="11" borderId="38" xfId="0" applyNumberFormat="1" applyFont="1" applyFill="1" applyBorder="1" applyAlignment="1">
      <alignment horizontal="right"/>
    </xf>
    <xf numFmtId="3" fontId="6" fillId="13" borderId="32" xfId="0" applyFont="1" applyFill="1" applyBorder="1" applyAlignment="1"/>
    <xf numFmtId="3" fontId="6" fillId="13" borderId="50" xfId="0" applyFont="1" applyFill="1" applyBorder="1" applyAlignment="1"/>
    <xf numFmtId="0" fontId="8" fillId="13" borderId="32" xfId="0" applyNumberFormat="1" applyFont="1" applyFill="1" applyBorder="1"/>
    <xf numFmtId="0" fontId="6" fillId="13" borderId="81" xfId="0" applyNumberFormat="1" applyFont="1" applyFill="1" applyBorder="1"/>
    <xf numFmtId="3" fontId="6" fillId="0" borderId="32" xfId="0" applyFont="1" applyBorder="1" applyAlignment="1"/>
    <xf numFmtId="3" fontId="6" fillId="0" borderId="50" xfId="0" applyFont="1" applyBorder="1" applyAlignment="1"/>
    <xf numFmtId="3" fontId="6" fillId="0" borderId="86" xfId="0" applyFont="1" applyBorder="1" applyAlignment="1"/>
    <xf numFmtId="3" fontId="6" fillId="0" borderId="51" xfId="0" applyFont="1" applyBorder="1" applyAlignment="1"/>
    <xf numFmtId="1" fontId="4" fillId="0" borderId="0" xfId="0" applyNumberFormat="1" applyFont="1" applyFill="1" applyBorder="1" applyAlignment="1">
      <alignment horizontal="center"/>
    </xf>
    <xf numFmtId="1" fontId="5" fillId="0" borderId="28" xfId="4" applyNumberFormat="1" applyFont="1" applyFill="1" applyBorder="1" applyAlignment="1">
      <alignment horizontal="center" vertical="center"/>
    </xf>
    <xf numFmtId="1" fontId="6" fillId="13" borderId="43" xfId="0" applyNumberFormat="1" applyFont="1" applyFill="1" applyBorder="1" applyAlignment="1">
      <alignment horizontal="center"/>
    </xf>
    <xf numFmtId="1" fontId="8" fillId="13" borderId="43" xfId="0" applyNumberFormat="1" applyFont="1" applyFill="1" applyBorder="1" applyAlignment="1">
      <alignment horizontal="center"/>
    </xf>
    <xf numFmtId="1" fontId="6" fillId="13" borderId="53" xfId="0" applyNumberFormat="1" applyFont="1" applyFill="1" applyBorder="1" applyAlignment="1">
      <alignment horizontal="center"/>
    </xf>
    <xf numFmtId="1" fontId="6" fillId="12" borderId="28" xfId="0" applyNumberFormat="1" applyFont="1" applyFill="1" applyBorder="1" applyAlignment="1">
      <alignment horizontal="center"/>
    </xf>
    <xf numFmtId="2" fontId="6" fillId="12" borderId="28" xfId="0" applyNumberFormat="1" applyFont="1" applyFill="1" applyBorder="1" applyAlignment="1">
      <alignment horizontal="center"/>
    </xf>
    <xf numFmtId="1" fontId="6" fillId="0" borderId="43" xfId="0" applyNumberFormat="1" applyFont="1" applyBorder="1" applyAlignment="1">
      <alignment horizontal="center"/>
    </xf>
    <xf numFmtId="1" fontId="6" fillId="0" borderId="41" xfId="0" applyNumberFormat="1" applyFont="1" applyBorder="1" applyAlignment="1">
      <alignment horizontal="center"/>
    </xf>
    <xf numFmtId="1" fontId="1" fillId="0" borderId="0" xfId="0" applyNumberFormat="1" applyFont="1" applyAlignment="1">
      <alignment horizontal="center"/>
    </xf>
    <xf numFmtId="1" fontId="25" fillId="7" borderId="0" xfId="3" applyNumberFormat="1" applyFont="1" applyFill="1" applyAlignment="1">
      <alignment horizontal="center" vertical="center"/>
    </xf>
    <xf numFmtId="1" fontId="25" fillId="0" borderId="0" xfId="0" applyNumberFormat="1" applyFont="1" applyAlignment="1"/>
    <xf numFmtId="1" fontId="1" fillId="0" borderId="0" xfId="0" applyNumberFormat="1" applyFont="1" applyAlignment="1"/>
    <xf numFmtId="0" fontId="31" fillId="0" borderId="0" xfId="3" applyFont="1" applyBorder="1" applyAlignment="1">
      <alignment horizontal="center" vertical="center"/>
    </xf>
    <xf numFmtId="9" fontId="12" fillId="24" borderId="28" xfId="3" applyNumberFormat="1" applyFont="1" applyFill="1" applyBorder="1" applyAlignment="1">
      <alignment horizontal="center" vertical="center"/>
    </xf>
    <xf numFmtId="3" fontId="3" fillId="24" borderId="28" xfId="3" applyNumberFormat="1" applyFill="1" applyBorder="1" applyAlignment="1">
      <alignment horizontal="center" vertical="center"/>
    </xf>
    <xf numFmtId="0" fontId="0" fillId="0" borderId="0" xfId="0" applyNumberFormat="1"/>
    <xf numFmtId="0" fontId="0" fillId="0" borderId="0" xfId="0" applyNumberFormat="1" applyBorder="1"/>
    <xf numFmtId="0" fontId="40" fillId="0" borderId="90" xfId="0" applyNumberFormat="1" applyFont="1" applyBorder="1" applyAlignment="1">
      <alignment horizontal="center" wrapText="1"/>
    </xf>
    <xf numFmtId="0" fontId="41" fillId="0" borderId="71" xfId="0" applyNumberFormat="1" applyFont="1" applyBorder="1" applyAlignment="1">
      <alignment horizontal="center" wrapText="1"/>
    </xf>
    <xf numFmtId="0" fontId="40" fillId="0" borderId="71" xfId="0" applyNumberFormat="1" applyFont="1" applyBorder="1" applyAlignment="1">
      <alignment horizontal="center" wrapText="1"/>
    </xf>
    <xf numFmtId="0" fontId="40" fillId="0" borderId="91" xfId="0" applyNumberFormat="1" applyFont="1" applyBorder="1" applyAlignment="1">
      <alignment horizontal="center"/>
    </xf>
    <xf numFmtId="0" fontId="41" fillId="0" borderId="92" xfId="0" applyNumberFormat="1" applyFont="1" applyBorder="1" applyAlignment="1">
      <alignment horizontal="center" wrapText="1"/>
    </xf>
    <xf numFmtId="0" fontId="40" fillId="24" borderId="71" xfId="0" applyNumberFormat="1" applyFont="1" applyFill="1" applyBorder="1" applyAlignment="1">
      <alignment horizontal="center"/>
    </xf>
    <xf numFmtId="0" fontId="43" fillId="0" borderId="49" xfId="0" applyNumberFormat="1" applyFont="1" applyBorder="1" applyAlignment="1">
      <alignment horizontal="center"/>
    </xf>
    <xf numFmtId="3" fontId="44" fillId="0" borderId="67" xfId="0" applyNumberFormat="1" applyFont="1" applyBorder="1" applyAlignment="1">
      <alignment horizontal="center" wrapText="1"/>
    </xf>
    <xf numFmtId="3" fontId="44" fillId="0" borderId="67" xfId="0" applyNumberFormat="1" applyFont="1" applyBorder="1" applyAlignment="1">
      <alignment horizontal="center"/>
    </xf>
    <xf numFmtId="3" fontId="44" fillId="0" borderId="80" xfId="0" applyNumberFormat="1" applyFont="1" applyBorder="1" applyAlignment="1">
      <alignment horizontal="center"/>
    </xf>
    <xf numFmtId="3" fontId="44" fillId="0" borderId="93" xfId="0" applyNumberFormat="1" applyFont="1" applyBorder="1" applyAlignment="1">
      <alignment horizontal="center" wrapText="1"/>
    </xf>
    <xf numFmtId="3" fontId="44" fillId="24" borderId="67" xfId="0" applyNumberFormat="1" applyFont="1" applyFill="1" applyBorder="1" applyAlignment="1">
      <alignment horizontal="center"/>
    </xf>
    <xf numFmtId="0" fontId="43" fillId="0" borderId="94" xfId="0" applyNumberFormat="1" applyFont="1" applyBorder="1" applyAlignment="1">
      <alignment horizontal="center"/>
    </xf>
    <xf numFmtId="3" fontId="44" fillId="0" borderId="71" xfId="0" applyNumberFormat="1" applyFont="1" applyBorder="1" applyAlignment="1">
      <alignment horizontal="center" wrapText="1"/>
    </xf>
    <xf numFmtId="3" fontId="44" fillId="0" borderId="71" xfId="0" applyNumberFormat="1" applyFont="1" applyBorder="1" applyAlignment="1">
      <alignment horizontal="center"/>
    </xf>
    <xf numFmtId="3" fontId="44" fillId="0" borderId="91" xfId="0" applyNumberFormat="1" applyFont="1" applyBorder="1" applyAlignment="1">
      <alignment horizontal="center"/>
    </xf>
    <xf numFmtId="3" fontId="44" fillId="0" borderId="92" xfId="0" applyNumberFormat="1" applyFont="1" applyBorder="1" applyAlignment="1">
      <alignment horizontal="center" wrapText="1"/>
    </xf>
    <xf numFmtId="3" fontId="44" fillId="24" borderId="71" xfId="0" applyNumberFormat="1" applyFont="1" applyFill="1" applyBorder="1" applyAlignment="1">
      <alignment horizontal="center"/>
    </xf>
    <xf numFmtId="0" fontId="43" fillId="25" borderId="94" xfId="0" applyNumberFormat="1" applyFont="1" applyFill="1" applyBorder="1" applyAlignment="1">
      <alignment horizontal="center"/>
    </xf>
    <xf numFmtId="3" fontId="44" fillId="25" borderId="71" xfId="0" applyNumberFormat="1" applyFont="1" applyFill="1" applyBorder="1" applyAlignment="1">
      <alignment horizontal="center" wrapText="1"/>
    </xf>
    <xf numFmtId="3" fontId="44" fillId="25" borderId="71" xfId="0" applyNumberFormat="1" applyFont="1" applyFill="1" applyBorder="1" applyAlignment="1">
      <alignment horizontal="center"/>
    </xf>
    <xf numFmtId="3" fontId="44" fillId="25" borderId="91" xfId="0" applyNumberFormat="1" applyFont="1" applyFill="1" applyBorder="1" applyAlignment="1">
      <alignment horizontal="center"/>
    </xf>
    <xf numFmtId="0" fontId="43" fillId="0" borderId="35" xfId="0" applyNumberFormat="1" applyFont="1" applyBorder="1" applyAlignment="1">
      <alignment horizontal="center"/>
    </xf>
    <xf numFmtId="3" fontId="44" fillId="0" borderId="95" xfId="0" applyNumberFormat="1" applyFont="1" applyBorder="1" applyAlignment="1">
      <alignment horizontal="center" wrapText="1"/>
    </xf>
    <xf numFmtId="3" fontId="44" fillId="0" borderId="95" xfId="0" applyNumberFormat="1" applyFont="1" applyBorder="1" applyAlignment="1">
      <alignment horizontal="center"/>
    </xf>
    <xf numFmtId="3" fontId="44" fillId="0" borderId="74" xfId="0" applyNumberFormat="1" applyFont="1" applyBorder="1" applyAlignment="1">
      <alignment horizontal="center"/>
    </xf>
    <xf numFmtId="3" fontId="44" fillId="0" borderId="96" xfId="0" applyNumberFormat="1" applyFont="1" applyBorder="1" applyAlignment="1">
      <alignment horizontal="center" wrapText="1"/>
    </xf>
    <xf numFmtId="3" fontId="44" fillId="24" borderId="95" xfId="0" applyNumberFormat="1" applyFont="1" applyFill="1" applyBorder="1" applyAlignment="1">
      <alignment horizontal="center"/>
    </xf>
    <xf numFmtId="2" fontId="6" fillId="4" borderId="43" xfId="0" applyNumberFormat="1" applyFont="1" applyFill="1" applyBorder="1" applyAlignment="1">
      <alignment horizontal="center" vertical="center"/>
    </xf>
    <xf numFmtId="3" fontId="6" fillId="26" borderId="97" xfId="0" applyNumberFormat="1" applyFont="1" applyFill="1" applyBorder="1" applyAlignment="1">
      <alignment horizontal="center"/>
    </xf>
    <xf numFmtId="3" fontId="6" fillId="26" borderId="98" xfId="0" applyNumberFormat="1" applyFont="1" applyFill="1" applyBorder="1" applyAlignment="1">
      <alignment horizontal="center"/>
    </xf>
    <xf numFmtId="3" fontId="9" fillId="26" borderId="99" xfId="0" applyNumberFormat="1" applyFont="1" applyFill="1" applyBorder="1" applyAlignment="1">
      <alignment horizontal="center"/>
    </xf>
    <xf numFmtId="3" fontId="9" fillId="26" borderId="100" xfId="0" applyNumberFormat="1" applyFont="1" applyFill="1" applyBorder="1" applyAlignment="1">
      <alignment horizontal="center"/>
    </xf>
    <xf numFmtId="3" fontId="6" fillId="5" borderId="23" xfId="0" applyNumberFormat="1" applyFont="1" applyFill="1" applyBorder="1" applyAlignment="1">
      <alignment horizontal="center"/>
    </xf>
    <xf numFmtId="0" fontId="6" fillId="5" borderId="18" xfId="0" applyNumberFormat="1" applyFont="1" applyFill="1" applyBorder="1" applyProtection="1"/>
    <xf numFmtId="0" fontId="6" fillId="5" borderId="11" xfId="0" applyNumberFormat="1" applyFont="1" applyFill="1" applyBorder="1" applyProtection="1"/>
    <xf numFmtId="1" fontId="6" fillId="4" borderId="43" xfId="0" applyNumberFormat="1" applyFont="1" applyFill="1" applyBorder="1" applyAlignment="1">
      <alignment vertical="center"/>
    </xf>
    <xf numFmtId="3" fontId="9" fillId="4" borderId="101" xfId="0" applyNumberFormat="1" applyFont="1" applyFill="1" applyBorder="1" applyAlignment="1">
      <alignment horizontal="center"/>
    </xf>
    <xf numFmtId="3" fontId="9" fillId="4" borderId="32" xfId="0" applyNumberFormat="1" applyFont="1" applyFill="1" applyBorder="1" applyAlignment="1">
      <alignment horizontal="center"/>
    </xf>
    <xf numFmtId="0" fontId="6" fillId="4" borderId="32" xfId="0" applyNumberFormat="1" applyFont="1" applyFill="1" applyBorder="1" applyProtection="1"/>
    <xf numFmtId="3" fontId="6" fillId="5" borderId="102" xfId="0" applyNumberFormat="1" applyFont="1" applyFill="1" applyBorder="1" applyAlignment="1">
      <alignment horizontal="center"/>
    </xf>
    <xf numFmtId="0" fontId="6" fillId="5" borderId="103" xfId="0" applyNumberFormat="1" applyFont="1" applyFill="1" applyBorder="1" applyProtection="1"/>
    <xf numFmtId="0" fontId="1" fillId="5" borderId="104" xfId="0" applyNumberFormat="1" applyFont="1" applyFill="1" applyBorder="1" applyProtection="1"/>
    <xf numFmtId="2" fontId="25" fillId="0" borderId="0" xfId="0" applyNumberFormat="1" applyFont="1" applyAlignment="1">
      <alignment horizontal="center"/>
    </xf>
    <xf numFmtId="4" fontId="6" fillId="4" borderId="0" xfId="0" applyNumberFormat="1" applyFont="1" applyFill="1" applyBorder="1" applyAlignment="1">
      <alignment horizontal="left"/>
    </xf>
    <xf numFmtId="2" fontId="6" fillId="12" borderId="52" xfId="0" applyNumberFormat="1" applyFont="1" applyFill="1" applyBorder="1" applyAlignment="1">
      <alignment vertical="center"/>
    </xf>
    <xf numFmtId="2" fontId="6" fillId="12" borderId="53" xfId="0" applyNumberFormat="1" applyFont="1" applyFill="1" applyBorder="1" applyAlignment="1">
      <alignment vertical="center"/>
    </xf>
    <xf numFmtId="4" fontId="6" fillId="5" borderId="0" xfId="0" applyNumberFormat="1" applyFont="1" applyFill="1" applyBorder="1" applyAlignment="1">
      <alignment horizontal="center"/>
    </xf>
    <xf numFmtId="2" fontId="6" fillId="0" borderId="53" xfId="0" applyNumberFormat="1" applyFont="1" applyFill="1" applyBorder="1" applyAlignment="1">
      <alignment vertical="center"/>
    </xf>
    <xf numFmtId="2" fontId="6" fillId="0" borderId="28" xfId="0" applyNumberFormat="1" applyFont="1" applyFill="1" applyBorder="1" applyAlignment="1">
      <alignment horizontal="center"/>
    </xf>
    <xf numFmtId="0" fontId="6" fillId="0" borderId="0" xfId="0" applyNumberFormat="1" applyFont="1" applyFill="1" applyBorder="1" applyAlignment="1" applyProtection="1">
      <alignment horizontal="center" vertical="center"/>
    </xf>
    <xf numFmtId="3" fontId="6" fillId="0" borderId="17" xfId="0" applyNumberFormat="1" applyFont="1" applyFill="1" applyBorder="1" applyAlignment="1">
      <alignment horizontal="center"/>
    </xf>
    <xf numFmtId="3" fontId="1" fillId="0" borderId="21" xfId="0" applyNumberFormat="1" applyFont="1" applyFill="1" applyBorder="1" applyAlignment="1"/>
    <xf numFmtId="3" fontId="9" fillId="0" borderId="7" xfId="0" applyNumberFormat="1" applyFont="1" applyFill="1" applyBorder="1" applyAlignment="1">
      <alignment horizontal="center"/>
    </xf>
    <xf numFmtId="3" fontId="10" fillId="0" borderId="8" xfId="0" applyNumberFormat="1" applyFont="1" applyFill="1" applyBorder="1" applyAlignment="1"/>
    <xf numFmtId="3" fontId="9" fillId="0" borderId="0" xfId="0" applyNumberFormat="1" applyFont="1" applyFill="1" applyBorder="1" applyAlignment="1"/>
    <xf numFmtId="3" fontId="9" fillId="0" borderId="2" xfId="0" applyNumberFormat="1" applyFont="1" applyFill="1" applyBorder="1" applyAlignment="1">
      <alignment horizontal="center"/>
    </xf>
    <xf numFmtId="3" fontId="10" fillId="0" borderId="0" xfId="0" applyNumberFormat="1" applyFont="1" applyFill="1" applyBorder="1" applyAlignment="1"/>
    <xf numFmtId="3" fontId="6" fillId="0" borderId="5" xfId="0" applyNumberFormat="1" applyFont="1" applyFill="1" applyBorder="1" applyAlignment="1"/>
    <xf numFmtId="0" fontId="6" fillId="0" borderId="7" xfId="0" applyNumberFormat="1" applyFont="1" applyFill="1" applyBorder="1" applyProtection="1"/>
    <xf numFmtId="0" fontId="6" fillId="0" borderId="16" xfId="0" applyNumberFormat="1" applyFont="1" applyFill="1" applyBorder="1" applyProtection="1"/>
    <xf numFmtId="2" fontId="21" fillId="0" borderId="53" xfId="0" applyNumberFormat="1" applyFont="1" applyFill="1" applyBorder="1" applyAlignment="1">
      <alignment vertical="center"/>
    </xf>
    <xf numFmtId="3" fontId="1" fillId="0" borderId="0" xfId="5" applyFont="1" applyAlignment="1">
      <alignment horizontal="center" vertical="top" wrapText="1"/>
    </xf>
    <xf numFmtId="0" fontId="6" fillId="5" borderId="24" xfId="0" applyNumberFormat="1" applyFont="1" applyFill="1" applyBorder="1" applyProtection="1"/>
    <xf numFmtId="3" fontId="6" fillId="5" borderId="105" xfId="0" applyNumberFormat="1" applyFont="1" applyFill="1" applyBorder="1" applyAlignment="1">
      <alignment horizontal="center"/>
    </xf>
    <xf numFmtId="0" fontId="6" fillId="9" borderId="2" xfId="5" applyNumberFormat="1" applyFont="1" applyFill="1" applyBorder="1" applyProtection="1"/>
    <xf numFmtId="3" fontId="6" fillId="0" borderId="97" xfId="5" applyNumberFormat="1" applyFont="1" applyFill="1" applyBorder="1" applyAlignment="1">
      <alignment horizontal="center"/>
    </xf>
    <xf numFmtId="3" fontId="6" fillId="0" borderId="98" xfId="5" applyNumberFormat="1" applyFont="1" applyFill="1" applyBorder="1" applyAlignment="1">
      <alignment horizontal="center"/>
    </xf>
    <xf numFmtId="3" fontId="9" fillId="0" borderId="99" xfId="5" applyNumberFormat="1" applyFont="1" applyFill="1" applyBorder="1" applyAlignment="1">
      <alignment horizontal="center"/>
    </xf>
    <xf numFmtId="3" fontId="9" fillId="0" borderId="100" xfId="5" applyNumberFormat="1" applyFont="1" applyFill="1" applyBorder="1" applyAlignment="1">
      <alignment horizontal="center"/>
    </xf>
    <xf numFmtId="3" fontId="6" fillId="0" borderId="109" xfId="5" applyNumberFormat="1" applyFont="1" applyFill="1" applyBorder="1" applyAlignment="1">
      <alignment horizontal="center"/>
    </xf>
    <xf numFmtId="3" fontId="6" fillId="0" borderId="110" xfId="5" applyNumberFormat="1" applyFont="1" applyFill="1" applyBorder="1" applyAlignment="1">
      <alignment horizontal="center"/>
    </xf>
    <xf numFmtId="3" fontId="9" fillId="0" borderId="111" xfId="5" applyNumberFormat="1" applyFont="1" applyFill="1" applyBorder="1" applyAlignment="1">
      <alignment horizontal="center"/>
    </xf>
    <xf numFmtId="3" fontId="9" fillId="0" borderId="19" xfId="5" applyNumberFormat="1" applyFont="1" applyFill="1" applyBorder="1" applyAlignment="1">
      <alignment horizontal="center"/>
    </xf>
    <xf numFmtId="0" fontId="22" fillId="3" borderId="48" xfId="0" applyNumberFormat="1" applyFont="1" applyFill="1" applyBorder="1" applyAlignment="1">
      <alignment horizontal="center" vertical="center"/>
    </xf>
    <xf numFmtId="0" fontId="22" fillId="3" borderId="38" xfId="0" applyNumberFormat="1" applyFont="1" applyFill="1" applyBorder="1" applyAlignment="1">
      <alignment horizontal="center" vertical="center"/>
    </xf>
    <xf numFmtId="2" fontId="8" fillId="0" borderId="43" xfId="0" applyNumberFormat="1" applyFont="1" applyFill="1" applyBorder="1" applyAlignment="1">
      <alignment horizontal="center" vertical="center"/>
    </xf>
    <xf numFmtId="2" fontId="8" fillId="0" borderId="53" xfId="0" applyNumberFormat="1" applyFont="1" applyFill="1" applyBorder="1" applyAlignment="1">
      <alignment horizontal="center" vertical="center"/>
    </xf>
    <xf numFmtId="2" fontId="6" fillId="4" borderId="28" xfId="0" applyNumberFormat="1" applyFont="1" applyFill="1" applyBorder="1" applyAlignment="1">
      <alignment horizontal="center" vertical="center"/>
    </xf>
    <xf numFmtId="2" fontId="6" fillId="3" borderId="52" xfId="0" applyNumberFormat="1" applyFont="1" applyFill="1" applyBorder="1" applyAlignment="1">
      <alignment horizontal="center" vertical="center"/>
    </xf>
    <xf numFmtId="2" fontId="6" fillId="3" borderId="43" xfId="0" applyNumberFormat="1" applyFont="1" applyFill="1" applyBorder="1" applyAlignment="1">
      <alignment horizontal="center" vertical="center"/>
    </xf>
    <xf numFmtId="2" fontId="6" fillId="5" borderId="52" xfId="0" applyNumberFormat="1" applyFont="1" applyFill="1" applyBorder="1" applyAlignment="1">
      <alignment horizontal="center" vertical="center"/>
    </xf>
    <xf numFmtId="2" fontId="6" fillId="5" borderId="43" xfId="0" applyNumberFormat="1" applyFont="1" applyFill="1" applyBorder="1" applyAlignment="1">
      <alignment horizontal="center" vertical="center"/>
    </xf>
    <xf numFmtId="2" fontId="6" fillId="5" borderId="53" xfId="0" applyNumberFormat="1" applyFont="1" applyFill="1" applyBorder="1" applyAlignment="1">
      <alignment horizontal="center" vertical="center"/>
    </xf>
    <xf numFmtId="3" fontId="5" fillId="0" borderId="33" xfId="2" applyNumberFormat="1" applyFont="1" applyFill="1" applyBorder="1" applyAlignment="1">
      <alignment horizontal="center" vertical="center"/>
    </xf>
    <xf numFmtId="3" fontId="5" fillId="0" borderId="54" xfId="2" applyNumberFormat="1" applyFont="1" applyFill="1" applyBorder="1" applyAlignment="1">
      <alignment horizontal="center" vertical="center"/>
    </xf>
    <xf numFmtId="1" fontId="5" fillId="0" borderId="39" xfId="2" applyNumberFormat="1" applyFont="1" applyFill="1" applyBorder="1" applyAlignment="1">
      <alignment horizontal="center" vertical="center"/>
    </xf>
    <xf numFmtId="1" fontId="5" fillId="0" borderId="53" xfId="2" applyNumberFormat="1" applyFont="1" applyFill="1" applyBorder="1" applyAlignment="1">
      <alignment horizontal="center" vertical="center"/>
    </xf>
    <xf numFmtId="1" fontId="5" fillId="0" borderId="46" xfId="2" applyNumberFormat="1" applyFont="1" applyFill="1" applyBorder="1" applyAlignment="1">
      <alignment horizontal="center" vertical="center" wrapText="1"/>
    </xf>
    <xf numFmtId="1" fontId="5" fillId="0" borderId="55" xfId="2" applyNumberFormat="1" applyFont="1" applyFill="1" applyBorder="1" applyAlignment="1">
      <alignment horizontal="center" vertical="center" wrapText="1"/>
    </xf>
    <xf numFmtId="1" fontId="5" fillId="0" borderId="84" xfId="2" applyNumberFormat="1" applyFont="1" applyFill="1" applyBorder="1" applyAlignment="1">
      <alignment horizontal="center" vertical="center" wrapText="1"/>
    </xf>
    <xf numFmtId="1" fontId="5" fillId="0" borderId="85" xfId="2" applyNumberFormat="1" applyFont="1" applyFill="1" applyBorder="1" applyAlignment="1">
      <alignment horizontal="center" vertical="center" wrapText="1"/>
    </xf>
    <xf numFmtId="3" fontId="9" fillId="0" borderId="46" xfId="4" applyFont="1" applyFill="1" applyBorder="1" applyAlignment="1">
      <alignment horizontal="center" vertical="center"/>
    </xf>
    <xf numFmtId="3" fontId="9" fillId="0" borderId="40" xfId="4" applyFont="1" applyFill="1" applyBorder="1" applyAlignment="1">
      <alignment horizontal="center" vertical="center"/>
    </xf>
    <xf numFmtId="3" fontId="17" fillId="0" borderId="34" xfId="4" applyNumberFormat="1" applyFont="1" applyFill="1" applyBorder="1" applyAlignment="1">
      <alignment horizontal="center" vertical="center" wrapText="1"/>
    </xf>
    <xf numFmtId="3" fontId="17" fillId="0" borderId="57" xfId="4" applyNumberFormat="1" applyFont="1" applyFill="1" applyBorder="1" applyAlignment="1">
      <alignment horizontal="center" vertical="center" wrapText="1"/>
    </xf>
    <xf numFmtId="3" fontId="9" fillId="0" borderId="34" xfId="4" applyFont="1" applyFill="1" applyBorder="1" applyAlignment="1">
      <alignment horizontal="center" vertical="center"/>
    </xf>
    <xf numFmtId="3" fontId="6" fillId="13" borderId="59" xfId="0" applyFont="1" applyFill="1" applyBorder="1" applyAlignment="1">
      <alignment horizontal="center" vertical="center" wrapText="1"/>
    </xf>
    <xf numFmtId="3" fontId="6" fillId="13" borderId="60" xfId="0" applyFont="1" applyFill="1" applyBorder="1" applyAlignment="1">
      <alignment horizontal="center" vertical="center" wrapText="1"/>
    </xf>
    <xf numFmtId="3" fontId="6" fillId="13" borderId="61" xfId="0" applyFont="1" applyFill="1" applyBorder="1" applyAlignment="1">
      <alignment horizontal="center" vertical="center" wrapText="1"/>
    </xf>
    <xf numFmtId="3" fontId="6" fillId="13" borderId="32" xfId="0" applyFont="1" applyFill="1" applyBorder="1" applyAlignment="1">
      <alignment horizontal="center" vertical="center" wrapText="1"/>
    </xf>
    <xf numFmtId="3" fontId="6" fillId="13" borderId="0" xfId="0" applyFont="1" applyFill="1" applyBorder="1" applyAlignment="1">
      <alignment horizontal="center" vertical="center" wrapText="1"/>
    </xf>
    <xf numFmtId="3" fontId="6" fillId="13" borderId="62" xfId="0" applyFont="1" applyFill="1" applyBorder="1" applyAlignment="1">
      <alignment horizontal="center" vertical="center" wrapText="1"/>
    </xf>
    <xf numFmtId="0" fontId="6" fillId="0" borderId="0"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3" fontId="5" fillId="0" borderId="36" xfId="1" applyNumberFormat="1" applyFont="1" applyFill="1" applyBorder="1" applyAlignment="1">
      <alignment horizontal="center" vertical="center" wrapText="1"/>
    </xf>
    <xf numFmtId="3" fontId="5" fillId="0" borderId="56" xfId="1" applyNumberFormat="1" applyFont="1" applyFill="1" applyBorder="1" applyAlignment="1">
      <alignment horizontal="center" vertical="center" wrapText="1"/>
    </xf>
    <xf numFmtId="0" fontId="14" fillId="0" borderId="25" xfId="0" applyNumberFormat="1" applyFont="1" applyFill="1" applyBorder="1" applyAlignment="1">
      <alignment horizontal="center" vertical="center"/>
    </xf>
    <xf numFmtId="0" fontId="14" fillId="0" borderId="26" xfId="0" applyNumberFormat="1" applyFont="1" applyFill="1" applyBorder="1" applyAlignment="1">
      <alignment horizontal="center" vertical="center"/>
    </xf>
    <xf numFmtId="2" fontId="21" fillId="4" borderId="52" xfId="0" applyNumberFormat="1" applyFont="1" applyFill="1" applyBorder="1" applyAlignment="1">
      <alignment horizontal="center" vertical="center"/>
    </xf>
    <xf numFmtId="2" fontId="21" fillId="4" borderId="43" xfId="0" applyNumberFormat="1" applyFont="1" applyFill="1" applyBorder="1" applyAlignment="1">
      <alignment horizontal="center" vertical="center"/>
    </xf>
    <xf numFmtId="2" fontId="21" fillId="4" borderId="53" xfId="0" applyNumberFormat="1" applyFont="1" applyFill="1" applyBorder="1" applyAlignment="1">
      <alignment horizontal="center" vertical="center"/>
    </xf>
    <xf numFmtId="2" fontId="27" fillId="0" borderId="43" xfId="0" applyNumberFormat="1" applyFont="1" applyFill="1" applyBorder="1" applyAlignment="1">
      <alignment horizontal="center" vertical="center"/>
    </xf>
    <xf numFmtId="2" fontId="27" fillId="0" borderId="53" xfId="0" applyNumberFormat="1" applyFont="1" applyFill="1" applyBorder="1" applyAlignment="1">
      <alignment horizontal="center" vertical="center"/>
    </xf>
    <xf numFmtId="167" fontId="5" fillId="0" borderId="76" xfId="4" applyNumberFormat="1" applyFont="1" applyFill="1" applyBorder="1" applyAlignment="1">
      <alignment horizontal="center" vertical="center"/>
    </xf>
    <xf numFmtId="167" fontId="5" fillId="0" borderId="77" xfId="4" applyNumberFormat="1" applyFont="1" applyFill="1" applyBorder="1" applyAlignment="1">
      <alignment horizontal="center" vertical="center"/>
    </xf>
    <xf numFmtId="3" fontId="9" fillId="0" borderId="106" xfId="4" applyNumberFormat="1" applyFont="1" applyFill="1" applyBorder="1" applyAlignment="1">
      <alignment horizontal="center" vertical="center"/>
    </xf>
    <xf numFmtId="3" fontId="9" fillId="0" borderId="107" xfId="4" applyNumberFormat="1" applyFont="1" applyFill="1" applyBorder="1" applyAlignment="1">
      <alignment horizontal="center" vertical="center"/>
    </xf>
    <xf numFmtId="3" fontId="9" fillId="0" borderId="108" xfId="4" applyNumberFormat="1" applyFont="1" applyFill="1" applyBorder="1" applyAlignment="1">
      <alignment horizontal="center" vertical="center"/>
    </xf>
    <xf numFmtId="167" fontId="6" fillId="0" borderId="73" xfId="0" applyNumberFormat="1" applyFont="1" applyBorder="1" applyAlignment="1">
      <alignment horizontal="center" wrapText="1"/>
    </xf>
    <xf numFmtId="167" fontId="6" fillId="0" borderId="82" xfId="0" applyNumberFormat="1" applyFont="1" applyBorder="1" applyAlignment="1">
      <alignment horizontal="center" wrapText="1"/>
    </xf>
    <xf numFmtId="167" fontId="6" fillId="0" borderId="37" xfId="0" applyNumberFormat="1" applyFont="1" applyBorder="1" applyAlignment="1">
      <alignment horizontal="center" wrapText="1"/>
    </xf>
    <xf numFmtId="167" fontId="6" fillId="0" borderId="74" xfId="0" applyNumberFormat="1" applyFont="1" applyBorder="1" applyAlignment="1">
      <alignment horizontal="center" wrapText="1"/>
    </xf>
    <xf numFmtId="3" fontId="9" fillId="0" borderId="26" xfId="4" applyNumberFormat="1" applyFont="1" applyFill="1" applyBorder="1" applyAlignment="1">
      <alignment horizontal="center" vertical="center"/>
    </xf>
    <xf numFmtId="3" fontId="9" fillId="0" borderId="30" xfId="4" applyNumberFormat="1" applyFont="1" applyFill="1" applyBorder="1" applyAlignment="1">
      <alignment horizontal="center" vertical="center"/>
    </xf>
    <xf numFmtId="167" fontId="9" fillId="0" borderId="34" xfId="4" applyNumberFormat="1" applyFont="1" applyFill="1" applyBorder="1" applyAlignment="1">
      <alignment horizontal="center" vertical="center" wrapText="1"/>
    </xf>
    <xf numFmtId="167" fontId="9" fillId="0" borderId="57" xfId="4" applyNumberFormat="1" applyFont="1" applyFill="1" applyBorder="1" applyAlignment="1">
      <alignment horizontal="center" vertical="center" wrapText="1"/>
    </xf>
    <xf numFmtId="0" fontId="19" fillId="3" borderId="52" xfId="0" applyNumberFormat="1" applyFont="1" applyFill="1" applyBorder="1" applyAlignment="1">
      <alignment horizontal="center" vertical="center"/>
    </xf>
    <xf numFmtId="0" fontId="19" fillId="3" borderId="43" xfId="0" applyNumberFormat="1" applyFont="1" applyFill="1" applyBorder="1" applyAlignment="1">
      <alignment horizontal="center" vertical="center"/>
    </xf>
    <xf numFmtId="0" fontId="19" fillId="3" borderId="53" xfId="0" applyNumberFormat="1" applyFont="1" applyFill="1" applyBorder="1" applyAlignment="1">
      <alignment horizontal="center" vertical="center"/>
    </xf>
    <xf numFmtId="2" fontId="21" fillId="5" borderId="52" xfId="0" applyNumberFormat="1" applyFont="1" applyFill="1" applyBorder="1" applyAlignment="1">
      <alignment horizontal="center" vertical="center"/>
    </xf>
    <xf numFmtId="2" fontId="21" fillId="5" borderId="43" xfId="0" applyNumberFormat="1" applyFont="1" applyFill="1" applyBorder="1" applyAlignment="1">
      <alignment horizontal="center" vertical="center"/>
    </xf>
    <xf numFmtId="2" fontId="21" fillId="5" borderId="53" xfId="0" applyNumberFormat="1" applyFont="1" applyFill="1" applyBorder="1" applyAlignment="1">
      <alignment horizontal="center" vertical="center"/>
    </xf>
    <xf numFmtId="0" fontId="20" fillId="11" borderId="32" xfId="0" applyNumberFormat="1" applyFont="1" applyFill="1" applyBorder="1" applyAlignment="1">
      <alignment horizontal="center" vertical="center"/>
    </xf>
    <xf numFmtId="0" fontId="20" fillId="11" borderId="81" xfId="0" applyNumberFormat="1" applyFont="1" applyFill="1" applyBorder="1" applyAlignment="1">
      <alignment horizontal="center" vertical="center"/>
    </xf>
    <xf numFmtId="0" fontId="20" fillId="11" borderId="50" xfId="0" applyNumberFormat="1" applyFont="1" applyFill="1" applyBorder="1" applyAlignment="1">
      <alignment horizontal="center" vertical="center"/>
    </xf>
    <xf numFmtId="0" fontId="20" fillId="11" borderId="44" xfId="0" applyNumberFormat="1" applyFont="1" applyFill="1" applyBorder="1" applyAlignment="1">
      <alignment horizontal="center" vertical="center"/>
    </xf>
    <xf numFmtId="0" fontId="20" fillId="11" borderId="51" xfId="0" applyNumberFormat="1" applyFont="1" applyFill="1" applyBorder="1" applyAlignment="1">
      <alignment horizontal="center" vertical="center"/>
    </xf>
    <xf numFmtId="1" fontId="8" fillId="0" borderId="43" xfId="0" applyNumberFormat="1" applyFont="1" applyFill="1" applyBorder="1" applyAlignment="1">
      <alignment horizontal="center" vertical="center"/>
    </xf>
    <xf numFmtId="1" fontId="8" fillId="0" borderId="53" xfId="0" applyNumberFormat="1" applyFont="1" applyFill="1" applyBorder="1" applyAlignment="1">
      <alignment horizontal="center" vertical="center"/>
    </xf>
    <xf numFmtId="1" fontId="6" fillId="3" borderId="52" xfId="0" applyNumberFormat="1" applyFont="1" applyFill="1" applyBorder="1" applyAlignment="1">
      <alignment horizontal="center" vertical="center"/>
    </xf>
    <xf numFmtId="1" fontId="6" fillId="3" borderId="43" xfId="0" applyNumberFormat="1" applyFont="1" applyFill="1" applyBorder="1" applyAlignment="1">
      <alignment horizontal="center" vertical="center"/>
    </xf>
    <xf numFmtId="1" fontId="6" fillId="3" borderId="53" xfId="0" applyNumberFormat="1" applyFont="1" applyFill="1" applyBorder="1" applyAlignment="1">
      <alignment horizontal="center" vertical="center"/>
    </xf>
    <xf numFmtId="2" fontId="6" fillId="5" borderId="60" xfId="0" applyNumberFormat="1" applyFont="1" applyFill="1" applyBorder="1" applyAlignment="1">
      <alignment horizontal="center" vertical="center"/>
    </xf>
    <xf numFmtId="2" fontId="6" fillId="5" borderId="56" xfId="0" applyNumberFormat="1" applyFont="1" applyFill="1" applyBorder="1" applyAlignment="1">
      <alignment horizontal="center" vertical="center"/>
    </xf>
    <xf numFmtId="1" fontId="6" fillId="4" borderId="28" xfId="0" applyNumberFormat="1" applyFont="1" applyFill="1" applyBorder="1" applyAlignment="1">
      <alignment horizontal="center" vertical="center"/>
    </xf>
    <xf numFmtId="0" fontId="18" fillId="4" borderId="52" xfId="0" applyNumberFormat="1" applyFont="1" applyFill="1" applyBorder="1" applyAlignment="1">
      <alignment horizontal="center" vertical="center"/>
    </xf>
    <xf numFmtId="0" fontId="18" fillId="4" borderId="43" xfId="0" applyNumberFormat="1" applyFont="1" applyFill="1" applyBorder="1" applyAlignment="1">
      <alignment horizontal="center" vertical="center"/>
    </xf>
    <xf numFmtId="0" fontId="18" fillId="4" borderId="53" xfId="0" applyNumberFormat="1" applyFont="1" applyFill="1" applyBorder="1" applyAlignment="1">
      <alignment horizontal="center" vertical="center"/>
    </xf>
    <xf numFmtId="0" fontId="19" fillId="5" borderId="52" xfId="0" applyNumberFormat="1" applyFont="1" applyFill="1" applyBorder="1" applyAlignment="1">
      <alignment horizontal="center" vertical="center"/>
    </xf>
    <xf numFmtId="0" fontId="19" fillId="5" borderId="43" xfId="0" applyNumberFormat="1" applyFont="1" applyFill="1" applyBorder="1" applyAlignment="1">
      <alignment horizontal="center" vertical="center"/>
    </xf>
    <xf numFmtId="0" fontId="19" fillId="5" borderId="53" xfId="0" applyNumberFormat="1" applyFont="1" applyFill="1" applyBorder="1" applyAlignment="1">
      <alignment horizontal="center" vertical="center"/>
    </xf>
    <xf numFmtId="0" fontId="6" fillId="2" borderId="0" xfId="0" applyNumberFormat="1" applyFont="1" applyFill="1" applyAlignment="1">
      <alignment horizontal="center"/>
    </xf>
    <xf numFmtId="1" fontId="6" fillId="12" borderId="52" xfId="0" applyNumberFormat="1" applyFont="1" applyFill="1" applyBorder="1" applyAlignment="1">
      <alignment horizontal="center" vertical="center"/>
    </xf>
    <xf numFmtId="1" fontId="6" fillId="12" borderId="53" xfId="0" applyNumberFormat="1" applyFont="1" applyFill="1" applyBorder="1" applyAlignment="1">
      <alignment horizontal="center" vertical="center"/>
    </xf>
    <xf numFmtId="2" fontId="6" fillId="5" borderId="28" xfId="0" applyNumberFormat="1" applyFont="1" applyFill="1" applyBorder="1" applyAlignment="1">
      <alignment horizontal="center" vertical="center"/>
    </xf>
    <xf numFmtId="0" fontId="40" fillId="0" borderId="0" xfId="0" applyNumberFormat="1" applyFont="1" applyBorder="1" applyAlignment="1">
      <alignment horizontal="center" wrapText="1"/>
    </xf>
    <xf numFmtId="0" fontId="40" fillId="0" borderId="87" xfId="0" applyNumberFormat="1" applyFont="1" applyBorder="1" applyAlignment="1">
      <alignment horizontal="center" wrapText="1"/>
    </xf>
    <xf numFmtId="0" fontId="40" fillId="0" borderId="88" xfId="0" applyNumberFormat="1" applyFont="1" applyBorder="1" applyAlignment="1">
      <alignment horizontal="center" wrapText="1"/>
    </xf>
    <xf numFmtId="0" fontId="40" fillId="0" borderId="89" xfId="0" applyNumberFormat="1" applyFont="1" applyBorder="1" applyAlignment="1">
      <alignment horizontal="center" wrapText="1"/>
    </xf>
    <xf numFmtId="0" fontId="40" fillId="24" borderId="87" xfId="0" applyNumberFormat="1" applyFont="1" applyFill="1" applyBorder="1" applyAlignment="1">
      <alignment horizontal="center" wrapText="1"/>
    </xf>
    <xf numFmtId="0" fontId="40" fillId="24" borderId="88" xfId="0" applyNumberFormat="1" applyFont="1" applyFill="1" applyBorder="1" applyAlignment="1">
      <alignment horizontal="center" wrapText="1"/>
    </xf>
    <xf numFmtId="0" fontId="40" fillId="24" borderId="89" xfId="0" applyNumberFormat="1" applyFont="1" applyFill="1" applyBorder="1" applyAlignment="1">
      <alignment horizontal="center" wrapText="1"/>
    </xf>
    <xf numFmtId="0" fontId="12" fillId="0" borderId="29" xfId="3" applyFont="1" applyBorder="1" applyAlignment="1">
      <alignment horizontal="center" vertical="center"/>
    </xf>
    <xf numFmtId="0" fontId="12" fillId="0" borderId="68" xfId="3" applyFont="1" applyBorder="1" applyAlignment="1">
      <alignment horizontal="center" vertical="center"/>
    </xf>
    <xf numFmtId="0" fontId="12" fillId="0" borderId="45" xfId="3" applyFont="1" applyBorder="1" applyAlignment="1">
      <alignment horizontal="center" vertical="center"/>
    </xf>
    <xf numFmtId="2" fontId="21" fillId="3" borderId="52" xfId="0" applyNumberFormat="1" applyFont="1" applyFill="1" applyBorder="1" applyAlignment="1">
      <alignment horizontal="center" vertical="center"/>
    </xf>
    <xf numFmtId="2" fontId="21" fillId="3" borderId="43" xfId="0" applyNumberFormat="1" applyFont="1" applyFill="1" applyBorder="1" applyAlignment="1">
      <alignment horizontal="center" vertical="center"/>
    </xf>
    <xf numFmtId="2" fontId="21" fillId="3" borderId="53" xfId="0" applyNumberFormat="1" applyFont="1" applyFill="1" applyBorder="1" applyAlignment="1">
      <alignment horizontal="center" vertical="center"/>
    </xf>
    <xf numFmtId="2" fontId="6" fillId="0" borderId="52" xfId="0" applyNumberFormat="1" applyFont="1" applyFill="1" applyBorder="1" applyAlignment="1">
      <alignment horizontal="center" vertical="center"/>
    </xf>
    <xf numFmtId="2" fontId="6" fillId="0" borderId="43" xfId="0" applyNumberFormat="1" applyFont="1" applyFill="1" applyBorder="1" applyAlignment="1">
      <alignment horizontal="center" vertical="center"/>
    </xf>
    <xf numFmtId="2" fontId="6" fillId="0" borderId="53" xfId="0" applyNumberFormat="1" applyFont="1" applyFill="1" applyBorder="1" applyAlignment="1">
      <alignment horizontal="center" vertical="center"/>
    </xf>
    <xf numFmtId="2" fontId="6" fillId="3" borderId="53" xfId="0" applyNumberFormat="1" applyFont="1" applyFill="1" applyBorder="1" applyAlignment="1">
      <alignment horizontal="center" vertical="center"/>
    </xf>
    <xf numFmtId="3" fontId="5" fillId="0" borderId="0" xfId="1" applyNumberFormat="1" applyFont="1" applyFill="1" applyBorder="1" applyAlignment="1">
      <alignment horizontal="center"/>
    </xf>
    <xf numFmtId="3" fontId="5" fillId="0" borderId="1" xfId="1" applyNumberFormat="1" applyFont="1" applyFill="1" applyBorder="1" applyAlignment="1">
      <alignment horizontal="center"/>
    </xf>
    <xf numFmtId="3" fontId="7" fillId="0" borderId="0" xfId="5" applyFont="1" applyAlignment="1">
      <alignment horizontal="center" wrapText="1"/>
    </xf>
    <xf numFmtId="0" fontId="6" fillId="0" borderId="0" xfId="5" applyNumberFormat="1" applyFont="1" applyFill="1" applyBorder="1" applyAlignment="1" applyProtection="1">
      <alignment horizontal="center" vertical="center" wrapText="1"/>
    </xf>
    <xf numFmtId="3" fontId="1" fillId="0" borderId="0" xfId="5" applyFont="1" applyAlignment="1">
      <alignment horizontal="center" vertical="top" wrapText="1"/>
    </xf>
    <xf numFmtId="0" fontId="3" fillId="0" borderId="62" xfId="3" applyBorder="1" applyAlignment="1">
      <alignment vertical="center"/>
    </xf>
  </cellXfs>
  <cellStyles count="7">
    <cellStyle name="Good" xfId="6" builtinId="26"/>
    <cellStyle name="Normal" xfId="0" builtinId="0"/>
    <cellStyle name="Normal 2" xfId="3"/>
    <cellStyle name="Normal 3" xfId="5"/>
    <cellStyle name="Normal_2003" xfId="1"/>
    <cellStyle name="Normal_2009" xfId="2"/>
    <cellStyle name="Normal_Summary" xfId="4"/>
  </cellStyles>
  <dxfs count="1">
    <dxf>
      <font>
        <condense val="0"/>
        <extend val="0"/>
        <color rgb="FF006100"/>
      </font>
      <fill>
        <patternFill>
          <bgColor rgb="FFC6EFCE"/>
        </patternFill>
      </fill>
    </dxf>
  </dxfs>
  <tableStyles count="0" defaultTableStyle="TableStyleMedium9" defaultPivotStyle="PivotStyleLight16"/>
  <colors>
    <mruColors>
      <color rgb="FF99CCFF"/>
      <color rgb="FFCCFFCC"/>
      <color rgb="FF3399FF"/>
      <color rgb="FF0000FF"/>
      <color rgb="FF00FF00"/>
      <color rgb="FFFFCC99"/>
      <color rgb="FFC266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23</xdr:col>
      <xdr:colOff>34636</xdr:colOff>
      <xdr:row>40</xdr:row>
      <xdr:rowOff>88901</xdr:rowOff>
    </xdr:from>
    <xdr:to>
      <xdr:col>23</xdr:col>
      <xdr:colOff>170090</xdr:colOff>
      <xdr:row>41</xdr:row>
      <xdr:rowOff>0</xdr:rowOff>
    </xdr:to>
    <xdr:sp macro="" textlink="">
      <xdr:nvSpPr>
        <xdr:cNvPr id="21" name="Line 372"/>
        <xdr:cNvSpPr>
          <a:spLocks noChangeShapeType="1"/>
        </xdr:cNvSpPr>
      </xdr:nvSpPr>
      <xdr:spPr bwMode="auto">
        <a:xfrm flipV="1">
          <a:off x="8797636" y="10722265"/>
          <a:ext cx="135454" cy="170871"/>
        </a:xfrm>
        <a:prstGeom prst="line">
          <a:avLst/>
        </a:prstGeom>
        <a:noFill/>
        <a:ln w="38100">
          <a:solidFill>
            <a:srgbClr val="00B0F0"/>
          </a:solidFill>
          <a:round/>
          <a:headEnd/>
          <a:tailEnd/>
        </a:ln>
      </xdr:spPr>
    </xdr:sp>
    <xdr:clientData/>
  </xdr:twoCellAnchor>
  <xdr:twoCellAnchor>
    <xdr:from>
      <xdr:col>26</xdr:col>
      <xdr:colOff>76200</xdr:colOff>
      <xdr:row>40</xdr:row>
      <xdr:rowOff>85725</xdr:rowOff>
    </xdr:from>
    <xdr:to>
      <xdr:col>26</xdr:col>
      <xdr:colOff>207818</xdr:colOff>
      <xdr:row>40</xdr:row>
      <xdr:rowOff>207818</xdr:rowOff>
    </xdr:to>
    <xdr:sp macro="" textlink="">
      <xdr:nvSpPr>
        <xdr:cNvPr id="22" name="Line 372"/>
        <xdr:cNvSpPr>
          <a:spLocks noChangeShapeType="1"/>
        </xdr:cNvSpPr>
      </xdr:nvSpPr>
      <xdr:spPr bwMode="auto">
        <a:xfrm>
          <a:off x="9566564" y="10719089"/>
          <a:ext cx="131618" cy="122093"/>
        </a:xfrm>
        <a:prstGeom prst="line">
          <a:avLst/>
        </a:prstGeom>
        <a:noFill/>
        <a:ln w="38100">
          <a:solidFill>
            <a:srgbClr val="00B0F0"/>
          </a:solidFill>
          <a:round/>
          <a:headEnd/>
          <a:tailEnd/>
        </a:ln>
      </xdr:spPr>
    </xdr:sp>
    <xdr:clientData/>
  </xdr:twoCellAnchor>
  <xdr:twoCellAnchor>
    <xdr:from>
      <xdr:col>26</xdr:col>
      <xdr:colOff>76200</xdr:colOff>
      <xdr:row>28</xdr:row>
      <xdr:rowOff>38100</xdr:rowOff>
    </xdr:from>
    <xdr:to>
      <xdr:col>26</xdr:col>
      <xdr:colOff>171450</xdr:colOff>
      <xdr:row>28</xdr:row>
      <xdr:rowOff>142875</xdr:rowOff>
    </xdr:to>
    <xdr:sp macro="" textlink="">
      <xdr:nvSpPr>
        <xdr:cNvPr id="33" name="Line 2"/>
        <xdr:cNvSpPr>
          <a:spLocks noChangeShapeType="1"/>
        </xdr:cNvSpPr>
      </xdr:nvSpPr>
      <xdr:spPr bwMode="auto">
        <a:xfrm flipH="1">
          <a:off x="2511879" y="3875314"/>
          <a:ext cx="95250" cy="104775"/>
        </a:xfrm>
        <a:prstGeom prst="line">
          <a:avLst/>
        </a:prstGeom>
        <a:noFill/>
        <a:ln w="38100">
          <a:solidFill>
            <a:srgbClr val="000000"/>
          </a:solidFill>
          <a:round/>
          <a:headEnd/>
          <a:tailEnd/>
        </a:ln>
      </xdr:spPr>
    </xdr:sp>
    <xdr:clientData/>
  </xdr:twoCellAnchor>
  <xdr:twoCellAnchor>
    <xdr:from>
      <xdr:col>26</xdr:col>
      <xdr:colOff>76200</xdr:colOff>
      <xdr:row>12</xdr:row>
      <xdr:rowOff>38100</xdr:rowOff>
    </xdr:from>
    <xdr:to>
      <xdr:col>26</xdr:col>
      <xdr:colOff>171450</xdr:colOff>
      <xdr:row>12</xdr:row>
      <xdr:rowOff>142875</xdr:rowOff>
    </xdr:to>
    <xdr:sp macro="" textlink="">
      <xdr:nvSpPr>
        <xdr:cNvPr id="34" name="Line 4"/>
        <xdr:cNvSpPr>
          <a:spLocks noChangeShapeType="1"/>
        </xdr:cNvSpPr>
      </xdr:nvSpPr>
      <xdr:spPr bwMode="auto">
        <a:xfrm flipH="1">
          <a:off x="2511879" y="2228850"/>
          <a:ext cx="95250" cy="104775"/>
        </a:xfrm>
        <a:prstGeom prst="line">
          <a:avLst/>
        </a:prstGeom>
        <a:noFill/>
        <a:ln w="38100">
          <a:solidFill>
            <a:srgbClr val="000000"/>
          </a:solidFill>
          <a:round/>
          <a:headEnd/>
          <a:tailEnd/>
        </a:ln>
      </xdr:spPr>
    </xdr:sp>
    <xdr:clientData/>
  </xdr:twoCellAnchor>
  <xdr:twoCellAnchor>
    <xdr:from>
      <xdr:col>23</xdr:col>
      <xdr:colOff>69273</xdr:colOff>
      <xdr:row>18</xdr:row>
      <xdr:rowOff>103909</xdr:rowOff>
    </xdr:from>
    <xdr:to>
      <xdr:col>26</xdr:col>
      <xdr:colOff>190500</xdr:colOff>
      <xdr:row>18</xdr:row>
      <xdr:rowOff>104775</xdr:rowOff>
    </xdr:to>
    <xdr:sp macro="" textlink="">
      <xdr:nvSpPr>
        <xdr:cNvPr id="35" name="Line 5"/>
        <xdr:cNvSpPr>
          <a:spLocks noChangeShapeType="1"/>
        </xdr:cNvSpPr>
      </xdr:nvSpPr>
      <xdr:spPr bwMode="auto">
        <a:xfrm>
          <a:off x="8832273" y="5022273"/>
          <a:ext cx="848591" cy="866"/>
        </a:xfrm>
        <a:prstGeom prst="line">
          <a:avLst/>
        </a:prstGeom>
        <a:noFill/>
        <a:ln w="101600">
          <a:solidFill>
            <a:srgbClr val="FF0000"/>
          </a:solidFill>
          <a:round/>
          <a:headEnd/>
          <a:tailEnd/>
        </a:ln>
      </xdr:spPr>
    </xdr:sp>
    <xdr:clientData/>
  </xdr:twoCellAnchor>
  <xdr:twoCellAnchor>
    <xdr:from>
      <xdr:col>26</xdr:col>
      <xdr:colOff>85725</xdr:colOff>
      <xdr:row>32</xdr:row>
      <xdr:rowOff>47625</xdr:rowOff>
    </xdr:from>
    <xdr:to>
      <xdr:col>26</xdr:col>
      <xdr:colOff>180975</xdr:colOff>
      <xdr:row>32</xdr:row>
      <xdr:rowOff>152400</xdr:rowOff>
    </xdr:to>
    <xdr:sp macro="" textlink="">
      <xdr:nvSpPr>
        <xdr:cNvPr id="36" name="Line 7"/>
        <xdr:cNvSpPr>
          <a:spLocks noChangeShapeType="1"/>
        </xdr:cNvSpPr>
      </xdr:nvSpPr>
      <xdr:spPr bwMode="auto">
        <a:xfrm flipH="1">
          <a:off x="2521404" y="4510768"/>
          <a:ext cx="95250" cy="104775"/>
        </a:xfrm>
        <a:prstGeom prst="line">
          <a:avLst/>
        </a:prstGeom>
        <a:noFill/>
        <a:ln w="38100">
          <a:solidFill>
            <a:srgbClr val="000000"/>
          </a:solidFill>
          <a:round/>
          <a:headEnd/>
          <a:tailEnd/>
        </a:ln>
      </xdr:spPr>
    </xdr:sp>
    <xdr:clientData/>
  </xdr:twoCellAnchor>
  <xdr:twoCellAnchor>
    <xdr:from>
      <xdr:col>23</xdr:col>
      <xdr:colOff>86591</xdr:colOff>
      <xdr:row>38</xdr:row>
      <xdr:rowOff>86590</xdr:rowOff>
    </xdr:from>
    <xdr:to>
      <xdr:col>26</xdr:col>
      <xdr:colOff>190500</xdr:colOff>
      <xdr:row>38</xdr:row>
      <xdr:rowOff>86590</xdr:rowOff>
    </xdr:to>
    <xdr:sp macro="" textlink="">
      <xdr:nvSpPr>
        <xdr:cNvPr id="37" name="Line 8"/>
        <xdr:cNvSpPr>
          <a:spLocks noChangeShapeType="1"/>
        </xdr:cNvSpPr>
      </xdr:nvSpPr>
      <xdr:spPr bwMode="auto">
        <a:xfrm flipV="1">
          <a:off x="8849591" y="10200408"/>
          <a:ext cx="831273" cy="0"/>
        </a:xfrm>
        <a:prstGeom prst="line">
          <a:avLst/>
        </a:prstGeom>
        <a:noFill/>
        <a:ln w="101600">
          <a:solidFill>
            <a:srgbClr val="FF0000"/>
          </a:solidFill>
          <a:round/>
          <a:headEnd/>
          <a:tailEnd/>
        </a:ln>
      </xdr:spPr>
    </xdr:sp>
    <xdr:clientData/>
  </xdr:twoCellAnchor>
  <xdr:twoCellAnchor>
    <xdr:from>
      <xdr:col>26</xdr:col>
      <xdr:colOff>66675</xdr:colOff>
      <xdr:row>46</xdr:row>
      <xdr:rowOff>57150</xdr:rowOff>
    </xdr:from>
    <xdr:to>
      <xdr:col>26</xdr:col>
      <xdr:colOff>161925</xdr:colOff>
      <xdr:row>46</xdr:row>
      <xdr:rowOff>161925</xdr:rowOff>
    </xdr:to>
    <xdr:sp macro="" textlink="">
      <xdr:nvSpPr>
        <xdr:cNvPr id="38" name="Line 9"/>
        <xdr:cNvSpPr>
          <a:spLocks noChangeShapeType="1"/>
        </xdr:cNvSpPr>
      </xdr:nvSpPr>
      <xdr:spPr bwMode="auto">
        <a:xfrm>
          <a:off x="2502354" y="6384471"/>
          <a:ext cx="95250" cy="104775"/>
        </a:xfrm>
        <a:prstGeom prst="line">
          <a:avLst/>
        </a:prstGeom>
        <a:noFill/>
        <a:ln w="38100">
          <a:solidFill>
            <a:srgbClr val="000000"/>
          </a:solidFill>
          <a:round/>
          <a:headEnd/>
          <a:tailEnd/>
        </a:ln>
      </xdr:spPr>
    </xdr:sp>
    <xdr:clientData/>
  </xdr:twoCellAnchor>
  <xdr:twoCellAnchor>
    <xdr:from>
      <xdr:col>26</xdr:col>
      <xdr:colOff>66675</xdr:colOff>
      <xdr:row>53</xdr:row>
      <xdr:rowOff>57150</xdr:rowOff>
    </xdr:from>
    <xdr:to>
      <xdr:col>26</xdr:col>
      <xdr:colOff>161925</xdr:colOff>
      <xdr:row>53</xdr:row>
      <xdr:rowOff>161925</xdr:rowOff>
    </xdr:to>
    <xdr:sp macro="" textlink="">
      <xdr:nvSpPr>
        <xdr:cNvPr id="39" name="Line 11"/>
        <xdr:cNvSpPr>
          <a:spLocks noChangeShapeType="1"/>
        </xdr:cNvSpPr>
      </xdr:nvSpPr>
      <xdr:spPr bwMode="auto">
        <a:xfrm>
          <a:off x="2502354" y="7255329"/>
          <a:ext cx="95250" cy="104775"/>
        </a:xfrm>
        <a:prstGeom prst="line">
          <a:avLst/>
        </a:prstGeom>
        <a:noFill/>
        <a:ln w="38100">
          <a:solidFill>
            <a:srgbClr val="000000"/>
          </a:solidFill>
          <a:round/>
          <a:headEnd/>
          <a:tailEnd/>
        </a:ln>
      </xdr:spPr>
    </xdr:sp>
    <xdr:clientData/>
  </xdr:twoCellAnchor>
  <xdr:twoCellAnchor>
    <xdr:from>
      <xdr:col>23</xdr:col>
      <xdr:colOff>66675</xdr:colOff>
      <xdr:row>28</xdr:row>
      <xdr:rowOff>38100</xdr:rowOff>
    </xdr:from>
    <xdr:to>
      <xdr:col>23</xdr:col>
      <xdr:colOff>161925</xdr:colOff>
      <xdr:row>28</xdr:row>
      <xdr:rowOff>142875</xdr:rowOff>
    </xdr:to>
    <xdr:sp macro="" textlink="">
      <xdr:nvSpPr>
        <xdr:cNvPr id="40" name="Line 1"/>
        <xdr:cNvSpPr>
          <a:spLocks noChangeShapeType="1"/>
        </xdr:cNvSpPr>
      </xdr:nvSpPr>
      <xdr:spPr bwMode="auto">
        <a:xfrm>
          <a:off x="2257425" y="3875314"/>
          <a:ext cx="95250" cy="104775"/>
        </a:xfrm>
        <a:prstGeom prst="line">
          <a:avLst/>
        </a:prstGeom>
        <a:noFill/>
        <a:ln w="38100">
          <a:solidFill>
            <a:srgbClr val="000000"/>
          </a:solidFill>
          <a:round/>
          <a:headEnd/>
          <a:tailEnd/>
        </a:ln>
      </xdr:spPr>
    </xdr:sp>
    <xdr:clientData/>
  </xdr:twoCellAnchor>
  <xdr:twoCellAnchor>
    <xdr:from>
      <xdr:col>23</xdr:col>
      <xdr:colOff>66675</xdr:colOff>
      <xdr:row>12</xdr:row>
      <xdr:rowOff>38100</xdr:rowOff>
    </xdr:from>
    <xdr:to>
      <xdr:col>23</xdr:col>
      <xdr:colOff>161925</xdr:colOff>
      <xdr:row>12</xdr:row>
      <xdr:rowOff>142875</xdr:rowOff>
    </xdr:to>
    <xdr:sp macro="" textlink="">
      <xdr:nvSpPr>
        <xdr:cNvPr id="41" name="Line 3"/>
        <xdr:cNvSpPr>
          <a:spLocks noChangeShapeType="1"/>
        </xdr:cNvSpPr>
      </xdr:nvSpPr>
      <xdr:spPr bwMode="auto">
        <a:xfrm>
          <a:off x="2257425" y="2228850"/>
          <a:ext cx="95250" cy="104775"/>
        </a:xfrm>
        <a:prstGeom prst="line">
          <a:avLst/>
        </a:prstGeom>
        <a:noFill/>
        <a:ln w="38100">
          <a:solidFill>
            <a:srgbClr val="000000"/>
          </a:solidFill>
          <a:round/>
          <a:headEnd/>
          <a:tailEnd/>
        </a:ln>
      </xdr:spPr>
    </xdr:sp>
    <xdr:clientData/>
  </xdr:twoCellAnchor>
  <xdr:twoCellAnchor>
    <xdr:from>
      <xdr:col>23</xdr:col>
      <xdr:colOff>66675</xdr:colOff>
      <xdr:row>32</xdr:row>
      <xdr:rowOff>38100</xdr:rowOff>
    </xdr:from>
    <xdr:to>
      <xdr:col>23</xdr:col>
      <xdr:colOff>161925</xdr:colOff>
      <xdr:row>32</xdr:row>
      <xdr:rowOff>142875</xdr:rowOff>
    </xdr:to>
    <xdr:sp macro="" textlink="">
      <xdr:nvSpPr>
        <xdr:cNvPr id="43" name="Line 6"/>
        <xdr:cNvSpPr>
          <a:spLocks noChangeShapeType="1"/>
        </xdr:cNvSpPr>
      </xdr:nvSpPr>
      <xdr:spPr bwMode="auto">
        <a:xfrm>
          <a:off x="2257425" y="4501243"/>
          <a:ext cx="95250" cy="104775"/>
        </a:xfrm>
        <a:prstGeom prst="line">
          <a:avLst/>
        </a:prstGeom>
        <a:noFill/>
        <a:ln w="38100">
          <a:solidFill>
            <a:srgbClr val="000000"/>
          </a:solidFill>
          <a:round/>
          <a:headEnd/>
          <a:tailEnd/>
        </a:ln>
      </xdr:spPr>
    </xdr:sp>
    <xdr:clientData/>
  </xdr:twoCellAnchor>
  <xdr:twoCellAnchor>
    <xdr:from>
      <xdr:col>23</xdr:col>
      <xdr:colOff>66675</xdr:colOff>
      <xdr:row>46</xdr:row>
      <xdr:rowOff>66675</xdr:rowOff>
    </xdr:from>
    <xdr:to>
      <xdr:col>23</xdr:col>
      <xdr:colOff>161925</xdr:colOff>
      <xdr:row>46</xdr:row>
      <xdr:rowOff>171450</xdr:rowOff>
    </xdr:to>
    <xdr:sp macro="" textlink="">
      <xdr:nvSpPr>
        <xdr:cNvPr id="59" name="Line 10"/>
        <xdr:cNvSpPr>
          <a:spLocks noChangeShapeType="1"/>
        </xdr:cNvSpPr>
      </xdr:nvSpPr>
      <xdr:spPr bwMode="auto">
        <a:xfrm flipH="1">
          <a:off x="2257425" y="6393996"/>
          <a:ext cx="95250" cy="104775"/>
        </a:xfrm>
        <a:prstGeom prst="line">
          <a:avLst/>
        </a:prstGeom>
        <a:noFill/>
        <a:ln w="38100">
          <a:solidFill>
            <a:srgbClr val="000000"/>
          </a:solidFill>
          <a:round/>
          <a:headEnd/>
          <a:tailEnd/>
        </a:ln>
      </xdr:spPr>
    </xdr:sp>
    <xdr:clientData/>
  </xdr:twoCellAnchor>
  <xdr:twoCellAnchor>
    <xdr:from>
      <xdr:col>23</xdr:col>
      <xdr:colOff>66675</xdr:colOff>
      <xdr:row>53</xdr:row>
      <xdr:rowOff>66675</xdr:rowOff>
    </xdr:from>
    <xdr:to>
      <xdr:col>23</xdr:col>
      <xdr:colOff>161925</xdr:colOff>
      <xdr:row>53</xdr:row>
      <xdr:rowOff>171450</xdr:rowOff>
    </xdr:to>
    <xdr:sp macro="" textlink="">
      <xdr:nvSpPr>
        <xdr:cNvPr id="61" name="Line 12"/>
        <xdr:cNvSpPr>
          <a:spLocks noChangeShapeType="1"/>
        </xdr:cNvSpPr>
      </xdr:nvSpPr>
      <xdr:spPr bwMode="auto">
        <a:xfrm flipH="1">
          <a:off x="2257425" y="7264854"/>
          <a:ext cx="95250" cy="104775"/>
        </a:xfrm>
        <a:prstGeom prst="line">
          <a:avLst/>
        </a:prstGeom>
        <a:noFill/>
        <a:ln w="38100">
          <a:solidFill>
            <a:srgbClr val="000000"/>
          </a:solidFill>
          <a:round/>
          <a:headEnd/>
          <a:tailEnd/>
        </a:ln>
      </xdr:spPr>
    </xdr:sp>
    <xdr:clientData/>
  </xdr:twoCellAnchor>
  <xdr:twoCellAnchor editAs="oneCell">
    <xdr:from>
      <xdr:col>40</xdr:col>
      <xdr:colOff>76200</xdr:colOff>
      <xdr:row>41</xdr:row>
      <xdr:rowOff>9525</xdr:rowOff>
    </xdr:from>
    <xdr:to>
      <xdr:col>44</xdr:col>
      <xdr:colOff>552700</xdr:colOff>
      <xdr:row>49</xdr:row>
      <xdr:rowOff>133350</xdr:rowOff>
    </xdr:to>
    <xdr:pic>
      <xdr:nvPicPr>
        <xdr:cNvPr id="18" name="Picture 48" descr="WorF06.png"/>
        <xdr:cNvPicPr>
          <a:picLocks noChangeAspect="1"/>
        </xdr:cNvPicPr>
      </xdr:nvPicPr>
      <xdr:blipFill>
        <a:blip xmlns:r="http://schemas.openxmlformats.org/officeDocument/2006/relationships" r:embed="rId1" cstate="print"/>
        <a:srcRect/>
        <a:stretch>
          <a:fillRect/>
        </a:stretch>
      </xdr:blipFill>
      <xdr:spPr bwMode="auto">
        <a:xfrm>
          <a:off x="21774150" y="10896600"/>
          <a:ext cx="3524250" cy="2257425"/>
        </a:xfrm>
        <a:prstGeom prst="rect">
          <a:avLst/>
        </a:prstGeom>
        <a:noFill/>
        <a:ln w="9525">
          <a:noFill/>
          <a:miter lim="800000"/>
          <a:headEnd/>
          <a:tailEnd/>
        </a:ln>
      </xdr:spPr>
    </xdr:pic>
    <xdr:clientData/>
  </xdr:twoCellAnchor>
  <xdr:twoCellAnchor editAs="oneCell">
    <xdr:from>
      <xdr:col>40</xdr:col>
      <xdr:colOff>76200</xdr:colOff>
      <xdr:row>41</xdr:row>
      <xdr:rowOff>9525</xdr:rowOff>
    </xdr:from>
    <xdr:to>
      <xdr:col>44</xdr:col>
      <xdr:colOff>144485</xdr:colOff>
      <xdr:row>49</xdr:row>
      <xdr:rowOff>133350</xdr:rowOff>
    </xdr:to>
    <xdr:pic>
      <xdr:nvPicPr>
        <xdr:cNvPr id="17" name="Picture 48" descr="WorF06.png"/>
        <xdr:cNvPicPr>
          <a:picLocks noChangeAspect="1"/>
        </xdr:cNvPicPr>
      </xdr:nvPicPr>
      <xdr:blipFill>
        <a:blip xmlns:r="http://schemas.openxmlformats.org/officeDocument/2006/relationships" r:embed="rId1" cstate="print"/>
        <a:srcRect/>
        <a:stretch>
          <a:fillRect/>
        </a:stretch>
      </xdr:blipFill>
      <xdr:spPr bwMode="auto">
        <a:xfrm>
          <a:off x="27603450" y="11163300"/>
          <a:ext cx="3781673" cy="2257425"/>
        </a:xfrm>
        <a:prstGeom prst="rect">
          <a:avLst/>
        </a:prstGeom>
        <a:noFill/>
        <a:ln w="9525">
          <a:noFill/>
          <a:miter lim="800000"/>
          <a:headEnd/>
          <a:tailEnd/>
        </a:ln>
      </xdr:spPr>
    </xdr:pic>
    <xdr:clientData/>
  </xdr:twoCellAnchor>
  <xdr:twoCellAnchor editAs="oneCell">
    <xdr:from>
      <xdr:col>46</xdr:col>
      <xdr:colOff>581025</xdr:colOff>
      <xdr:row>41</xdr:row>
      <xdr:rowOff>142875</xdr:rowOff>
    </xdr:from>
    <xdr:to>
      <xdr:col>49</xdr:col>
      <xdr:colOff>476249</xdr:colOff>
      <xdr:row>51</xdr:row>
      <xdr:rowOff>19050</xdr:rowOff>
    </xdr:to>
    <xdr:pic>
      <xdr:nvPicPr>
        <xdr:cNvPr id="19" name="Picture 48" descr="WorF06.png"/>
        <xdr:cNvPicPr>
          <a:picLocks noChangeAspect="1"/>
        </xdr:cNvPicPr>
      </xdr:nvPicPr>
      <xdr:blipFill>
        <a:blip xmlns:r="http://schemas.openxmlformats.org/officeDocument/2006/relationships" r:embed="rId1" cstate="print"/>
        <a:srcRect/>
        <a:stretch>
          <a:fillRect/>
        </a:stretch>
      </xdr:blipFill>
      <xdr:spPr bwMode="auto">
        <a:xfrm>
          <a:off x="32766000" y="11296650"/>
          <a:ext cx="3218088" cy="2543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27215</xdr:colOff>
      <xdr:row>27</xdr:row>
      <xdr:rowOff>88901</xdr:rowOff>
    </xdr:from>
    <xdr:to>
      <xdr:col>7</xdr:col>
      <xdr:colOff>170090</xdr:colOff>
      <xdr:row>28</xdr:row>
      <xdr:rowOff>9526</xdr:rowOff>
    </xdr:to>
    <xdr:sp macro="" textlink="">
      <xdr:nvSpPr>
        <xdr:cNvPr id="2" name="Line 372"/>
        <xdr:cNvSpPr>
          <a:spLocks noChangeShapeType="1"/>
        </xdr:cNvSpPr>
      </xdr:nvSpPr>
      <xdr:spPr bwMode="auto">
        <a:xfrm flipV="1">
          <a:off x="4684940" y="5422901"/>
          <a:ext cx="142875" cy="130175"/>
        </a:xfrm>
        <a:prstGeom prst="line">
          <a:avLst/>
        </a:prstGeom>
        <a:noFill/>
        <a:ln w="38100">
          <a:solidFill>
            <a:srgbClr val="00B0F0"/>
          </a:solidFill>
          <a:round/>
          <a:headEnd/>
          <a:tailEnd/>
        </a:ln>
      </xdr:spPr>
    </xdr:sp>
    <xdr:clientData/>
  </xdr:twoCellAnchor>
  <xdr:twoCellAnchor>
    <xdr:from>
      <xdr:col>10</xdr:col>
      <xdr:colOff>76200</xdr:colOff>
      <xdr:row>27</xdr:row>
      <xdr:rowOff>85725</xdr:rowOff>
    </xdr:from>
    <xdr:to>
      <xdr:col>10</xdr:col>
      <xdr:colOff>187325</xdr:colOff>
      <xdr:row>28</xdr:row>
      <xdr:rowOff>28574</xdr:rowOff>
    </xdr:to>
    <xdr:sp macro="" textlink="">
      <xdr:nvSpPr>
        <xdr:cNvPr id="3" name="Line 372"/>
        <xdr:cNvSpPr>
          <a:spLocks noChangeShapeType="1"/>
        </xdr:cNvSpPr>
      </xdr:nvSpPr>
      <xdr:spPr bwMode="auto">
        <a:xfrm>
          <a:off x="5448300" y="5419725"/>
          <a:ext cx="111125" cy="152399"/>
        </a:xfrm>
        <a:prstGeom prst="line">
          <a:avLst/>
        </a:prstGeom>
        <a:noFill/>
        <a:ln w="38100">
          <a:solidFill>
            <a:srgbClr val="00B0F0"/>
          </a:solidFill>
          <a:round/>
          <a:headEnd/>
          <a:tailEnd/>
        </a:ln>
      </xdr:spPr>
    </xdr:sp>
    <xdr:clientData/>
  </xdr:twoCellAnchor>
  <xdr:twoCellAnchor>
    <xdr:from>
      <xdr:col>10</xdr:col>
      <xdr:colOff>76200</xdr:colOff>
      <xdr:row>17</xdr:row>
      <xdr:rowOff>38100</xdr:rowOff>
    </xdr:from>
    <xdr:to>
      <xdr:col>10</xdr:col>
      <xdr:colOff>171450</xdr:colOff>
      <xdr:row>17</xdr:row>
      <xdr:rowOff>142875</xdr:rowOff>
    </xdr:to>
    <xdr:sp macro="" textlink="">
      <xdr:nvSpPr>
        <xdr:cNvPr id="4" name="Line 2"/>
        <xdr:cNvSpPr>
          <a:spLocks noChangeShapeType="1"/>
        </xdr:cNvSpPr>
      </xdr:nvSpPr>
      <xdr:spPr bwMode="auto">
        <a:xfrm flipH="1">
          <a:off x="5448300" y="3895725"/>
          <a:ext cx="95250" cy="104775"/>
        </a:xfrm>
        <a:prstGeom prst="line">
          <a:avLst/>
        </a:prstGeom>
        <a:noFill/>
        <a:ln w="38100">
          <a:solidFill>
            <a:srgbClr val="000000"/>
          </a:solidFill>
          <a:round/>
          <a:headEnd/>
          <a:tailEnd/>
        </a:ln>
      </xdr:spPr>
    </xdr:sp>
    <xdr:clientData/>
  </xdr:twoCellAnchor>
  <xdr:twoCellAnchor>
    <xdr:from>
      <xdr:col>10</xdr:col>
      <xdr:colOff>76200</xdr:colOff>
      <xdr:row>9</xdr:row>
      <xdr:rowOff>38100</xdr:rowOff>
    </xdr:from>
    <xdr:to>
      <xdr:col>10</xdr:col>
      <xdr:colOff>171450</xdr:colOff>
      <xdr:row>9</xdr:row>
      <xdr:rowOff>142875</xdr:rowOff>
    </xdr:to>
    <xdr:sp macro="" textlink="">
      <xdr:nvSpPr>
        <xdr:cNvPr id="5" name="Line 4"/>
        <xdr:cNvSpPr>
          <a:spLocks noChangeShapeType="1"/>
        </xdr:cNvSpPr>
      </xdr:nvSpPr>
      <xdr:spPr bwMode="auto">
        <a:xfrm flipH="1">
          <a:off x="5448300" y="2228850"/>
          <a:ext cx="95250" cy="104775"/>
        </a:xfrm>
        <a:prstGeom prst="line">
          <a:avLst/>
        </a:prstGeom>
        <a:noFill/>
        <a:ln w="38100">
          <a:solidFill>
            <a:srgbClr val="000000"/>
          </a:solidFill>
          <a:round/>
          <a:headEnd/>
          <a:tailEnd/>
        </a:ln>
      </xdr:spPr>
    </xdr:sp>
    <xdr:clientData/>
  </xdr:twoCellAnchor>
  <xdr:twoCellAnchor>
    <xdr:from>
      <xdr:col>9</xdr:col>
      <xdr:colOff>9525</xdr:colOff>
      <xdr:row>12</xdr:row>
      <xdr:rowOff>104775</xdr:rowOff>
    </xdr:from>
    <xdr:to>
      <xdr:col>11</xdr:col>
      <xdr:colOff>0</xdr:colOff>
      <xdr:row>12</xdr:row>
      <xdr:rowOff>104775</xdr:rowOff>
    </xdr:to>
    <xdr:sp macro="" textlink="">
      <xdr:nvSpPr>
        <xdr:cNvPr id="6" name="Line 5"/>
        <xdr:cNvSpPr>
          <a:spLocks noChangeShapeType="1"/>
        </xdr:cNvSpPr>
      </xdr:nvSpPr>
      <xdr:spPr bwMode="auto">
        <a:xfrm>
          <a:off x="5143500" y="2933700"/>
          <a:ext cx="466725" cy="0"/>
        </a:xfrm>
        <a:prstGeom prst="line">
          <a:avLst/>
        </a:prstGeom>
        <a:noFill/>
        <a:ln w="76200">
          <a:solidFill>
            <a:srgbClr val="000000"/>
          </a:solidFill>
          <a:round/>
          <a:headEnd/>
          <a:tailEnd/>
        </a:ln>
      </xdr:spPr>
    </xdr:sp>
    <xdr:clientData/>
  </xdr:twoCellAnchor>
  <xdr:twoCellAnchor>
    <xdr:from>
      <xdr:col>10</xdr:col>
      <xdr:colOff>85725</xdr:colOff>
      <xdr:row>23</xdr:row>
      <xdr:rowOff>47625</xdr:rowOff>
    </xdr:from>
    <xdr:to>
      <xdr:col>10</xdr:col>
      <xdr:colOff>180975</xdr:colOff>
      <xdr:row>23</xdr:row>
      <xdr:rowOff>152400</xdr:rowOff>
    </xdr:to>
    <xdr:sp macro="" textlink="">
      <xdr:nvSpPr>
        <xdr:cNvPr id="7" name="Line 7"/>
        <xdr:cNvSpPr>
          <a:spLocks noChangeShapeType="1"/>
        </xdr:cNvSpPr>
      </xdr:nvSpPr>
      <xdr:spPr bwMode="auto">
        <a:xfrm flipH="1">
          <a:off x="5457825" y="4533900"/>
          <a:ext cx="95250" cy="104775"/>
        </a:xfrm>
        <a:prstGeom prst="line">
          <a:avLst/>
        </a:prstGeom>
        <a:noFill/>
        <a:ln w="38100">
          <a:solidFill>
            <a:srgbClr val="000000"/>
          </a:solidFill>
          <a:round/>
          <a:headEnd/>
          <a:tailEnd/>
        </a:ln>
      </xdr:spPr>
    </xdr:sp>
    <xdr:clientData/>
  </xdr:twoCellAnchor>
  <xdr:twoCellAnchor>
    <xdr:from>
      <xdr:col>7</xdr:col>
      <xdr:colOff>118385</xdr:colOff>
      <xdr:row>26</xdr:row>
      <xdr:rowOff>118383</xdr:rowOff>
    </xdr:from>
    <xdr:to>
      <xdr:col>10</xdr:col>
      <xdr:colOff>122466</xdr:colOff>
      <xdr:row>26</xdr:row>
      <xdr:rowOff>122465</xdr:rowOff>
    </xdr:to>
    <xdr:sp macro="" textlink="">
      <xdr:nvSpPr>
        <xdr:cNvPr id="8" name="Line 8"/>
        <xdr:cNvSpPr>
          <a:spLocks noChangeShapeType="1"/>
        </xdr:cNvSpPr>
      </xdr:nvSpPr>
      <xdr:spPr bwMode="auto">
        <a:xfrm>
          <a:off x="4812849" y="6336847"/>
          <a:ext cx="738867" cy="4082"/>
        </a:xfrm>
        <a:prstGeom prst="line">
          <a:avLst/>
        </a:prstGeom>
        <a:noFill/>
        <a:ln w="76200">
          <a:solidFill>
            <a:srgbClr val="000000"/>
          </a:solidFill>
          <a:round/>
          <a:headEnd/>
          <a:tailEnd/>
        </a:ln>
      </xdr:spPr>
    </xdr:sp>
    <xdr:clientData/>
  </xdr:twoCellAnchor>
  <xdr:twoCellAnchor>
    <xdr:from>
      <xdr:col>10</xdr:col>
      <xdr:colOff>66675</xdr:colOff>
      <xdr:row>32</xdr:row>
      <xdr:rowOff>57150</xdr:rowOff>
    </xdr:from>
    <xdr:to>
      <xdr:col>10</xdr:col>
      <xdr:colOff>161925</xdr:colOff>
      <xdr:row>32</xdr:row>
      <xdr:rowOff>161925</xdr:rowOff>
    </xdr:to>
    <xdr:sp macro="" textlink="">
      <xdr:nvSpPr>
        <xdr:cNvPr id="9" name="Line 9"/>
        <xdr:cNvSpPr>
          <a:spLocks noChangeShapeType="1"/>
        </xdr:cNvSpPr>
      </xdr:nvSpPr>
      <xdr:spPr bwMode="auto">
        <a:xfrm>
          <a:off x="5438775" y="6429375"/>
          <a:ext cx="95250" cy="104775"/>
        </a:xfrm>
        <a:prstGeom prst="line">
          <a:avLst/>
        </a:prstGeom>
        <a:noFill/>
        <a:ln w="38100">
          <a:solidFill>
            <a:srgbClr val="000000"/>
          </a:solidFill>
          <a:round/>
          <a:headEnd/>
          <a:tailEnd/>
        </a:ln>
      </xdr:spPr>
    </xdr:sp>
    <xdr:clientData/>
  </xdr:twoCellAnchor>
  <xdr:twoCellAnchor>
    <xdr:from>
      <xdr:col>10</xdr:col>
      <xdr:colOff>66675</xdr:colOff>
      <xdr:row>37</xdr:row>
      <xdr:rowOff>57150</xdr:rowOff>
    </xdr:from>
    <xdr:to>
      <xdr:col>10</xdr:col>
      <xdr:colOff>161925</xdr:colOff>
      <xdr:row>37</xdr:row>
      <xdr:rowOff>161925</xdr:rowOff>
    </xdr:to>
    <xdr:sp macro="" textlink="">
      <xdr:nvSpPr>
        <xdr:cNvPr id="10" name="Line 11"/>
        <xdr:cNvSpPr>
          <a:spLocks noChangeShapeType="1"/>
        </xdr:cNvSpPr>
      </xdr:nvSpPr>
      <xdr:spPr bwMode="auto">
        <a:xfrm>
          <a:off x="5438775" y="7315200"/>
          <a:ext cx="95250" cy="104775"/>
        </a:xfrm>
        <a:prstGeom prst="line">
          <a:avLst/>
        </a:prstGeom>
        <a:noFill/>
        <a:ln w="38100">
          <a:solidFill>
            <a:srgbClr val="000000"/>
          </a:solidFill>
          <a:round/>
          <a:headEnd/>
          <a:tailEnd/>
        </a:ln>
      </xdr:spPr>
    </xdr:sp>
    <xdr:clientData/>
  </xdr:twoCellAnchor>
  <xdr:twoCellAnchor>
    <xdr:from>
      <xdr:col>7</xdr:col>
      <xdr:colOff>66675</xdr:colOff>
      <xdr:row>17</xdr:row>
      <xdr:rowOff>38100</xdr:rowOff>
    </xdr:from>
    <xdr:to>
      <xdr:col>7</xdr:col>
      <xdr:colOff>161925</xdr:colOff>
      <xdr:row>17</xdr:row>
      <xdr:rowOff>142875</xdr:rowOff>
    </xdr:to>
    <xdr:sp macro="" textlink="">
      <xdr:nvSpPr>
        <xdr:cNvPr id="11" name="Line 1"/>
        <xdr:cNvSpPr>
          <a:spLocks noChangeShapeType="1"/>
        </xdr:cNvSpPr>
      </xdr:nvSpPr>
      <xdr:spPr bwMode="auto">
        <a:xfrm>
          <a:off x="4724400" y="3895725"/>
          <a:ext cx="95250" cy="104775"/>
        </a:xfrm>
        <a:prstGeom prst="line">
          <a:avLst/>
        </a:prstGeom>
        <a:noFill/>
        <a:ln w="38100">
          <a:solidFill>
            <a:srgbClr val="000000"/>
          </a:solidFill>
          <a:round/>
          <a:headEnd/>
          <a:tailEnd/>
        </a:ln>
      </xdr:spPr>
    </xdr:sp>
    <xdr:clientData/>
  </xdr:twoCellAnchor>
  <xdr:twoCellAnchor>
    <xdr:from>
      <xdr:col>7</xdr:col>
      <xdr:colOff>66675</xdr:colOff>
      <xdr:row>9</xdr:row>
      <xdr:rowOff>38100</xdr:rowOff>
    </xdr:from>
    <xdr:to>
      <xdr:col>7</xdr:col>
      <xdr:colOff>161925</xdr:colOff>
      <xdr:row>9</xdr:row>
      <xdr:rowOff>142875</xdr:rowOff>
    </xdr:to>
    <xdr:sp macro="" textlink="">
      <xdr:nvSpPr>
        <xdr:cNvPr id="12" name="Line 3"/>
        <xdr:cNvSpPr>
          <a:spLocks noChangeShapeType="1"/>
        </xdr:cNvSpPr>
      </xdr:nvSpPr>
      <xdr:spPr bwMode="auto">
        <a:xfrm>
          <a:off x="4724400" y="2228850"/>
          <a:ext cx="95250" cy="104775"/>
        </a:xfrm>
        <a:prstGeom prst="line">
          <a:avLst/>
        </a:prstGeom>
        <a:noFill/>
        <a:ln w="38100">
          <a:solidFill>
            <a:srgbClr val="000000"/>
          </a:solidFill>
          <a:round/>
          <a:headEnd/>
          <a:tailEnd/>
        </a:ln>
      </xdr:spPr>
    </xdr:sp>
    <xdr:clientData/>
  </xdr:twoCellAnchor>
  <xdr:twoCellAnchor>
    <xdr:from>
      <xdr:col>7</xdr:col>
      <xdr:colOff>9525</xdr:colOff>
      <xdr:row>12</xdr:row>
      <xdr:rowOff>104775</xdr:rowOff>
    </xdr:from>
    <xdr:to>
      <xdr:col>9</xdr:col>
      <xdr:colOff>0</xdr:colOff>
      <xdr:row>12</xdr:row>
      <xdr:rowOff>104775</xdr:rowOff>
    </xdr:to>
    <xdr:sp macro="" textlink="">
      <xdr:nvSpPr>
        <xdr:cNvPr id="13" name="Line 5"/>
        <xdr:cNvSpPr>
          <a:spLocks noChangeShapeType="1"/>
        </xdr:cNvSpPr>
      </xdr:nvSpPr>
      <xdr:spPr bwMode="auto">
        <a:xfrm>
          <a:off x="4667250" y="2933700"/>
          <a:ext cx="466725" cy="0"/>
        </a:xfrm>
        <a:prstGeom prst="line">
          <a:avLst/>
        </a:prstGeom>
        <a:noFill/>
        <a:ln w="76200">
          <a:solidFill>
            <a:srgbClr val="000000"/>
          </a:solidFill>
          <a:round/>
          <a:headEnd/>
          <a:tailEnd/>
        </a:ln>
      </xdr:spPr>
    </xdr:sp>
    <xdr:clientData/>
  </xdr:twoCellAnchor>
  <xdr:twoCellAnchor>
    <xdr:from>
      <xdr:col>7</xdr:col>
      <xdr:colOff>66675</xdr:colOff>
      <xdr:row>23</xdr:row>
      <xdr:rowOff>38100</xdr:rowOff>
    </xdr:from>
    <xdr:to>
      <xdr:col>7</xdr:col>
      <xdr:colOff>161925</xdr:colOff>
      <xdr:row>23</xdr:row>
      <xdr:rowOff>142875</xdr:rowOff>
    </xdr:to>
    <xdr:sp macro="" textlink="">
      <xdr:nvSpPr>
        <xdr:cNvPr id="14" name="Line 6"/>
        <xdr:cNvSpPr>
          <a:spLocks noChangeShapeType="1"/>
        </xdr:cNvSpPr>
      </xdr:nvSpPr>
      <xdr:spPr bwMode="auto">
        <a:xfrm>
          <a:off x="4724400" y="4524375"/>
          <a:ext cx="95250" cy="104775"/>
        </a:xfrm>
        <a:prstGeom prst="line">
          <a:avLst/>
        </a:prstGeom>
        <a:noFill/>
        <a:ln w="38100">
          <a:solidFill>
            <a:srgbClr val="000000"/>
          </a:solidFill>
          <a:round/>
          <a:headEnd/>
          <a:tailEnd/>
        </a:ln>
      </xdr:spPr>
    </xdr:sp>
    <xdr:clientData/>
  </xdr:twoCellAnchor>
  <xdr:twoCellAnchor>
    <xdr:from>
      <xdr:col>7</xdr:col>
      <xdr:colOff>66675</xdr:colOff>
      <xdr:row>32</xdr:row>
      <xdr:rowOff>66675</xdr:rowOff>
    </xdr:from>
    <xdr:to>
      <xdr:col>7</xdr:col>
      <xdr:colOff>161925</xdr:colOff>
      <xdr:row>32</xdr:row>
      <xdr:rowOff>171450</xdr:rowOff>
    </xdr:to>
    <xdr:sp macro="" textlink="">
      <xdr:nvSpPr>
        <xdr:cNvPr id="15" name="Line 10"/>
        <xdr:cNvSpPr>
          <a:spLocks noChangeShapeType="1"/>
        </xdr:cNvSpPr>
      </xdr:nvSpPr>
      <xdr:spPr bwMode="auto">
        <a:xfrm flipH="1">
          <a:off x="4724400" y="6438900"/>
          <a:ext cx="95250" cy="104775"/>
        </a:xfrm>
        <a:prstGeom prst="line">
          <a:avLst/>
        </a:prstGeom>
        <a:noFill/>
        <a:ln w="38100">
          <a:solidFill>
            <a:srgbClr val="000000"/>
          </a:solidFill>
          <a:round/>
          <a:headEnd/>
          <a:tailEnd/>
        </a:ln>
      </xdr:spPr>
    </xdr:sp>
    <xdr:clientData/>
  </xdr:twoCellAnchor>
  <xdr:twoCellAnchor>
    <xdr:from>
      <xdr:col>7</xdr:col>
      <xdr:colOff>66675</xdr:colOff>
      <xdr:row>37</xdr:row>
      <xdr:rowOff>66675</xdr:rowOff>
    </xdr:from>
    <xdr:to>
      <xdr:col>7</xdr:col>
      <xdr:colOff>161925</xdr:colOff>
      <xdr:row>37</xdr:row>
      <xdr:rowOff>171450</xdr:rowOff>
    </xdr:to>
    <xdr:sp macro="" textlink="">
      <xdr:nvSpPr>
        <xdr:cNvPr id="16" name="Line 12"/>
        <xdr:cNvSpPr>
          <a:spLocks noChangeShapeType="1"/>
        </xdr:cNvSpPr>
      </xdr:nvSpPr>
      <xdr:spPr bwMode="auto">
        <a:xfrm flipH="1">
          <a:off x="4724400" y="7324725"/>
          <a:ext cx="95250" cy="104775"/>
        </a:xfrm>
        <a:prstGeom prst="line">
          <a:avLst/>
        </a:prstGeom>
        <a:noFill/>
        <a:ln w="38100">
          <a:solidFill>
            <a:srgbClr val="000000"/>
          </a:solidFill>
          <a:round/>
          <a:headEnd/>
          <a:tailEnd/>
        </a:ln>
      </xdr:spPr>
    </xdr:sp>
    <xdr:clientData/>
  </xdr:twoCellAnchor>
  <xdr:twoCellAnchor editAs="oneCell">
    <xdr:from>
      <xdr:col>13</xdr:col>
      <xdr:colOff>693965</xdr:colOff>
      <xdr:row>3</xdr:row>
      <xdr:rowOff>40821</xdr:rowOff>
    </xdr:from>
    <xdr:to>
      <xdr:col>17</xdr:col>
      <xdr:colOff>551090</xdr:colOff>
      <xdr:row>39</xdr:row>
      <xdr:rowOff>217714</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375072" y="938892"/>
          <a:ext cx="2905125" cy="8273143"/>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Civic">
      <a:dk1>
        <a:sysClr val="windowText" lastClr="000000"/>
      </a:dk1>
      <a:lt1>
        <a:sysClr val="window" lastClr="FFFFFF"/>
      </a:lt1>
      <a:dk2>
        <a:srgbClr val="646B86"/>
      </a:dk2>
      <a:lt2>
        <a:srgbClr val="C5D1D7"/>
      </a:lt2>
      <a:accent1>
        <a:srgbClr val="D16349"/>
      </a:accent1>
      <a:accent2>
        <a:srgbClr val="CCB400"/>
      </a:accent2>
      <a:accent3>
        <a:srgbClr val="8CADAE"/>
      </a:accent3>
      <a:accent4>
        <a:srgbClr val="8C7B70"/>
      </a:accent4>
      <a:accent5>
        <a:srgbClr val="8FB08C"/>
      </a:accent5>
      <a:accent6>
        <a:srgbClr val="D19049"/>
      </a:accent6>
      <a:hlink>
        <a:srgbClr val="00A3D6"/>
      </a:hlink>
      <a:folHlink>
        <a:srgbClr val="694F0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BB95"/>
  <sheetViews>
    <sheetView showGridLines="0" view="pageBreakPreview" zoomScale="70" zoomScaleNormal="85" zoomScaleSheetLayoutView="70" zoomScalePageLayoutView="70" workbookViewId="0">
      <pane xSplit="2" ySplit="4" topLeftCell="C43" activePane="bottomRight" state="frozen"/>
      <selection pane="topRight" activeCell="C1" sqref="C1"/>
      <selection pane="bottomLeft" activeCell="A5" sqref="A5"/>
      <selection pane="bottomRight" sqref="A1:AE66"/>
    </sheetView>
  </sheetViews>
  <sheetFormatPr defaultRowHeight="26.25" x14ac:dyDescent="0.4"/>
  <cols>
    <col min="1" max="1" width="21.88671875" style="3" customWidth="1"/>
    <col min="2" max="2" width="9.21875" style="3" customWidth="1"/>
    <col min="3" max="4" width="8.77734375" style="3" customWidth="1"/>
    <col min="5" max="5" width="8.44140625" style="211" customWidth="1"/>
    <col min="6" max="6" width="8" style="199" bestFit="1" customWidth="1"/>
    <col min="7" max="7" width="7" style="225" bestFit="1" customWidth="1"/>
    <col min="8" max="8" width="8.33203125" style="527" hidden="1" customWidth="1"/>
    <col min="9" max="9" width="8" style="199" bestFit="1" customWidth="1"/>
    <col min="10" max="10" width="7.21875" style="3" hidden="1" customWidth="1"/>
    <col min="11" max="11" width="8.44140625" style="284" hidden="1" customWidth="1"/>
    <col min="12" max="12" width="10" style="284" hidden="1" customWidth="1"/>
    <col min="13" max="13" width="9.21875" style="294" hidden="1" customWidth="1"/>
    <col min="14" max="15" width="9.109375" style="294" hidden="1" customWidth="1"/>
    <col min="16" max="16" width="8.88671875" style="294" hidden="1" customWidth="1"/>
    <col min="17" max="17" width="9.109375" style="294" hidden="1" customWidth="1"/>
    <col min="18" max="18" width="8.88671875" style="294" hidden="1" customWidth="1"/>
    <col min="19" max="19" width="9.109375" style="294" hidden="1" customWidth="1"/>
    <col min="20" max="20" width="8.88671875" style="294" hidden="1" customWidth="1"/>
    <col min="21" max="21" width="5.33203125" style="97" customWidth="1"/>
    <col min="22" max="22" width="3.5546875" style="97" customWidth="1"/>
    <col min="23" max="23" width="3.77734375" style="3" customWidth="1"/>
    <col min="24" max="27" width="2.77734375" style="3" customWidth="1"/>
    <col min="28" max="28" width="4" style="3" customWidth="1"/>
    <col min="29" max="29" width="9.5546875" style="3" hidden="1" customWidth="1"/>
    <col min="30" max="30" width="5.33203125" style="106" bestFit="1" customWidth="1"/>
    <col min="31" max="31" width="3.5546875" style="106" bestFit="1" customWidth="1"/>
    <col min="32" max="32" width="2.6640625" style="3" customWidth="1"/>
    <col min="33" max="33" width="13.21875" style="103" customWidth="1"/>
    <col min="34" max="34" width="11.77734375" style="103" customWidth="1"/>
    <col min="35" max="35" width="8.88671875" style="3"/>
    <col min="36" max="36" width="11.21875" style="3" customWidth="1"/>
    <col min="37" max="38" width="15.5546875" style="103" customWidth="1"/>
    <col min="39" max="39" width="24.44140625" style="201" customWidth="1"/>
    <col min="40" max="40" width="7.109375" style="159" customWidth="1"/>
    <col min="41" max="41" width="8.5546875" style="159" customWidth="1"/>
    <col min="42" max="42" width="8.6640625" style="159" customWidth="1"/>
    <col min="43" max="43" width="13.5546875" style="159" bestFit="1" customWidth="1"/>
    <col min="44" max="44" width="7.77734375" style="159" customWidth="1"/>
    <col min="45" max="46" width="7.88671875" style="159" customWidth="1"/>
    <col min="47" max="47" width="8.88671875" style="3"/>
    <col min="48" max="54" width="11.33203125" style="534" customWidth="1"/>
    <col min="55" max="16384" width="8.88671875" style="3"/>
  </cols>
  <sheetData>
    <row r="1" spans="1:54" s="1" customFormat="1" ht="30" customHeight="1" thickBot="1" x14ac:dyDescent="0.55000000000000004">
      <c r="A1" s="154" t="s">
        <v>32</v>
      </c>
      <c r="B1" s="4"/>
      <c r="C1" s="4"/>
      <c r="D1" s="4"/>
      <c r="E1" s="203"/>
      <c r="F1" s="227"/>
      <c r="G1" s="221"/>
      <c r="H1" s="518"/>
      <c r="I1" s="227"/>
      <c r="J1" s="4"/>
      <c r="K1" s="276"/>
      <c r="L1" s="276"/>
      <c r="M1" s="286"/>
      <c r="N1" s="286"/>
      <c r="O1" s="286"/>
      <c r="P1" s="286"/>
      <c r="Q1" s="286"/>
      <c r="R1" s="286"/>
      <c r="S1" s="286"/>
      <c r="T1" s="286"/>
      <c r="U1" s="90"/>
      <c r="V1" s="90"/>
      <c r="W1" s="5"/>
      <c r="X1" s="5"/>
      <c r="AD1" s="98"/>
      <c r="AE1" s="98"/>
      <c r="AG1" s="98"/>
      <c r="AH1" s="98"/>
      <c r="AK1" s="98"/>
      <c r="AL1" s="98"/>
      <c r="AM1" s="200"/>
      <c r="AN1" s="159"/>
      <c r="AO1" s="159"/>
      <c r="AP1" s="159"/>
      <c r="AQ1" s="159"/>
      <c r="AR1" s="159"/>
      <c r="AS1" s="159"/>
      <c r="AT1" s="159"/>
      <c r="AV1" s="534"/>
      <c r="AW1" s="534"/>
      <c r="AX1" s="534"/>
      <c r="AY1" s="534"/>
      <c r="AZ1" s="534"/>
      <c r="BA1" s="534"/>
      <c r="BB1" s="534"/>
    </row>
    <row r="2" spans="1:54" s="1" customFormat="1" ht="21.75" customHeight="1" thickBot="1" x14ac:dyDescent="0.4">
      <c r="A2" s="10"/>
      <c r="B2" s="6"/>
      <c r="C2" s="6"/>
      <c r="D2" s="6"/>
      <c r="E2" s="202"/>
      <c r="F2" s="220"/>
      <c r="G2" s="220"/>
      <c r="H2" s="7"/>
      <c r="I2" s="220"/>
      <c r="J2" s="6"/>
      <c r="K2" s="277"/>
      <c r="L2" s="277"/>
      <c r="M2" s="277"/>
      <c r="N2" s="277"/>
      <c r="O2" s="314" t="s">
        <v>59</v>
      </c>
      <c r="P2" s="277"/>
      <c r="Q2" s="314" t="s">
        <v>124</v>
      </c>
      <c r="R2" s="277"/>
      <c r="S2" s="314" t="s">
        <v>126</v>
      </c>
      <c r="T2" s="277"/>
      <c r="U2" s="89"/>
      <c r="V2" s="89"/>
      <c r="W2" s="5"/>
      <c r="X2" s="5"/>
      <c r="AD2" s="98"/>
      <c r="AE2" s="98"/>
      <c r="AG2" s="98"/>
      <c r="AH2" s="98"/>
      <c r="AK2" s="98"/>
      <c r="AL2" s="98"/>
      <c r="AM2" s="200"/>
      <c r="AN2" s="160"/>
      <c r="AO2" s="161"/>
      <c r="AP2" s="161"/>
      <c r="AQ2" s="161"/>
      <c r="AR2" s="161"/>
      <c r="AS2" s="161"/>
      <c r="AT2" s="162"/>
      <c r="AV2" s="534"/>
      <c r="AW2" s="534"/>
      <c r="AX2" s="534"/>
      <c r="AY2" s="534"/>
      <c r="AZ2" s="534"/>
      <c r="BA2" s="534"/>
      <c r="BB2" s="534"/>
    </row>
    <row r="3" spans="1:54" s="2" customFormat="1" ht="24.95" customHeight="1" thickTop="1" x14ac:dyDescent="0.3">
      <c r="A3" s="620" t="s">
        <v>17</v>
      </c>
      <c r="B3" s="622" t="s">
        <v>18</v>
      </c>
      <c r="C3" s="626" t="s">
        <v>138</v>
      </c>
      <c r="D3" s="627"/>
      <c r="E3" s="624" t="s">
        <v>20</v>
      </c>
      <c r="F3" s="652" t="s">
        <v>19</v>
      </c>
      <c r="G3" s="653"/>
      <c r="H3" s="653"/>
      <c r="I3" s="654"/>
      <c r="J3" s="659" t="s">
        <v>21</v>
      </c>
      <c r="K3" s="661" t="s">
        <v>55</v>
      </c>
      <c r="L3" s="457" t="s">
        <v>124</v>
      </c>
      <c r="M3" s="650" t="s">
        <v>58</v>
      </c>
      <c r="N3" s="651"/>
      <c r="O3" s="650" t="s">
        <v>60</v>
      </c>
      <c r="P3" s="651"/>
      <c r="Q3" s="650" t="s">
        <v>60</v>
      </c>
      <c r="R3" s="651"/>
      <c r="S3" s="650" t="s">
        <v>136</v>
      </c>
      <c r="T3" s="651"/>
      <c r="U3" s="643" t="s">
        <v>23</v>
      </c>
      <c r="V3" s="643"/>
      <c r="W3" s="641"/>
      <c r="X3" s="641"/>
      <c r="Y3" s="641"/>
      <c r="Z3" s="641"/>
      <c r="AA3" s="641"/>
      <c r="AB3" s="641"/>
      <c r="AC3" s="11" t="s">
        <v>22</v>
      </c>
      <c r="AD3" s="643" t="s">
        <v>23</v>
      </c>
      <c r="AE3" s="644"/>
      <c r="AF3" s="27"/>
      <c r="AG3" s="628" t="s">
        <v>27</v>
      </c>
      <c r="AH3" s="629"/>
      <c r="AJ3" s="630" t="s">
        <v>30</v>
      </c>
      <c r="AK3" s="632" t="s">
        <v>31</v>
      </c>
      <c r="AL3" s="632"/>
      <c r="AM3" s="200" t="s">
        <v>50</v>
      </c>
      <c r="AN3" s="163"/>
      <c r="AO3" s="164"/>
      <c r="AP3" s="164"/>
      <c r="AQ3" s="165"/>
      <c r="AR3" s="166" t="s">
        <v>33</v>
      </c>
      <c r="AS3" s="166" t="s">
        <v>34</v>
      </c>
      <c r="AT3" s="167"/>
      <c r="AV3" s="534"/>
      <c r="AW3" s="534"/>
      <c r="AX3" s="534"/>
      <c r="AY3" s="534"/>
      <c r="AZ3" s="534"/>
      <c r="BA3" s="534"/>
      <c r="BB3" s="534"/>
    </row>
    <row r="4" spans="1:54" s="1" customFormat="1" ht="33.75" customHeight="1" x14ac:dyDescent="0.3">
      <c r="A4" s="621"/>
      <c r="B4" s="623"/>
      <c r="C4" s="222" t="s">
        <v>24</v>
      </c>
      <c r="D4" s="222" t="s">
        <v>25</v>
      </c>
      <c r="E4" s="625"/>
      <c r="F4" s="222" t="s">
        <v>149</v>
      </c>
      <c r="G4" s="222" t="s">
        <v>24</v>
      </c>
      <c r="H4" s="519" t="s">
        <v>25</v>
      </c>
      <c r="I4" s="222" t="s">
        <v>148</v>
      </c>
      <c r="J4" s="660"/>
      <c r="K4" s="662"/>
      <c r="L4" s="458" t="s">
        <v>125</v>
      </c>
      <c r="M4" s="287" t="s">
        <v>56</v>
      </c>
      <c r="N4" s="288" t="s">
        <v>57</v>
      </c>
      <c r="O4" s="287" t="s">
        <v>56</v>
      </c>
      <c r="P4" s="288" t="s">
        <v>57</v>
      </c>
      <c r="Q4" s="287" t="s">
        <v>56</v>
      </c>
      <c r="R4" s="288" t="s">
        <v>57</v>
      </c>
      <c r="S4" s="287" t="s">
        <v>56</v>
      </c>
      <c r="T4" s="288" t="s">
        <v>57</v>
      </c>
      <c r="U4" s="222" t="s">
        <v>24</v>
      </c>
      <c r="V4" s="222" t="s">
        <v>25</v>
      </c>
      <c r="W4" s="642"/>
      <c r="X4" s="642"/>
      <c r="Y4" s="642"/>
      <c r="Z4" s="642"/>
      <c r="AA4" s="642"/>
      <c r="AB4" s="642"/>
      <c r="AC4" s="12" t="s">
        <v>26</v>
      </c>
      <c r="AD4" s="222" t="s">
        <v>24</v>
      </c>
      <c r="AE4" s="222" t="s">
        <v>25</v>
      </c>
      <c r="AG4" s="155" t="s">
        <v>28</v>
      </c>
      <c r="AH4" s="156" t="s">
        <v>29</v>
      </c>
      <c r="AJ4" s="631"/>
      <c r="AK4" s="157" t="s">
        <v>24</v>
      </c>
      <c r="AL4" s="158" t="s">
        <v>29</v>
      </c>
      <c r="AM4" s="200" t="s">
        <v>51</v>
      </c>
      <c r="AN4" s="168"/>
      <c r="AO4" s="169"/>
      <c r="AP4" s="169"/>
      <c r="AQ4" s="170"/>
      <c r="AR4" s="166">
        <v>0</v>
      </c>
      <c r="AS4" s="166">
        <v>1</v>
      </c>
      <c r="AT4" s="167"/>
      <c r="AV4" s="534"/>
      <c r="AW4" s="534"/>
      <c r="AX4" s="534"/>
      <c r="AY4" s="534"/>
      <c r="AZ4" s="534"/>
      <c r="BA4" s="534"/>
      <c r="BB4" s="534"/>
    </row>
    <row r="5" spans="1:54" ht="21" customHeight="1" x14ac:dyDescent="0.35">
      <c r="A5" s="231"/>
      <c r="B5" s="232"/>
      <c r="C5" s="510"/>
      <c r="D5" s="511"/>
      <c r="E5" s="234"/>
      <c r="F5" s="236"/>
      <c r="G5" s="235"/>
      <c r="H5" s="520"/>
      <c r="I5" s="236"/>
      <c r="J5" s="233"/>
      <c r="K5" s="278"/>
      <c r="L5" s="409"/>
      <c r="M5" s="289"/>
      <c r="N5" s="305"/>
      <c r="O5" s="289"/>
      <c r="P5" s="289"/>
      <c r="Q5" s="289"/>
      <c r="R5" s="289"/>
      <c r="S5" s="289"/>
      <c r="T5" s="289"/>
      <c r="U5" s="243"/>
      <c r="V5" s="243"/>
      <c r="W5" s="633" t="s">
        <v>12</v>
      </c>
      <c r="X5" s="634"/>
      <c r="Y5" s="634"/>
      <c r="Z5" s="634"/>
      <c r="AA5" s="634"/>
      <c r="AB5" s="635"/>
      <c r="AC5" s="25"/>
      <c r="AD5" s="243"/>
      <c r="AE5" s="248"/>
      <c r="AF5" s="14"/>
      <c r="AG5" s="249"/>
      <c r="AH5" s="250"/>
      <c r="AI5" s="14"/>
      <c r="AJ5" s="28"/>
      <c r="AK5" s="252"/>
      <c r="AL5" s="253"/>
      <c r="AN5" s="163"/>
      <c r="AO5" s="164"/>
      <c r="AP5" s="164"/>
      <c r="AQ5" s="165"/>
      <c r="AR5" s="171">
        <v>2</v>
      </c>
      <c r="AS5" s="171">
        <v>0.99</v>
      </c>
      <c r="AT5" s="167"/>
      <c r="AV5" s="535"/>
      <c r="AW5" s="535"/>
      <c r="AX5" s="535"/>
      <c r="AY5" s="535"/>
      <c r="AZ5" s="535"/>
      <c r="BA5" s="535"/>
      <c r="BB5" s="535"/>
    </row>
    <row r="6" spans="1:54" ht="21" customHeight="1" x14ac:dyDescent="0.35">
      <c r="A6" s="237"/>
      <c r="B6" s="238"/>
      <c r="C6" s="512"/>
      <c r="D6" s="239"/>
      <c r="E6" s="240"/>
      <c r="F6" s="242"/>
      <c r="G6" s="241"/>
      <c r="H6" s="521"/>
      <c r="I6" s="242"/>
      <c r="J6" s="239"/>
      <c r="K6" s="279"/>
      <c r="L6" s="410"/>
      <c r="M6" s="290"/>
      <c r="N6" s="306"/>
      <c r="O6" s="290"/>
      <c r="P6" s="290"/>
      <c r="Q6" s="290"/>
      <c r="R6" s="290"/>
      <c r="S6" s="290"/>
      <c r="T6" s="290"/>
      <c r="U6" s="244"/>
      <c r="V6" s="244"/>
      <c r="W6" s="636"/>
      <c r="X6" s="637"/>
      <c r="Y6" s="637"/>
      <c r="Z6" s="637"/>
      <c r="AA6" s="637"/>
      <c r="AB6" s="638"/>
      <c r="AC6" s="25"/>
      <c r="AD6" s="243"/>
      <c r="AE6" s="248"/>
      <c r="AF6" s="14"/>
      <c r="AG6" s="249"/>
      <c r="AH6" s="250"/>
      <c r="AI6" s="14"/>
      <c r="AJ6" s="28"/>
      <c r="AK6" s="251"/>
      <c r="AL6" s="250"/>
      <c r="AN6" s="163"/>
      <c r="AO6" s="164"/>
      <c r="AP6" s="164"/>
      <c r="AQ6" s="165"/>
      <c r="AR6" s="172">
        <v>3</v>
      </c>
      <c r="AS6" s="172">
        <v>0.98499999999999999</v>
      </c>
      <c r="AT6" s="167"/>
    </row>
    <row r="7" spans="1:54" ht="21" customHeight="1" thickBot="1" x14ac:dyDescent="0.4">
      <c r="A7" s="259"/>
      <c r="B7" s="260"/>
      <c r="C7" s="513"/>
      <c r="D7" s="261"/>
      <c r="E7" s="262"/>
      <c r="F7" s="264"/>
      <c r="G7" s="263"/>
      <c r="H7" s="522"/>
      <c r="I7" s="264"/>
      <c r="J7" s="261"/>
      <c r="K7" s="278"/>
      <c r="L7" s="409"/>
      <c r="M7" s="291"/>
      <c r="N7" s="307"/>
      <c r="O7" s="291"/>
      <c r="P7" s="291"/>
      <c r="Q7" s="291"/>
      <c r="R7" s="291"/>
      <c r="S7" s="291"/>
      <c r="T7" s="291"/>
      <c r="U7" s="267"/>
      <c r="V7" s="267"/>
      <c r="W7" s="245"/>
      <c r="X7" s="246"/>
      <c r="Y7" s="245"/>
      <c r="Z7" s="245"/>
      <c r="AA7" s="247"/>
      <c r="AB7" s="245"/>
      <c r="AC7" s="25"/>
      <c r="AD7" s="257"/>
      <c r="AE7" s="258"/>
      <c r="AF7" s="14"/>
      <c r="AG7" s="256"/>
      <c r="AH7" s="255"/>
      <c r="AI7" s="14"/>
      <c r="AJ7" s="28"/>
      <c r="AK7" s="254"/>
      <c r="AL7" s="255"/>
      <c r="AN7" s="163"/>
      <c r="AO7" s="164"/>
      <c r="AP7" s="164"/>
      <c r="AQ7" s="165"/>
      <c r="AR7" s="166">
        <v>4</v>
      </c>
      <c r="AS7" s="166">
        <v>0.98</v>
      </c>
      <c r="AT7" s="167"/>
    </row>
    <row r="8" spans="1:54" ht="21" customHeight="1" thickTop="1" x14ac:dyDescent="0.35">
      <c r="A8" s="15" t="s">
        <v>14</v>
      </c>
      <c r="B8" s="265"/>
      <c r="C8" s="669">
        <v>65</v>
      </c>
      <c r="D8" s="671">
        <v>70</v>
      </c>
      <c r="E8" s="205">
        <v>1749</v>
      </c>
      <c r="F8" s="612">
        <f>I8</f>
        <v>1.4450757575757576</v>
      </c>
      <c r="G8" s="648">
        <f>(E8-E13)/52.8</f>
        <v>1.7045454545454546</v>
      </c>
      <c r="H8" s="674"/>
      <c r="I8" s="612">
        <f>G8-I13</f>
        <v>1.4450757575757576</v>
      </c>
      <c r="J8" s="21"/>
      <c r="K8" s="280"/>
      <c r="L8" s="411"/>
      <c r="M8" s="301"/>
      <c r="N8" s="308"/>
      <c r="O8" s="301"/>
      <c r="P8" s="301"/>
      <c r="Q8" s="301"/>
      <c r="R8" s="301"/>
      <c r="S8" s="301"/>
      <c r="T8" s="301"/>
      <c r="U8" s="268"/>
      <c r="V8" s="268"/>
      <c r="W8" s="477"/>
      <c r="X8" s="478"/>
      <c r="Y8" s="477"/>
      <c r="Z8" s="477"/>
      <c r="AA8" s="479"/>
      <c r="AB8" s="480"/>
      <c r="AC8" s="25"/>
      <c r="AD8" s="270"/>
      <c r="AE8" s="271"/>
      <c r="AF8" s="14"/>
      <c r="AG8" s="272"/>
      <c r="AH8" s="273"/>
      <c r="AI8" s="14"/>
      <c r="AJ8" s="28"/>
      <c r="AK8" s="274"/>
      <c r="AL8" s="273"/>
      <c r="AM8" s="201">
        <v>12.25</v>
      </c>
      <c r="AN8" s="163"/>
      <c r="AO8" s="164"/>
      <c r="AP8" s="164"/>
      <c r="AQ8" s="165"/>
      <c r="AR8" s="165"/>
      <c r="AS8" s="164"/>
      <c r="AT8" s="167"/>
    </row>
    <row r="9" spans="1:54" ht="21" customHeight="1" x14ac:dyDescent="0.35">
      <c r="A9" s="15"/>
      <c r="B9" s="25"/>
      <c r="C9" s="669"/>
      <c r="D9" s="672"/>
      <c r="E9" s="205"/>
      <c r="F9" s="612"/>
      <c r="G9" s="648"/>
      <c r="H9" s="674"/>
      <c r="I9" s="612"/>
      <c r="J9" s="21"/>
      <c r="K9" s="280"/>
      <c r="L9" s="411"/>
      <c r="M9" s="301"/>
      <c r="N9" s="308"/>
      <c r="O9" s="301"/>
      <c r="P9" s="301"/>
      <c r="Q9" s="301"/>
      <c r="R9" s="301"/>
      <c r="S9" s="301"/>
      <c r="T9" s="301"/>
      <c r="U9" s="268"/>
      <c r="V9" s="268"/>
      <c r="W9" s="481"/>
      <c r="X9" s="482"/>
      <c r="Y9" s="481"/>
      <c r="Z9" s="481"/>
      <c r="AA9" s="483"/>
      <c r="AB9" s="484"/>
      <c r="AC9" s="25"/>
      <c r="AD9" s="270"/>
      <c r="AE9" s="271"/>
      <c r="AF9" s="14"/>
      <c r="AG9" s="272"/>
      <c r="AH9" s="273"/>
      <c r="AI9" s="14"/>
      <c r="AJ9" s="28"/>
      <c r="AK9" s="274"/>
      <c r="AL9" s="273"/>
      <c r="AN9" s="163"/>
      <c r="AO9" s="164"/>
      <c r="AP9" s="173">
        <v>2009</v>
      </c>
      <c r="AQ9" s="165" t="s">
        <v>139</v>
      </c>
      <c r="AR9" s="165"/>
      <c r="AS9" s="164"/>
      <c r="AT9" s="167"/>
    </row>
    <row r="10" spans="1:54" ht="21" customHeight="1" thickBot="1" x14ac:dyDescent="0.4">
      <c r="A10" s="15"/>
      <c r="B10" s="25"/>
      <c r="C10" s="669"/>
      <c r="D10" s="672"/>
      <c r="E10" s="205"/>
      <c r="F10" s="612"/>
      <c r="G10" s="648"/>
      <c r="H10" s="674"/>
      <c r="I10" s="612"/>
      <c r="J10" s="21"/>
      <c r="K10" s="280"/>
      <c r="L10" s="412"/>
      <c r="M10" s="301"/>
      <c r="N10" s="308"/>
      <c r="O10" s="301"/>
      <c r="P10" s="301"/>
      <c r="Q10" s="301"/>
      <c r="R10" s="301"/>
      <c r="S10" s="301"/>
      <c r="T10" s="301"/>
      <c r="U10" s="268"/>
      <c r="V10" s="268"/>
      <c r="W10" s="481"/>
      <c r="X10" s="482"/>
      <c r="Y10" s="481"/>
      <c r="Z10" s="481"/>
      <c r="AA10" s="483"/>
      <c r="AB10" s="484"/>
      <c r="AC10" s="25"/>
      <c r="AD10" s="270"/>
      <c r="AE10" s="271"/>
      <c r="AF10" s="14"/>
      <c r="AG10" s="272"/>
      <c r="AH10" s="273"/>
      <c r="AI10" s="14"/>
      <c r="AJ10" s="28"/>
      <c r="AK10" s="274"/>
      <c r="AL10" s="273"/>
      <c r="AN10" s="163"/>
      <c r="AO10" s="164"/>
      <c r="AP10" s="173" t="s">
        <v>35</v>
      </c>
      <c r="AQ10" s="174" t="s">
        <v>134</v>
      </c>
      <c r="AR10" s="164"/>
      <c r="AS10" s="531" t="s">
        <v>25</v>
      </c>
      <c r="AT10" s="167"/>
      <c r="AV10" s="692" t="s">
        <v>138</v>
      </c>
    </row>
    <row r="11" spans="1:54" ht="21" customHeight="1" thickTop="1" thickBot="1" x14ac:dyDescent="0.4">
      <c r="A11" s="15"/>
      <c r="B11" s="25"/>
      <c r="C11" s="669"/>
      <c r="D11" s="672"/>
      <c r="E11" s="205"/>
      <c r="F11" s="612"/>
      <c r="G11" s="648"/>
      <c r="H11" s="674"/>
      <c r="I11" s="612"/>
      <c r="J11" s="21"/>
      <c r="K11" s="280"/>
      <c r="L11" s="412"/>
      <c r="M11" s="301"/>
      <c r="N11" s="308"/>
      <c r="O11" s="301"/>
      <c r="P11" s="301"/>
      <c r="Q11" s="301"/>
      <c r="R11" s="301"/>
      <c r="S11" s="301"/>
      <c r="T11" s="301"/>
      <c r="U11" s="268">
        <v>3</v>
      </c>
      <c r="V11" s="268"/>
      <c r="W11" s="481"/>
      <c r="X11" s="482"/>
      <c r="Y11" s="481"/>
      <c r="Z11" s="485"/>
      <c r="AA11" s="486"/>
      <c r="AB11" s="484"/>
      <c r="AC11" s="25"/>
      <c r="AD11" s="270">
        <v>3</v>
      </c>
      <c r="AE11" s="271"/>
      <c r="AF11" s="14"/>
      <c r="AG11" s="272">
        <f>ROUNDDOWN(AK11/AD11,-1)</f>
        <v>2030</v>
      </c>
      <c r="AH11" s="273"/>
      <c r="AI11" s="14"/>
      <c r="AJ11" s="28"/>
      <c r="AK11" s="274">
        <f>AQ14</f>
        <v>6100</v>
      </c>
      <c r="AL11" s="273">
        <f>BA16</f>
        <v>1850</v>
      </c>
      <c r="AN11" s="163"/>
      <c r="AO11" s="166" t="s">
        <v>36</v>
      </c>
      <c r="AP11" s="175">
        <v>0.04</v>
      </c>
      <c r="AQ11" s="176">
        <v>0.03</v>
      </c>
      <c r="AR11" s="177">
        <v>0.02</v>
      </c>
      <c r="AS11" s="532">
        <v>0</v>
      </c>
      <c r="AT11" s="167"/>
      <c r="AV11" s="692"/>
      <c r="AW11" s="693" t="s">
        <v>141</v>
      </c>
      <c r="AX11" s="694"/>
      <c r="AY11" s="695"/>
      <c r="AZ11" s="696" t="s">
        <v>142</v>
      </c>
      <c r="BA11" s="697"/>
      <c r="BB11" s="698"/>
    </row>
    <row r="12" spans="1:54" ht="21" customHeight="1" thickBot="1" x14ac:dyDescent="0.4">
      <c r="A12" s="16"/>
      <c r="B12" s="266"/>
      <c r="C12" s="669"/>
      <c r="D12" s="672"/>
      <c r="E12" s="206"/>
      <c r="F12" s="613"/>
      <c r="G12" s="648"/>
      <c r="H12" s="675"/>
      <c r="I12" s="613"/>
      <c r="J12" s="22"/>
      <c r="K12" s="281"/>
      <c r="L12" s="413"/>
      <c r="M12" s="301"/>
      <c r="N12" s="308"/>
      <c r="O12" s="301"/>
      <c r="P12" s="301"/>
      <c r="Q12" s="301"/>
      <c r="R12" s="301"/>
      <c r="S12" s="301"/>
      <c r="T12" s="301"/>
      <c r="U12" s="269"/>
      <c r="V12" s="269"/>
      <c r="W12" s="487" t="s">
        <v>150</v>
      </c>
      <c r="X12" s="488"/>
      <c r="Y12" s="489"/>
      <c r="Z12" s="490"/>
      <c r="AA12" s="487" t="s">
        <v>150</v>
      </c>
      <c r="AB12" s="487"/>
      <c r="AC12" s="25"/>
      <c r="AD12" s="270"/>
      <c r="AE12" s="271"/>
      <c r="AF12" s="14"/>
      <c r="AG12" s="272"/>
      <c r="AH12" s="273"/>
      <c r="AI12" s="14"/>
      <c r="AJ12" s="28"/>
      <c r="AK12" s="274"/>
      <c r="AL12" s="273"/>
      <c r="AM12" s="201">
        <v>10.87</v>
      </c>
      <c r="AN12" s="163"/>
      <c r="AO12" s="166" t="s">
        <v>37</v>
      </c>
      <c r="AP12" s="699" t="s">
        <v>38</v>
      </c>
      <c r="AQ12" s="700"/>
      <c r="AR12" s="700"/>
      <c r="AS12" s="701"/>
      <c r="AT12" s="167"/>
      <c r="AV12" s="536" t="s">
        <v>143</v>
      </c>
      <c r="AW12" s="537" t="s">
        <v>144</v>
      </c>
      <c r="AX12" s="538" t="s">
        <v>145</v>
      </c>
      <c r="AY12" s="539" t="s">
        <v>146</v>
      </c>
      <c r="AZ12" s="540" t="s">
        <v>144</v>
      </c>
      <c r="BA12" s="541" t="s">
        <v>147</v>
      </c>
      <c r="BB12" s="539" t="s">
        <v>146</v>
      </c>
    </row>
    <row r="13" spans="1:54" ht="21" customHeight="1" thickBot="1" x14ac:dyDescent="0.4">
      <c r="A13" s="32" t="s">
        <v>110</v>
      </c>
      <c r="B13" s="682">
        <v>3</v>
      </c>
      <c r="C13" s="669"/>
      <c r="D13" s="672"/>
      <c r="E13" s="207">
        <v>1659</v>
      </c>
      <c r="F13" s="524">
        <f>I13</f>
        <v>0.25946969696969696</v>
      </c>
      <c r="G13" s="649"/>
      <c r="H13" s="523">
        <f>1370</f>
        <v>1370</v>
      </c>
      <c r="I13" s="524">
        <f>H13/5280</f>
        <v>0.25946969696969696</v>
      </c>
      <c r="J13" s="499"/>
      <c r="K13" s="281">
        <v>0.5</v>
      </c>
      <c r="L13" s="413"/>
      <c r="M13" s="494"/>
      <c r="N13" s="495"/>
      <c r="O13" s="496"/>
      <c r="P13" s="497"/>
      <c r="Q13" s="496"/>
      <c r="R13" s="497"/>
      <c r="S13" s="496"/>
      <c r="T13" s="497"/>
      <c r="U13" s="93"/>
      <c r="V13" s="94"/>
      <c r="W13" s="33"/>
      <c r="X13" s="34"/>
      <c r="Y13" s="86"/>
      <c r="Z13" s="87"/>
      <c r="AA13" s="35"/>
      <c r="AB13" s="36"/>
      <c r="AC13" s="25"/>
      <c r="AD13" s="91"/>
      <c r="AE13" s="104"/>
      <c r="AF13" s="14"/>
      <c r="AG13" s="99"/>
      <c r="AH13" s="100"/>
      <c r="AI13" s="14"/>
      <c r="AJ13" s="28"/>
      <c r="AK13" s="197"/>
      <c r="AL13" s="100"/>
      <c r="AN13" s="163"/>
      <c r="AO13" s="166">
        <v>2</v>
      </c>
      <c r="AP13" s="178">
        <f>AS35</f>
        <v>4020</v>
      </c>
      <c r="AQ13" s="179">
        <f>ROUND(AP13*$AR$26*$AS$6/$AS$7,-1)</f>
        <v>3960</v>
      </c>
      <c r="AR13" s="180">
        <f>ROUND(AP13*$AS$5/$AS$7,-1)</f>
        <v>4060</v>
      </c>
      <c r="AS13" s="533">
        <f>ROUND(AP13*$AS$4/$AS$7,-1)</f>
        <v>4100</v>
      </c>
      <c r="AT13" s="167"/>
      <c r="AV13" s="542">
        <v>55</v>
      </c>
      <c r="AW13" s="543">
        <v>1550</v>
      </c>
      <c r="AX13" s="544">
        <v>1550</v>
      </c>
      <c r="AY13" s="545">
        <v>1750</v>
      </c>
      <c r="AZ13" s="546">
        <v>1550</v>
      </c>
      <c r="BA13" s="547">
        <v>1700</v>
      </c>
      <c r="BB13" s="545">
        <v>1900</v>
      </c>
    </row>
    <row r="14" spans="1:54" ht="21" customHeight="1" thickTop="1" thickBot="1" x14ac:dyDescent="0.4">
      <c r="A14" s="32"/>
      <c r="B14" s="683"/>
      <c r="C14" s="669"/>
      <c r="D14" s="672"/>
      <c r="E14" s="207"/>
      <c r="F14" s="614">
        <f>I14</f>
        <v>2.8598484848484853</v>
      </c>
      <c r="G14" s="645">
        <f>(E13-E19)/52.8</f>
        <v>1.0416666666666667</v>
      </c>
      <c r="H14" s="681"/>
      <c r="I14" s="614">
        <f>G14+G20+G25</f>
        <v>2.8598484848484853</v>
      </c>
      <c r="J14" s="499"/>
      <c r="K14" s="281"/>
      <c r="L14" s="413"/>
      <c r="M14" s="295"/>
      <c r="N14" s="309"/>
      <c r="O14" s="302"/>
      <c r="P14" s="298"/>
      <c r="Q14" s="302"/>
      <c r="R14" s="298"/>
      <c r="S14" s="302"/>
      <c r="T14" s="298"/>
      <c r="U14" s="93"/>
      <c r="V14" s="94"/>
      <c r="W14" s="51"/>
      <c r="X14" s="38"/>
      <c r="Y14" s="37"/>
      <c r="Z14" s="44"/>
      <c r="AA14" s="39"/>
      <c r="AB14" s="52"/>
      <c r="AC14" s="25"/>
      <c r="AD14" s="91"/>
      <c r="AE14" s="104"/>
      <c r="AF14" s="14"/>
      <c r="AG14" s="99"/>
      <c r="AH14" s="100"/>
      <c r="AI14" s="14"/>
      <c r="AJ14" s="28"/>
      <c r="AK14" s="197"/>
      <c r="AL14" s="100"/>
      <c r="AM14" s="201">
        <v>10.35</v>
      </c>
      <c r="AN14" s="163"/>
      <c r="AO14" s="166">
        <v>3</v>
      </c>
      <c r="AP14" s="178">
        <f t="shared" ref="AP14:AP17" si="0">AS36</f>
        <v>6200</v>
      </c>
      <c r="AQ14" s="179">
        <f>ROUND(AP14*$AR$26*$AS$6/$AS$7,-1)</f>
        <v>6100</v>
      </c>
      <c r="AR14" s="180">
        <f>ROUND(AP14*$AS$5/$AS$7,-1)</f>
        <v>6260</v>
      </c>
      <c r="AS14" s="533">
        <f>ROUND(AP14*$AS$4/$AS$7,-1)</f>
        <v>6330</v>
      </c>
      <c r="AT14" s="167"/>
      <c r="AV14" s="548">
        <v>60</v>
      </c>
      <c r="AW14" s="549">
        <v>1600</v>
      </c>
      <c r="AX14" s="550">
        <v>1600</v>
      </c>
      <c r="AY14" s="551">
        <v>1800</v>
      </c>
      <c r="AZ14" s="552">
        <v>1600</v>
      </c>
      <c r="BA14" s="553">
        <v>1750</v>
      </c>
      <c r="BB14" s="551">
        <v>1950</v>
      </c>
    </row>
    <row r="15" spans="1:54" ht="21" customHeight="1" thickBot="1" x14ac:dyDescent="0.4">
      <c r="A15" s="32"/>
      <c r="B15" s="683"/>
      <c r="C15" s="669"/>
      <c r="D15" s="672"/>
      <c r="E15" s="207"/>
      <c r="F15" s="614"/>
      <c r="G15" s="646"/>
      <c r="H15" s="681"/>
      <c r="I15" s="614"/>
      <c r="J15" s="499"/>
      <c r="K15" s="281"/>
      <c r="L15" s="413"/>
      <c r="M15" s="295"/>
      <c r="N15" s="309"/>
      <c r="O15" s="302"/>
      <c r="P15" s="298"/>
      <c r="Q15" s="302"/>
      <c r="R15" s="298"/>
      <c r="S15" s="302"/>
      <c r="T15" s="298"/>
      <c r="U15" s="93"/>
      <c r="V15" s="94"/>
      <c r="W15" s="51"/>
      <c r="X15" s="53"/>
      <c r="Y15" s="51"/>
      <c r="Z15" s="54"/>
      <c r="AA15" s="55"/>
      <c r="AB15" s="52"/>
      <c r="AC15" s="25"/>
      <c r="AD15" s="91"/>
      <c r="AE15" s="104"/>
      <c r="AF15" s="14"/>
      <c r="AG15" s="99"/>
      <c r="AH15" s="100"/>
      <c r="AI15" s="14"/>
      <c r="AJ15" s="28"/>
      <c r="AK15" s="197"/>
      <c r="AL15" s="100"/>
      <c r="AN15" s="163"/>
      <c r="AO15" s="166">
        <v>4</v>
      </c>
      <c r="AP15" s="178">
        <f t="shared" si="0"/>
        <v>8400</v>
      </c>
      <c r="AQ15" s="179">
        <f t="shared" ref="AQ15:AQ17" si="1">ROUND(AP15*$AR$26*$AS$6/$AS$7,-1)</f>
        <v>8270</v>
      </c>
      <c r="AR15" s="180">
        <f>ROUND(AP15*$AS$5/$AS$7,-1)</f>
        <v>8490</v>
      </c>
      <c r="AS15" s="533">
        <f>ROUND(AP15*$AS$4/$AS$7,-1)</f>
        <v>8570</v>
      </c>
      <c r="AT15" s="167"/>
      <c r="AV15" s="554">
        <v>65</v>
      </c>
      <c r="AW15" s="555">
        <v>1650</v>
      </c>
      <c r="AX15" s="556">
        <v>1650</v>
      </c>
      <c r="AY15" s="557">
        <v>1850</v>
      </c>
      <c r="AZ15" s="555">
        <v>1650</v>
      </c>
      <c r="BA15" s="553">
        <v>1800</v>
      </c>
      <c r="BB15" s="557">
        <v>2000</v>
      </c>
    </row>
    <row r="16" spans="1:54" ht="21" customHeight="1" x14ac:dyDescent="0.35">
      <c r="A16" s="32"/>
      <c r="B16" s="683"/>
      <c r="C16" s="669"/>
      <c r="D16" s="672"/>
      <c r="E16" s="207"/>
      <c r="F16" s="614"/>
      <c r="G16" s="646"/>
      <c r="H16" s="681"/>
      <c r="I16" s="614"/>
      <c r="J16" s="499"/>
      <c r="K16" s="281"/>
      <c r="L16" s="413"/>
      <c r="M16" s="295"/>
      <c r="N16" s="309"/>
      <c r="O16" s="302"/>
      <c r="P16" s="298"/>
      <c r="Q16" s="302"/>
      <c r="R16" s="298"/>
      <c r="S16" s="302"/>
      <c r="T16" s="298"/>
      <c r="U16" s="93"/>
      <c r="V16" s="94"/>
      <c r="W16" s="51"/>
      <c r="X16" s="53"/>
      <c r="Y16" s="51"/>
      <c r="Z16" s="54"/>
      <c r="AA16" s="55"/>
      <c r="AB16" s="52"/>
      <c r="AC16" s="25"/>
      <c r="AD16" s="91"/>
      <c r="AE16" s="104"/>
      <c r="AF16" s="14"/>
      <c r="AG16" s="99"/>
      <c r="AH16" s="100"/>
      <c r="AI16" s="14"/>
      <c r="AJ16" s="28"/>
      <c r="AK16" s="197"/>
      <c r="AL16" s="100"/>
      <c r="AN16" s="163"/>
      <c r="AO16" s="166">
        <v>5</v>
      </c>
      <c r="AP16" s="178">
        <f t="shared" si="0"/>
        <v>10580</v>
      </c>
      <c r="AQ16" s="179">
        <f t="shared" si="1"/>
        <v>10410</v>
      </c>
      <c r="AR16" s="180">
        <f>ROUND(AP16*$AS$5/$AS$7,-1)</f>
        <v>10690</v>
      </c>
      <c r="AS16" s="533">
        <f>ROUND(AP16*$AS$4/$AS$7,-1)</f>
        <v>10800</v>
      </c>
      <c r="AT16" s="167"/>
      <c r="AV16" s="542">
        <v>70</v>
      </c>
      <c r="AW16" s="543">
        <v>1700</v>
      </c>
      <c r="AX16" s="544">
        <v>1700</v>
      </c>
      <c r="AY16" s="545">
        <v>1900</v>
      </c>
      <c r="AZ16" s="546">
        <v>1700</v>
      </c>
      <c r="BA16" s="547">
        <v>1850</v>
      </c>
      <c r="BB16" s="545">
        <v>2050</v>
      </c>
    </row>
    <row r="17" spans="1:54" ht="21" customHeight="1" thickBot="1" x14ac:dyDescent="0.4">
      <c r="A17" s="32"/>
      <c r="B17" s="683"/>
      <c r="C17" s="669"/>
      <c r="D17" s="672"/>
      <c r="E17" s="207"/>
      <c r="F17" s="614"/>
      <c r="G17" s="646"/>
      <c r="H17" s="681"/>
      <c r="I17" s="614"/>
      <c r="J17" s="499"/>
      <c r="K17" s="281"/>
      <c r="L17" s="413"/>
      <c r="M17" s="295"/>
      <c r="N17" s="309"/>
      <c r="O17" s="302"/>
      <c r="P17" s="298"/>
      <c r="Q17" s="302"/>
      <c r="R17" s="298"/>
      <c r="S17" s="302"/>
      <c r="T17" s="298"/>
      <c r="U17" s="93"/>
      <c r="V17" s="94"/>
      <c r="W17" s="51"/>
      <c r="X17" s="53"/>
      <c r="Y17" s="51"/>
      <c r="Z17" s="54"/>
      <c r="AA17" s="55"/>
      <c r="AB17" s="52"/>
      <c r="AC17" s="25"/>
      <c r="AD17" s="91"/>
      <c r="AE17" s="104"/>
      <c r="AF17" s="14"/>
      <c r="AG17" s="99"/>
      <c r="AH17" s="100"/>
      <c r="AI17" s="14"/>
      <c r="AJ17" s="28"/>
      <c r="AK17" s="197"/>
      <c r="AL17" s="100"/>
      <c r="AN17" s="163"/>
      <c r="AO17" s="166">
        <v>6</v>
      </c>
      <c r="AP17" s="178">
        <f t="shared" si="0"/>
        <v>12780</v>
      </c>
      <c r="AQ17" s="179">
        <f t="shared" si="1"/>
        <v>12580</v>
      </c>
      <c r="AR17" s="180">
        <f>ROUND(AP17*$AS$5/$AS$7,-1)</f>
        <v>12910</v>
      </c>
      <c r="AS17" s="533">
        <f>ROUND(AP17*$AS$4/$AS$7,-1)</f>
        <v>13040</v>
      </c>
      <c r="AT17" s="167"/>
      <c r="AV17" s="558">
        <v>75</v>
      </c>
      <c r="AW17" s="559">
        <v>1750</v>
      </c>
      <c r="AX17" s="560">
        <v>1750</v>
      </c>
      <c r="AY17" s="561">
        <v>1950</v>
      </c>
      <c r="AZ17" s="562">
        <v>1750</v>
      </c>
      <c r="BA17" s="563">
        <v>1900</v>
      </c>
      <c r="BB17" s="561">
        <v>2100</v>
      </c>
    </row>
    <row r="18" spans="1:54" ht="21" customHeight="1" thickTop="1" x14ac:dyDescent="0.35">
      <c r="A18" s="32"/>
      <c r="B18" s="683"/>
      <c r="C18" s="669"/>
      <c r="D18" s="672"/>
      <c r="E18" s="207"/>
      <c r="F18" s="614"/>
      <c r="G18" s="646"/>
      <c r="H18" s="681"/>
      <c r="I18" s="614"/>
      <c r="J18" s="499"/>
      <c r="K18" s="281"/>
      <c r="L18" s="413"/>
      <c r="M18" s="295"/>
      <c r="N18" s="309"/>
      <c r="O18" s="302"/>
      <c r="P18" s="298"/>
      <c r="Q18" s="302"/>
      <c r="R18" s="298"/>
      <c r="S18" s="302"/>
      <c r="T18" s="298"/>
      <c r="U18" s="93"/>
      <c r="V18" s="94"/>
      <c r="W18" s="40"/>
      <c r="X18" s="41"/>
      <c r="Y18" s="40"/>
      <c r="Z18" s="42"/>
      <c r="AA18" s="43"/>
      <c r="AB18" s="49"/>
      <c r="AC18" s="25"/>
      <c r="AD18" s="91"/>
      <c r="AE18" s="104"/>
      <c r="AF18" s="14"/>
      <c r="AG18" s="99"/>
      <c r="AH18" s="100"/>
      <c r="AI18" s="14"/>
      <c r="AJ18" s="28"/>
      <c r="AK18" s="197"/>
      <c r="AL18" s="100"/>
      <c r="AN18" s="163"/>
      <c r="AO18" s="164" t="s">
        <v>39</v>
      </c>
      <c r="AP18" s="164">
        <v>1000</v>
      </c>
      <c r="AQ18" s="164">
        <v>1000</v>
      </c>
      <c r="AR18" s="164"/>
      <c r="AS18" s="164"/>
      <c r="AT18" s="167"/>
    </row>
    <row r="19" spans="1:54" ht="21" customHeight="1" x14ac:dyDescent="0.35">
      <c r="A19" s="32" t="s">
        <v>1</v>
      </c>
      <c r="B19" s="683"/>
      <c r="C19" s="669"/>
      <c r="D19" s="672"/>
      <c r="E19" s="207">
        <v>1604</v>
      </c>
      <c r="F19" s="614"/>
      <c r="G19" s="647"/>
      <c r="H19" s="681"/>
      <c r="I19" s="614"/>
      <c r="J19" s="499"/>
      <c r="K19" s="281">
        <v>0.75</v>
      </c>
      <c r="L19" s="413">
        <v>0.25</v>
      </c>
      <c r="M19" s="315">
        <f>K19/(G14+G20)</f>
        <v>0.38823529411764701</v>
      </c>
      <c r="N19" s="316">
        <f>M19</f>
        <v>0.38823529411764701</v>
      </c>
      <c r="O19" s="302">
        <f>(K19)/(SUM(I13:I32)+((I33)/2))</f>
        <v>0.15557247035136393</v>
      </c>
      <c r="P19" s="298">
        <f>(K19)/(SUM(I13:I32)+((I33)/2))</f>
        <v>0.15557247035136393</v>
      </c>
      <c r="Q19" s="302">
        <f>(L19)/(SUM(I13:I32)+((I33)/2))</f>
        <v>5.1857490117121305E-2</v>
      </c>
      <c r="R19" s="302">
        <f>(L19)/(SUM(I13:I32)+((I33)/2))</f>
        <v>5.1857490117121305E-2</v>
      </c>
      <c r="S19" s="302">
        <f>O19+Q19</f>
        <v>0.20742996046848522</v>
      </c>
      <c r="T19" s="302">
        <f>P19+R19</f>
        <v>0.20742996046848522</v>
      </c>
      <c r="U19" s="93">
        <v>3</v>
      </c>
      <c r="V19" s="94">
        <v>1</v>
      </c>
      <c r="W19" s="580">
        <f>SUM(F13:F31)</f>
        <v>4.1408617424242431</v>
      </c>
      <c r="X19" s="46"/>
      <c r="Y19" s="45"/>
      <c r="Z19" s="47"/>
      <c r="AA19" s="48"/>
      <c r="AB19" s="580">
        <f>SUM(I13:I31)</f>
        <v>4.1408617424242431</v>
      </c>
      <c r="AC19" s="25"/>
      <c r="AD19" s="91">
        <v>3</v>
      </c>
      <c r="AE19" s="104">
        <v>1</v>
      </c>
      <c r="AF19" s="14"/>
      <c r="AG19" s="99">
        <f>ROUNDDOWN(AK19/AD19,-1)</f>
        <v>2030</v>
      </c>
      <c r="AH19" s="100">
        <f>ROUNDDOWN(AL19/AE19,-1)</f>
        <v>1850</v>
      </c>
      <c r="AI19" s="14"/>
      <c r="AJ19" s="28"/>
      <c r="AK19" s="197">
        <f>ROUND(AQ14,-1)</f>
        <v>6100</v>
      </c>
      <c r="AL19" s="100">
        <f>AL11</f>
        <v>1850</v>
      </c>
      <c r="AM19" s="201">
        <v>9.5269999999999992</v>
      </c>
      <c r="AN19" s="163"/>
      <c r="AO19" s="164"/>
      <c r="AP19" s="164"/>
      <c r="AQ19" s="164"/>
      <c r="AR19" s="164"/>
      <c r="AS19" s="164"/>
      <c r="AT19" s="167"/>
    </row>
    <row r="20" spans="1:54" ht="21" customHeight="1" x14ac:dyDescent="0.35">
      <c r="A20" s="32"/>
      <c r="B20" s="683"/>
      <c r="C20" s="669"/>
      <c r="D20" s="672"/>
      <c r="E20" s="207"/>
      <c r="F20" s="614"/>
      <c r="G20" s="645">
        <f>(E19-E24)/52.8</f>
        <v>0.89015151515151525</v>
      </c>
      <c r="H20" s="681"/>
      <c r="I20" s="614"/>
      <c r="J20" s="500" t="s">
        <v>54</v>
      </c>
      <c r="K20" s="281"/>
      <c r="L20" s="413"/>
      <c r="M20" s="295"/>
      <c r="N20" s="309"/>
      <c r="O20" s="476">
        <f>(SUM(I13:I32)+((I33)/2))</f>
        <v>4.8209043560606073</v>
      </c>
      <c r="P20" s="476">
        <f>(SUM(I13:I32)+((I33)/2))</f>
        <v>4.8209043560606073</v>
      </c>
      <c r="Q20" s="302"/>
      <c r="R20" s="298"/>
      <c r="S20" s="302"/>
      <c r="T20" s="298"/>
      <c r="U20" s="93"/>
      <c r="V20" s="94"/>
      <c r="W20" s="45"/>
      <c r="X20" s="46"/>
      <c r="Y20" s="45"/>
      <c r="Z20" s="47"/>
      <c r="AA20" s="48"/>
      <c r="AB20" s="45"/>
      <c r="AC20" s="25"/>
      <c r="AD20" s="91"/>
      <c r="AE20" s="104"/>
      <c r="AF20" s="14"/>
      <c r="AG20" s="99"/>
      <c r="AH20" s="100"/>
      <c r="AI20" s="14"/>
      <c r="AJ20" s="28"/>
      <c r="AK20" s="197"/>
      <c r="AL20" s="100"/>
      <c r="AN20" s="163"/>
      <c r="AO20" s="164"/>
      <c r="AP20" s="164"/>
      <c r="AQ20" s="164"/>
      <c r="AR20" s="164"/>
      <c r="AS20" s="164"/>
      <c r="AT20" s="167"/>
    </row>
    <row r="21" spans="1:54" ht="21" customHeight="1" x14ac:dyDescent="0.35">
      <c r="A21" s="32"/>
      <c r="B21" s="683"/>
      <c r="C21" s="669"/>
      <c r="D21" s="672"/>
      <c r="E21" s="207"/>
      <c r="F21" s="614"/>
      <c r="G21" s="646"/>
      <c r="H21" s="681"/>
      <c r="I21" s="614"/>
      <c r="J21" s="501">
        <f>1.25/I14</f>
        <v>0.43708609271523174</v>
      </c>
      <c r="K21" s="281"/>
      <c r="L21" s="413"/>
      <c r="M21" s="295"/>
      <c r="N21" s="309"/>
      <c r="O21" s="302"/>
      <c r="P21" s="298"/>
      <c r="Q21" s="302"/>
      <c r="R21" s="298"/>
      <c r="S21" s="302"/>
      <c r="T21" s="298"/>
      <c r="U21" s="93"/>
      <c r="V21" s="94"/>
      <c r="W21" s="45"/>
      <c r="X21" s="46"/>
      <c r="Y21" s="45"/>
      <c r="Z21" s="47"/>
      <c r="AA21" s="48"/>
      <c r="AB21" s="45"/>
      <c r="AC21" s="25"/>
      <c r="AD21" s="91"/>
      <c r="AE21" s="104"/>
      <c r="AF21" s="14"/>
      <c r="AG21" s="99"/>
      <c r="AH21" s="100"/>
      <c r="AI21" s="14"/>
      <c r="AJ21" s="28"/>
      <c r="AK21" s="197"/>
      <c r="AL21" s="100"/>
      <c r="AN21" s="163"/>
      <c r="AO21" s="164"/>
      <c r="AP21" s="173" t="s">
        <v>40</v>
      </c>
      <c r="AQ21" s="164"/>
      <c r="AR21" s="164"/>
      <c r="AS21" s="164"/>
      <c r="AT21" s="167"/>
    </row>
    <row r="22" spans="1:54" ht="21" customHeight="1" x14ac:dyDescent="0.35">
      <c r="A22" s="32"/>
      <c r="B22" s="683"/>
      <c r="C22" s="669"/>
      <c r="D22" s="672"/>
      <c r="E22" s="207"/>
      <c r="F22" s="614"/>
      <c r="G22" s="646"/>
      <c r="H22" s="681"/>
      <c r="I22" s="614"/>
      <c r="J22" s="500" t="s">
        <v>53</v>
      </c>
      <c r="K22" s="281"/>
      <c r="L22" s="413"/>
      <c r="M22" s="295"/>
      <c r="N22" s="309"/>
      <c r="O22" s="302"/>
      <c r="P22" s="298"/>
      <c r="Q22" s="302"/>
      <c r="R22" s="298"/>
      <c r="S22" s="302"/>
      <c r="T22" s="298"/>
      <c r="U22" s="93"/>
      <c r="V22" s="94"/>
      <c r="W22" s="45"/>
      <c r="X22" s="46"/>
      <c r="Y22" s="45"/>
      <c r="Z22" s="47"/>
      <c r="AA22" s="48"/>
      <c r="AB22" s="45"/>
      <c r="AC22" s="25"/>
      <c r="AD22" s="91"/>
      <c r="AE22" s="104"/>
      <c r="AF22" s="14"/>
      <c r="AG22" s="99"/>
      <c r="AH22" s="100"/>
      <c r="AI22" s="14"/>
      <c r="AJ22" s="28"/>
      <c r="AK22" s="197"/>
      <c r="AL22" s="100"/>
      <c r="AN22" s="163"/>
      <c r="AO22" s="164"/>
      <c r="AP22" s="173" t="s">
        <v>41</v>
      </c>
      <c r="AQ22" s="173" t="s">
        <v>42</v>
      </c>
      <c r="AR22" s="164"/>
      <c r="AS22" s="164"/>
      <c r="AT22" s="181"/>
    </row>
    <row r="23" spans="1:54" ht="21" customHeight="1" x14ac:dyDescent="0.35">
      <c r="A23" s="32"/>
      <c r="B23" s="683"/>
      <c r="C23" s="669"/>
      <c r="D23" s="672"/>
      <c r="E23" s="207"/>
      <c r="F23" s="614"/>
      <c r="G23" s="646"/>
      <c r="H23" s="681"/>
      <c r="I23" s="614"/>
      <c r="J23" s="501">
        <f>1.25/I14</f>
        <v>0.43708609271523174</v>
      </c>
      <c r="K23" s="281"/>
      <c r="L23" s="413"/>
      <c r="M23" s="295"/>
      <c r="N23" s="309"/>
      <c r="O23" s="302"/>
      <c r="P23" s="298"/>
      <c r="Q23" s="302"/>
      <c r="R23" s="298"/>
      <c r="S23" s="302"/>
      <c r="T23" s="298"/>
      <c r="U23" s="93"/>
      <c r="V23" s="94"/>
      <c r="W23" s="45"/>
      <c r="X23" s="46"/>
      <c r="Y23" s="45"/>
      <c r="Z23" s="47"/>
      <c r="AA23" s="48"/>
      <c r="AB23" s="88"/>
      <c r="AC23" s="25"/>
      <c r="AD23" s="91"/>
      <c r="AE23" s="104"/>
      <c r="AF23" s="14"/>
      <c r="AG23" s="99"/>
      <c r="AH23" s="100"/>
      <c r="AI23" s="14"/>
      <c r="AJ23" s="28"/>
      <c r="AK23" s="197"/>
      <c r="AL23" s="100"/>
      <c r="AN23" s="163"/>
      <c r="AO23" s="166" t="s">
        <v>36</v>
      </c>
      <c r="AP23" s="177">
        <v>0.03</v>
      </c>
      <c r="AQ23" s="177">
        <v>0.03</v>
      </c>
      <c r="AR23" s="177" t="s">
        <v>43</v>
      </c>
      <c r="AS23" s="177"/>
      <c r="AT23" s="182"/>
    </row>
    <row r="24" spans="1:54" ht="21" customHeight="1" thickBot="1" x14ac:dyDescent="0.4">
      <c r="A24" s="32" t="s">
        <v>4</v>
      </c>
      <c r="B24" s="683"/>
      <c r="C24" s="669"/>
      <c r="D24" s="672"/>
      <c r="E24" s="207">
        <v>1557</v>
      </c>
      <c r="F24" s="614"/>
      <c r="G24" s="647"/>
      <c r="H24" s="681"/>
      <c r="I24" s="614"/>
      <c r="J24" s="499"/>
      <c r="K24" s="281"/>
      <c r="L24" s="413"/>
      <c r="M24" s="367">
        <f>(K19+K33)/(((I13+I31+I30)/1)+I14+I33)</f>
        <v>0.25912838633686691</v>
      </c>
      <c r="N24" s="309"/>
      <c r="O24" s="302"/>
      <c r="P24" s="298"/>
      <c r="Q24" s="302"/>
      <c r="R24" s="298"/>
      <c r="S24" s="302"/>
      <c r="T24" s="298"/>
      <c r="U24" s="93"/>
      <c r="V24" s="94"/>
      <c r="W24" s="33"/>
      <c r="X24" s="34"/>
      <c r="Y24" s="33"/>
      <c r="Z24" s="50"/>
      <c r="AA24" s="35"/>
      <c r="AB24" s="36"/>
      <c r="AC24" s="25"/>
      <c r="AD24" s="91"/>
      <c r="AE24" s="104"/>
      <c r="AF24" s="14"/>
      <c r="AG24" s="99"/>
      <c r="AH24" s="100"/>
      <c r="AI24" s="14"/>
      <c r="AJ24" s="28"/>
      <c r="AK24" s="197"/>
      <c r="AL24" s="100"/>
      <c r="AM24" s="201">
        <v>8.9139999999999997</v>
      </c>
      <c r="AN24" s="163"/>
      <c r="AO24" s="166" t="s">
        <v>37</v>
      </c>
      <c r="AP24" s="699" t="s">
        <v>38</v>
      </c>
      <c r="AQ24" s="700"/>
      <c r="AR24" s="700"/>
      <c r="AS24" s="701"/>
      <c r="AT24" s="167"/>
    </row>
    <row r="25" spans="1:54" ht="21" customHeight="1" thickTop="1" x14ac:dyDescent="0.35">
      <c r="A25" s="32"/>
      <c r="B25" s="683"/>
      <c r="C25" s="669"/>
      <c r="D25" s="672"/>
      <c r="E25" s="207"/>
      <c r="F25" s="614"/>
      <c r="G25" s="645">
        <f>(E24-E29)/52.8</f>
        <v>0.92803030303030309</v>
      </c>
      <c r="H25" s="681"/>
      <c r="I25" s="614"/>
      <c r="J25" s="499"/>
      <c r="K25" s="281"/>
      <c r="L25" s="413"/>
      <c r="M25" s="295"/>
      <c r="N25" s="309"/>
      <c r="O25" s="302"/>
      <c r="P25" s="298"/>
      <c r="Q25" s="302"/>
      <c r="R25" s="298"/>
      <c r="S25" s="302"/>
      <c r="T25" s="298"/>
      <c r="U25" s="93"/>
      <c r="V25" s="94"/>
      <c r="W25" s="51"/>
      <c r="X25" s="38"/>
      <c r="Y25" s="37"/>
      <c r="Z25" s="44"/>
      <c r="AA25" s="39"/>
      <c r="AB25" s="52"/>
      <c r="AC25" s="25"/>
      <c r="AD25" s="91"/>
      <c r="AE25" s="104"/>
      <c r="AF25" s="14"/>
      <c r="AG25" s="99"/>
      <c r="AH25" s="100"/>
      <c r="AI25" s="14"/>
      <c r="AJ25" s="28"/>
      <c r="AK25" s="197"/>
      <c r="AL25" s="100"/>
      <c r="AM25" s="201">
        <v>8.4670000000000005</v>
      </c>
      <c r="AN25" s="163"/>
      <c r="AO25" s="166">
        <v>2</v>
      </c>
      <c r="AP25" s="183">
        <v>4493</v>
      </c>
      <c r="AQ25" s="183">
        <v>4399</v>
      </c>
      <c r="AR25" s="184">
        <f>AQ25/AP25</f>
        <v>0.97907856665924775</v>
      </c>
      <c r="AS25" s="180"/>
      <c r="AT25" s="185"/>
    </row>
    <row r="26" spans="1:54" ht="21" customHeight="1" x14ac:dyDescent="0.35">
      <c r="A26" s="32"/>
      <c r="B26" s="683"/>
      <c r="C26" s="669"/>
      <c r="D26" s="672"/>
      <c r="E26" s="207"/>
      <c r="F26" s="614"/>
      <c r="G26" s="646"/>
      <c r="H26" s="681"/>
      <c r="I26" s="614"/>
      <c r="J26" s="499"/>
      <c r="K26" s="281"/>
      <c r="L26" s="413"/>
      <c r="M26" s="295"/>
      <c r="N26" s="309"/>
      <c r="O26" s="302"/>
      <c r="P26" s="298"/>
      <c r="Q26" s="302"/>
      <c r="R26" s="298"/>
      <c r="S26" s="302"/>
      <c r="T26" s="298"/>
      <c r="U26" s="93"/>
      <c r="V26" s="94"/>
      <c r="W26" s="51"/>
      <c r="X26" s="53"/>
      <c r="Y26" s="51"/>
      <c r="Z26" s="54"/>
      <c r="AA26" s="55"/>
      <c r="AB26" s="52"/>
      <c r="AC26" s="25"/>
      <c r="AD26" s="91"/>
      <c r="AE26" s="104"/>
      <c r="AF26" s="14"/>
      <c r="AG26" s="99"/>
      <c r="AH26" s="100"/>
      <c r="AI26" s="14"/>
      <c r="AJ26" s="28"/>
      <c r="AK26" s="197"/>
      <c r="AL26" s="100"/>
      <c r="AN26" s="163"/>
      <c r="AO26" s="166">
        <v>3</v>
      </c>
      <c r="AP26" s="183">
        <v>6740</v>
      </c>
      <c r="AQ26" s="183">
        <v>6599</v>
      </c>
      <c r="AR26" s="184">
        <f>AQ26/AP26</f>
        <v>0.97908011869436207</v>
      </c>
      <c r="AS26" s="180"/>
      <c r="AT26" s="185"/>
    </row>
    <row r="27" spans="1:54" ht="21" customHeight="1" x14ac:dyDescent="0.35">
      <c r="A27" s="32"/>
      <c r="B27" s="683"/>
      <c r="C27" s="669"/>
      <c r="D27" s="672"/>
      <c r="E27" s="207"/>
      <c r="F27" s="614"/>
      <c r="G27" s="646"/>
      <c r="H27" s="681"/>
      <c r="I27" s="614"/>
      <c r="J27" s="499"/>
      <c r="K27" s="281"/>
      <c r="L27" s="413"/>
      <c r="M27" s="315">
        <f>(K19+K29)/(G14+G20+G25)</f>
        <v>0.3496688741721854</v>
      </c>
      <c r="N27" s="316">
        <f>M27</f>
        <v>0.3496688741721854</v>
      </c>
      <c r="O27" s="302"/>
      <c r="P27" s="298"/>
      <c r="Q27" s="302"/>
      <c r="R27" s="298"/>
      <c r="S27" s="302"/>
      <c r="T27" s="298"/>
      <c r="U27" s="93">
        <v>3</v>
      </c>
      <c r="V27" s="94">
        <v>1</v>
      </c>
      <c r="W27" s="51"/>
      <c r="X27" s="53"/>
      <c r="Y27" s="51"/>
      <c r="Z27" s="54"/>
      <c r="AA27" s="55"/>
      <c r="AB27" s="52"/>
      <c r="AC27" s="25"/>
      <c r="AD27" s="91">
        <v>3</v>
      </c>
      <c r="AE27" s="104">
        <v>1</v>
      </c>
      <c r="AF27" s="14"/>
      <c r="AG27" s="99">
        <f>ROUNDDOWN(AK27/AD27,-1)</f>
        <v>2030</v>
      </c>
      <c r="AH27" s="100">
        <f>ROUNDDOWN(AL27/AE27,-1)</f>
        <v>1850</v>
      </c>
      <c r="AI27" s="14"/>
      <c r="AJ27" s="28"/>
      <c r="AK27" s="197">
        <f>AK19</f>
        <v>6100</v>
      </c>
      <c r="AL27" s="100">
        <f>AL19</f>
        <v>1850</v>
      </c>
      <c r="AN27" s="163"/>
      <c r="AO27" s="166">
        <v>4</v>
      </c>
      <c r="AP27" s="183">
        <v>8987</v>
      </c>
      <c r="AQ27" s="183">
        <v>8799</v>
      </c>
      <c r="AR27" s="184">
        <f>AQ27/AP27</f>
        <v>0.97908089462557024</v>
      </c>
      <c r="AS27" s="180"/>
      <c r="AT27" s="185"/>
    </row>
    <row r="28" spans="1:54" ht="21" customHeight="1" x14ac:dyDescent="0.35">
      <c r="A28" s="32"/>
      <c r="B28" s="683"/>
      <c r="C28" s="669"/>
      <c r="D28" s="672"/>
      <c r="E28" s="207"/>
      <c r="F28" s="614"/>
      <c r="G28" s="646"/>
      <c r="H28" s="681"/>
      <c r="I28" s="614"/>
      <c r="J28" s="499"/>
      <c r="K28" s="281"/>
      <c r="L28" s="413"/>
      <c r="M28" s="295"/>
      <c r="N28" s="309"/>
      <c r="O28" s="302"/>
      <c r="P28" s="298"/>
      <c r="Q28" s="302"/>
      <c r="R28" s="298"/>
      <c r="S28" s="302"/>
      <c r="T28" s="298"/>
      <c r="U28" s="93"/>
      <c r="V28" s="94"/>
      <c r="W28" s="40"/>
      <c r="X28" s="41"/>
      <c r="Y28" s="40"/>
      <c r="Z28" s="42"/>
      <c r="AA28" s="43"/>
      <c r="AB28" s="40"/>
      <c r="AC28" s="25"/>
      <c r="AD28" s="91"/>
      <c r="AE28" s="104"/>
      <c r="AF28" s="14"/>
      <c r="AG28" s="99"/>
      <c r="AH28" s="100"/>
      <c r="AI28" s="14"/>
      <c r="AJ28" s="28"/>
      <c r="AK28" s="197"/>
      <c r="AL28" s="100"/>
      <c r="AN28" s="163"/>
      <c r="AO28" s="166">
        <v>5</v>
      </c>
      <c r="AP28" s="180">
        <v>11233</v>
      </c>
      <c r="AQ28" s="180">
        <v>10999</v>
      </c>
      <c r="AR28" s="184"/>
      <c r="AS28" s="180"/>
      <c r="AT28" s="185"/>
    </row>
    <row r="29" spans="1:54" ht="21" customHeight="1" thickBot="1" x14ac:dyDescent="0.4">
      <c r="A29" s="32" t="s">
        <v>5</v>
      </c>
      <c r="B29" s="683"/>
      <c r="C29" s="669"/>
      <c r="D29" s="672"/>
      <c r="E29" s="207">
        <v>1508</v>
      </c>
      <c r="F29" s="614"/>
      <c r="G29" s="647"/>
      <c r="H29" s="681"/>
      <c r="I29" s="614"/>
      <c r="J29" s="499"/>
      <c r="K29" s="281">
        <v>0.25</v>
      </c>
      <c r="L29" s="413"/>
      <c r="M29" s="295">
        <f>K29/(G25)</f>
        <v>0.26938775510204077</v>
      </c>
      <c r="N29" s="309">
        <f>M29</f>
        <v>0.26938775510204077</v>
      </c>
      <c r="O29" s="302"/>
      <c r="P29" s="298"/>
      <c r="Q29" s="302"/>
      <c r="R29" s="298"/>
      <c r="S29" s="302"/>
      <c r="T29" s="298"/>
      <c r="U29" s="93"/>
      <c r="V29" s="94"/>
      <c r="W29" s="33"/>
      <c r="X29" s="34"/>
      <c r="Y29" s="33"/>
      <c r="Z29" s="50"/>
      <c r="AA29" s="35"/>
      <c r="AB29" s="36"/>
      <c r="AC29" s="25"/>
      <c r="AD29" s="91"/>
      <c r="AE29" s="104"/>
      <c r="AF29" s="14"/>
      <c r="AG29" s="99"/>
      <c r="AH29" s="100"/>
      <c r="AI29" s="14"/>
      <c r="AJ29" s="28"/>
      <c r="AK29" s="197"/>
      <c r="AL29" s="100"/>
      <c r="AM29" s="201">
        <v>7.891</v>
      </c>
      <c r="AN29" s="163"/>
      <c r="AO29" s="166">
        <v>6</v>
      </c>
      <c r="AP29" s="180"/>
      <c r="AQ29" s="180"/>
      <c r="AR29" s="184"/>
      <c r="AS29" s="180"/>
      <c r="AT29" s="186"/>
    </row>
    <row r="30" spans="1:54" ht="21" customHeight="1" thickTop="1" x14ac:dyDescent="0.35">
      <c r="A30" s="32"/>
      <c r="B30" s="683"/>
      <c r="C30" s="669"/>
      <c r="D30" s="672"/>
      <c r="E30" s="207"/>
      <c r="F30" s="564">
        <f>I30</f>
        <v>0.68300189393939392</v>
      </c>
      <c r="G30" s="645">
        <f>I30+I31</f>
        <v>1.0215435606060606</v>
      </c>
      <c r="H30" s="572"/>
      <c r="I30" s="564">
        <f>I33</f>
        <v>0.68300189393939392</v>
      </c>
      <c r="J30" s="499"/>
      <c r="K30" s="281"/>
      <c r="L30" s="413"/>
      <c r="M30" s="295"/>
      <c r="N30" s="309"/>
      <c r="O30" s="302"/>
      <c r="P30" s="298"/>
      <c r="Q30" s="302"/>
      <c r="R30" s="298"/>
      <c r="S30" s="302"/>
      <c r="T30" s="298"/>
      <c r="U30" s="93"/>
      <c r="V30" s="94"/>
      <c r="W30" s="573"/>
      <c r="X30" s="38"/>
      <c r="Y30" s="37"/>
      <c r="Z30" s="44"/>
      <c r="AA30" s="39"/>
      <c r="AB30" s="52"/>
      <c r="AC30" s="25"/>
      <c r="AD30" s="91"/>
      <c r="AE30" s="104"/>
      <c r="AF30" s="14"/>
      <c r="AG30" s="99"/>
      <c r="AH30" s="100"/>
      <c r="AI30" s="14"/>
      <c r="AJ30" s="28"/>
      <c r="AK30" s="197"/>
      <c r="AL30" s="100"/>
      <c r="AM30" s="201">
        <v>7.51</v>
      </c>
      <c r="AN30" s="163"/>
      <c r="AO30" s="165"/>
      <c r="AP30" s="187"/>
      <c r="AQ30" s="187"/>
      <c r="AR30" s="188"/>
      <c r="AS30" s="187"/>
      <c r="AT30" s="186"/>
    </row>
    <row r="31" spans="1:54" ht="21" customHeight="1" x14ac:dyDescent="0.35">
      <c r="A31" s="509" t="s">
        <v>137</v>
      </c>
      <c r="B31" s="683"/>
      <c r="C31" s="669"/>
      <c r="D31" s="672"/>
      <c r="E31" s="207"/>
      <c r="F31" s="581">
        <f>I31</f>
        <v>0.33854166666666669</v>
      </c>
      <c r="G31" s="646"/>
      <c r="H31" s="689">
        <f>3575</f>
        <v>3575</v>
      </c>
      <c r="I31" s="581">
        <f>(H31/5280)/2</f>
        <v>0.33854166666666669</v>
      </c>
      <c r="J31" s="499"/>
      <c r="K31" s="281"/>
      <c r="L31" s="413"/>
      <c r="M31" s="315">
        <f>(K19+K33)/(G14+G20+G25+G30-I33)</f>
        <v>0.39082161361954104</v>
      </c>
      <c r="N31" s="316">
        <f>M31</f>
        <v>0.39082161361954104</v>
      </c>
      <c r="O31" s="302"/>
      <c r="P31" s="298"/>
      <c r="Q31" s="302"/>
      <c r="R31" s="298"/>
      <c r="S31" s="302"/>
      <c r="T31" s="298"/>
      <c r="U31" s="93"/>
      <c r="V31" s="94"/>
      <c r="W31" s="574"/>
      <c r="X31" s="53"/>
      <c r="Y31" s="565"/>
      <c r="Z31" s="566"/>
      <c r="AA31" s="55"/>
      <c r="AB31" s="52"/>
      <c r="AC31" s="25"/>
      <c r="AD31" s="91"/>
      <c r="AE31" s="104"/>
      <c r="AF31" s="14"/>
      <c r="AG31" s="99"/>
      <c r="AH31" s="100"/>
      <c r="AI31" s="14"/>
      <c r="AJ31" s="28"/>
      <c r="AK31" s="197"/>
      <c r="AL31" s="100"/>
      <c r="AN31" s="163"/>
      <c r="AO31" s="189"/>
      <c r="AP31" s="189"/>
      <c r="AQ31" s="189"/>
      <c r="AR31" s="189"/>
      <c r="AS31" s="189"/>
      <c r="AT31" s="186"/>
    </row>
    <row r="32" spans="1:54" ht="21" customHeight="1" x14ac:dyDescent="0.35">
      <c r="A32" s="32"/>
      <c r="B32" s="684"/>
      <c r="C32" s="669"/>
      <c r="D32" s="672"/>
      <c r="E32" s="207"/>
      <c r="F32" s="582">
        <f>F31</f>
        <v>0.33854166666666669</v>
      </c>
      <c r="G32" s="647"/>
      <c r="H32" s="690"/>
      <c r="I32" s="582">
        <f>I31</f>
        <v>0.33854166666666669</v>
      </c>
      <c r="J32" s="499"/>
      <c r="K32" s="281"/>
      <c r="L32" s="413"/>
      <c r="M32" s="295"/>
      <c r="N32" s="309"/>
      <c r="O32" s="302"/>
      <c r="P32" s="298"/>
      <c r="Q32" s="302"/>
      <c r="R32" s="298"/>
      <c r="S32" s="302"/>
      <c r="T32" s="298"/>
      <c r="U32" s="93"/>
      <c r="V32" s="94"/>
      <c r="W32" s="575"/>
      <c r="X32" s="41"/>
      <c r="Y32" s="567"/>
      <c r="Z32" s="568"/>
      <c r="AA32" s="43"/>
      <c r="AB32" s="40"/>
      <c r="AC32" s="25"/>
      <c r="AD32" s="91"/>
      <c r="AE32" s="104"/>
      <c r="AF32" s="14"/>
      <c r="AG32" s="99"/>
      <c r="AH32" s="100"/>
      <c r="AI32" s="14"/>
      <c r="AJ32" s="28"/>
      <c r="AK32" s="197"/>
      <c r="AL32" s="100"/>
      <c r="AN32" s="163"/>
      <c r="AO32" s="688" t="s">
        <v>140</v>
      </c>
      <c r="AP32" s="688"/>
      <c r="AQ32" s="688"/>
      <c r="AR32" s="688"/>
      <c r="AS32" s="688"/>
      <c r="AT32" s="186"/>
    </row>
    <row r="33" spans="1:46" ht="21" customHeight="1" thickBot="1" x14ac:dyDescent="0.4">
      <c r="A33" s="56" t="s">
        <v>6</v>
      </c>
      <c r="B33" s="685">
        <v>2</v>
      </c>
      <c r="C33" s="669"/>
      <c r="D33" s="672"/>
      <c r="E33" s="208"/>
      <c r="F33" s="691">
        <f>I33</f>
        <v>0.68300189393939392</v>
      </c>
      <c r="G33" s="667">
        <f>I33</f>
        <v>0.68300189393939392</v>
      </c>
      <c r="H33" s="679"/>
      <c r="I33" s="691">
        <f>(((E29-E34)/52.8)-I31)/2</f>
        <v>0.68300189393939392</v>
      </c>
      <c r="J33" s="502"/>
      <c r="K33" s="281">
        <v>0.5</v>
      </c>
      <c r="L33" s="413"/>
      <c r="M33" s="295">
        <f>K33/(G30-I33)</f>
        <v>1.476923076923077</v>
      </c>
      <c r="N33" s="309">
        <f>M33</f>
        <v>1.476923076923077</v>
      </c>
      <c r="O33" s="302"/>
      <c r="P33" s="298"/>
      <c r="Q33" s="302"/>
      <c r="R33" s="298"/>
      <c r="S33" s="302"/>
      <c r="T33" s="298"/>
      <c r="U33" s="93"/>
      <c r="V33" s="94"/>
      <c r="W33" s="576"/>
      <c r="X33" s="58"/>
      <c r="Y33" s="569"/>
      <c r="Z33" s="80"/>
      <c r="AA33" s="59"/>
      <c r="AB33" s="60"/>
      <c r="AC33" s="25"/>
      <c r="AD33" s="91"/>
      <c r="AE33" s="104"/>
      <c r="AF33" s="14"/>
      <c r="AG33" s="99"/>
      <c r="AH33" s="100"/>
      <c r="AI33" s="14"/>
      <c r="AJ33" s="28"/>
      <c r="AK33" s="197"/>
      <c r="AL33" s="100"/>
      <c r="AM33" s="201">
        <v>6.2</v>
      </c>
      <c r="AN33" s="163"/>
      <c r="AO33" s="688" t="s">
        <v>44</v>
      </c>
      <c r="AP33" s="688"/>
      <c r="AQ33" s="688"/>
      <c r="AR33" s="688"/>
      <c r="AS33" s="688"/>
      <c r="AT33" s="186"/>
    </row>
    <row r="34" spans="1:46" ht="21" customHeight="1" thickTop="1" thickBot="1" x14ac:dyDescent="0.4">
      <c r="A34" s="56"/>
      <c r="B34" s="686"/>
      <c r="C34" s="669"/>
      <c r="D34" s="672"/>
      <c r="E34" s="208">
        <v>1418</v>
      </c>
      <c r="F34" s="691"/>
      <c r="G34" s="668"/>
      <c r="H34" s="680"/>
      <c r="I34" s="691"/>
      <c r="J34" s="502"/>
      <c r="K34" s="281"/>
      <c r="L34" s="413"/>
      <c r="M34" s="295"/>
      <c r="N34" s="309"/>
      <c r="O34" s="302"/>
      <c r="P34" s="298"/>
      <c r="Q34" s="302"/>
      <c r="R34" s="298"/>
      <c r="S34" s="302"/>
      <c r="T34" s="298"/>
      <c r="U34" s="93"/>
      <c r="V34" s="94"/>
      <c r="W34" s="577"/>
      <c r="X34" s="578"/>
      <c r="Y34" s="570"/>
      <c r="Z34" s="571"/>
      <c r="AA34" s="61"/>
      <c r="AB34" s="62"/>
      <c r="AC34" s="25"/>
      <c r="AD34" s="91"/>
      <c r="AE34" s="104"/>
      <c r="AF34" s="14"/>
      <c r="AG34" s="99"/>
      <c r="AH34" s="100"/>
      <c r="AI34" s="14"/>
      <c r="AJ34" s="28"/>
      <c r="AK34" s="197"/>
      <c r="AL34" s="100"/>
      <c r="AN34" s="163"/>
      <c r="AO34" s="219" t="s">
        <v>45</v>
      </c>
      <c r="AP34" s="219" t="s">
        <v>46</v>
      </c>
      <c r="AQ34" s="219" t="s">
        <v>47</v>
      </c>
      <c r="AR34" s="219" t="s">
        <v>48</v>
      </c>
      <c r="AS34" s="219" t="s">
        <v>49</v>
      </c>
      <c r="AT34" s="186"/>
    </row>
    <row r="35" spans="1:46" ht="21" customHeight="1" thickTop="1" x14ac:dyDescent="0.35">
      <c r="A35" s="56" t="s">
        <v>7</v>
      </c>
      <c r="B35" s="686"/>
      <c r="C35" s="669"/>
      <c r="D35" s="672"/>
      <c r="E35" s="208"/>
      <c r="F35" s="617">
        <f>G35+G40+G47-F52</f>
        <v>3.1972727272727273</v>
      </c>
      <c r="G35" s="666">
        <f>(E34-E39)/52.8</f>
        <v>1.4962121212121213</v>
      </c>
      <c r="H35" s="617"/>
      <c r="I35" s="617">
        <f>G35+G40++G47-(I52-G54)-I51</f>
        <v>3.0078787878787878</v>
      </c>
      <c r="J35" s="502"/>
      <c r="K35" s="281"/>
      <c r="L35" s="413"/>
      <c r="M35" s="295"/>
      <c r="N35" s="309"/>
      <c r="O35" s="302"/>
      <c r="P35" s="298"/>
      <c r="Q35" s="302"/>
      <c r="R35" s="298"/>
      <c r="S35" s="302"/>
      <c r="T35" s="298"/>
      <c r="U35" s="93"/>
      <c r="V35" s="94"/>
      <c r="W35" s="63"/>
      <c r="X35" s="64"/>
      <c r="Y35" s="72"/>
      <c r="Z35" s="73"/>
      <c r="AA35" s="65"/>
      <c r="AB35" s="66"/>
      <c r="AC35" s="25"/>
      <c r="AD35" s="91"/>
      <c r="AE35" s="104"/>
      <c r="AF35" s="14"/>
      <c r="AG35" s="99"/>
      <c r="AH35" s="100"/>
      <c r="AI35" s="14"/>
      <c r="AJ35" s="28"/>
      <c r="AK35" s="197"/>
      <c r="AL35" s="100"/>
      <c r="AM35" s="201">
        <v>5.7</v>
      </c>
      <c r="AN35" s="163"/>
      <c r="AO35" s="219">
        <v>2</v>
      </c>
      <c r="AP35" s="190">
        <v>2200</v>
      </c>
      <c r="AQ35" s="190">
        <v>3020</v>
      </c>
      <c r="AR35" s="190">
        <v>3720</v>
      </c>
      <c r="AS35" s="190">
        <v>4020</v>
      </c>
      <c r="AT35" s="186"/>
    </row>
    <row r="36" spans="1:46" ht="21" customHeight="1" x14ac:dyDescent="0.35">
      <c r="A36" s="56"/>
      <c r="B36" s="686"/>
      <c r="C36" s="669"/>
      <c r="D36" s="672"/>
      <c r="E36" s="208"/>
      <c r="F36" s="618"/>
      <c r="G36" s="667"/>
      <c r="H36" s="618"/>
      <c r="I36" s="618"/>
      <c r="J36" s="502"/>
      <c r="K36" s="281"/>
      <c r="L36" s="413"/>
      <c r="M36" s="295"/>
      <c r="N36" s="309"/>
      <c r="O36" s="302"/>
      <c r="P36" s="298"/>
      <c r="Q36" s="302"/>
      <c r="R36" s="298"/>
      <c r="S36" s="302"/>
      <c r="T36" s="298"/>
      <c r="U36" s="93"/>
      <c r="V36" s="94"/>
      <c r="W36" s="81"/>
      <c r="X36" s="83"/>
      <c r="Y36" s="81"/>
      <c r="Z36" s="84"/>
      <c r="AA36" s="85"/>
      <c r="AB36" s="75"/>
      <c r="AC36" s="25"/>
      <c r="AD36" s="91"/>
      <c r="AE36" s="104"/>
      <c r="AF36" s="14"/>
      <c r="AG36" s="99"/>
      <c r="AH36" s="100"/>
      <c r="AI36" s="14"/>
      <c r="AJ36" s="28"/>
      <c r="AK36" s="197"/>
      <c r="AL36" s="100"/>
      <c r="AN36" s="163"/>
      <c r="AO36" s="219">
        <v>3</v>
      </c>
      <c r="AP36" s="190">
        <v>3300</v>
      </c>
      <c r="AQ36" s="190">
        <v>4580</v>
      </c>
      <c r="AR36" s="190">
        <v>5580</v>
      </c>
      <c r="AS36" s="190">
        <v>6200</v>
      </c>
      <c r="AT36" s="186"/>
    </row>
    <row r="37" spans="1:46" ht="21" customHeight="1" x14ac:dyDescent="0.35">
      <c r="A37" s="56"/>
      <c r="B37" s="686"/>
      <c r="C37" s="669"/>
      <c r="D37" s="672"/>
      <c r="E37" s="208"/>
      <c r="F37" s="618"/>
      <c r="G37" s="667"/>
      <c r="H37" s="618"/>
      <c r="I37" s="618"/>
      <c r="J37" s="502"/>
      <c r="K37" s="281"/>
      <c r="L37" s="413"/>
      <c r="M37" s="295"/>
      <c r="N37" s="309"/>
      <c r="O37" s="302"/>
      <c r="P37" s="298"/>
      <c r="Q37" s="302"/>
      <c r="R37" s="298"/>
      <c r="S37" s="302"/>
      <c r="T37" s="298"/>
      <c r="U37" s="93"/>
      <c r="V37" s="94"/>
      <c r="W37" s="81"/>
      <c r="X37" s="83"/>
      <c r="Y37" s="81"/>
      <c r="Z37" s="84"/>
      <c r="AA37" s="85"/>
      <c r="AB37" s="75"/>
      <c r="AC37" s="25"/>
      <c r="AD37" s="91"/>
      <c r="AE37" s="104"/>
      <c r="AF37" s="14"/>
      <c r="AG37" s="99"/>
      <c r="AH37" s="100"/>
      <c r="AI37" s="14"/>
      <c r="AJ37" s="28"/>
      <c r="AK37" s="197"/>
      <c r="AL37" s="100"/>
      <c r="AN37" s="163"/>
      <c r="AO37" s="219">
        <v>4</v>
      </c>
      <c r="AP37" s="190">
        <v>4400</v>
      </c>
      <c r="AQ37" s="190">
        <v>6080</v>
      </c>
      <c r="AR37" s="190">
        <v>7420</v>
      </c>
      <c r="AS37" s="190">
        <v>8400</v>
      </c>
      <c r="AT37" s="186"/>
    </row>
    <row r="38" spans="1:46" ht="21" customHeight="1" x14ac:dyDescent="0.35">
      <c r="A38" s="56"/>
      <c r="B38" s="686"/>
      <c r="C38" s="669"/>
      <c r="D38" s="672"/>
      <c r="E38" s="208"/>
      <c r="F38" s="618"/>
      <c r="G38" s="667"/>
      <c r="H38" s="618"/>
      <c r="I38" s="618"/>
      <c r="J38" s="502"/>
      <c r="K38" s="281"/>
      <c r="L38" s="413"/>
      <c r="M38" s="295"/>
      <c r="N38" s="309"/>
      <c r="O38" s="302"/>
      <c r="P38" s="298"/>
      <c r="Q38" s="302"/>
      <c r="R38" s="298"/>
      <c r="S38" s="302"/>
      <c r="T38" s="298"/>
      <c r="U38" s="93"/>
      <c r="V38" s="94"/>
      <c r="W38" s="81"/>
      <c r="X38" s="83"/>
      <c r="Y38" s="81"/>
      <c r="Z38" s="84"/>
      <c r="AA38" s="85"/>
      <c r="AB38" s="75"/>
      <c r="AC38" s="25"/>
      <c r="AD38" s="91"/>
      <c r="AE38" s="104"/>
      <c r="AF38" s="14"/>
      <c r="AG38" s="99"/>
      <c r="AH38" s="100"/>
      <c r="AI38" s="14"/>
      <c r="AJ38" s="28"/>
      <c r="AK38" s="197"/>
      <c r="AL38" s="100"/>
      <c r="AN38" s="163"/>
      <c r="AO38" s="219">
        <v>5</v>
      </c>
      <c r="AP38" s="190">
        <v>5500</v>
      </c>
      <c r="AQ38" s="190">
        <v>7680</v>
      </c>
      <c r="AR38" s="190">
        <v>9320</v>
      </c>
      <c r="AS38" s="190">
        <v>10580</v>
      </c>
      <c r="AT38" s="186"/>
    </row>
    <row r="39" spans="1:46" ht="21" customHeight="1" x14ac:dyDescent="0.35">
      <c r="A39" s="56" t="s">
        <v>3</v>
      </c>
      <c r="B39" s="686"/>
      <c r="C39" s="669"/>
      <c r="D39" s="672"/>
      <c r="E39" s="208">
        <v>1339</v>
      </c>
      <c r="F39" s="618"/>
      <c r="G39" s="668"/>
      <c r="H39" s="618"/>
      <c r="I39" s="618"/>
      <c r="J39" s="502"/>
      <c r="K39" s="281">
        <v>1</v>
      </c>
      <c r="L39" s="413">
        <v>0.25</v>
      </c>
      <c r="M39" s="295"/>
      <c r="N39" s="309"/>
      <c r="O39" s="302">
        <f>(K39)/(SUM(I35:I60)+((I33)/2))</f>
        <v>0.18787946180362503</v>
      </c>
      <c r="P39" s="298">
        <f>(K39)/(SUM(I35:I51)+((I33)/2))</f>
        <v>0.28258376829201393</v>
      </c>
      <c r="Q39" s="302">
        <f>(L39)/(SUM(I35:I60)+((I33)/2))</f>
        <v>4.6969865450906256E-2</v>
      </c>
      <c r="R39" s="498">
        <f>(L39)/(SUM(I35:I51)+((I33)/2))</f>
        <v>7.0645942073003481E-2</v>
      </c>
      <c r="S39" s="302">
        <f>O39+Q39</f>
        <v>0.23484932725453128</v>
      </c>
      <c r="T39" s="302">
        <f>P39+R39</f>
        <v>0.35322971036501738</v>
      </c>
      <c r="U39" s="93">
        <v>3</v>
      </c>
      <c r="V39" s="94">
        <v>1</v>
      </c>
      <c r="W39" s="583">
        <f>SUM(F32:F59)</f>
        <v>6.002604166666667</v>
      </c>
      <c r="X39" s="83"/>
      <c r="Y39" s="81"/>
      <c r="Z39" s="84"/>
      <c r="AA39" s="85"/>
      <c r="AB39" s="583">
        <f>SUM(I32:I51)</f>
        <v>4.2188162878787878</v>
      </c>
      <c r="AC39" s="25"/>
      <c r="AD39" s="91">
        <v>3</v>
      </c>
      <c r="AE39" s="104">
        <v>1</v>
      </c>
      <c r="AF39" s="14"/>
      <c r="AG39" s="99">
        <f>ROUNDDOWN(AK39/AD39,-1)</f>
        <v>2030</v>
      </c>
      <c r="AH39" s="100">
        <f>ROUNDDOWN(AL39/AE39,-1)</f>
        <v>1850</v>
      </c>
      <c r="AI39" s="14"/>
      <c r="AJ39" s="28"/>
      <c r="AK39" s="197">
        <f>AK27</f>
        <v>6100</v>
      </c>
      <c r="AL39" s="100">
        <f>AL27</f>
        <v>1850</v>
      </c>
      <c r="AM39" s="201">
        <v>4.4690000000000003</v>
      </c>
      <c r="AN39" s="163"/>
      <c r="AO39" s="219">
        <v>6</v>
      </c>
      <c r="AP39" s="190">
        <v>7560</v>
      </c>
      <c r="AQ39" s="190">
        <v>10220</v>
      </c>
      <c r="AR39" s="190">
        <v>12080</v>
      </c>
      <c r="AS39" s="190">
        <v>12780</v>
      </c>
      <c r="AT39" s="186"/>
    </row>
    <row r="40" spans="1:46" ht="21" customHeight="1" thickBot="1" x14ac:dyDescent="0.4">
      <c r="A40" s="56"/>
      <c r="B40" s="686"/>
      <c r="C40" s="669"/>
      <c r="D40" s="672"/>
      <c r="E40" s="208"/>
      <c r="F40" s="618"/>
      <c r="G40" s="666">
        <f>(E39-E46)/52.8</f>
        <v>0.45454545454545459</v>
      </c>
      <c r="H40" s="618"/>
      <c r="I40" s="618"/>
      <c r="J40" s="502"/>
      <c r="K40" s="281"/>
      <c r="L40" s="413"/>
      <c r="M40" s="295"/>
      <c r="N40" s="309"/>
      <c r="O40" s="476">
        <f>(SUM(I35:I60)+((I33)/2))</f>
        <v>5.3225615530303036</v>
      </c>
      <c r="P40" s="476">
        <f>(SUM(I35:I51)+((I33)/2))</f>
        <v>3.5387736742424241</v>
      </c>
      <c r="Q40" s="302"/>
      <c r="R40" s="298"/>
      <c r="S40" s="302"/>
      <c r="T40" s="298"/>
      <c r="U40" s="93"/>
      <c r="V40" s="94"/>
      <c r="W40" s="67"/>
      <c r="X40" s="68"/>
      <c r="Y40" s="67"/>
      <c r="Z40" s="69"/>
      <c r="AA40" s="70"/>
      <c r="AB40" s="71"/>
      <c r="AC40" s="25"/>
      <c r="AD40" s="91"/>
      <c r="AE40" s="104"/>
      <c r="AF40" s="14"/>
      <c r="AG40" s="99"/>
      <c r="AH40" s="100"/>
      <c r="AI40" s="14"/>
      <c r="AJ40" s="28"/>
      <c r="AK40" s="197"/>
      <c r="AL40" s="100"/>
      <c r="AN40" s="163"/>
      <c r="AO40" s="170"/>
      <c r="AP40" s="191"/>
      <c r="AQ40" s="191"/>
      <c r="AR40" s="192"/>
      <c r="AS40" s="191"/>
      <c r="AT40" s="186"/>
    </row>
    <row r="41" spans="1:46" ht="21" customHeight="1" thickTop="1" x14ac:dyDescent="0.35">
      <c r="A41" s="56" t="s">
        <v>8</v>
      </c>
      <c r="B41" s="686"/>
      <c r="C41" s="669"/>
      <c r="D41" s="672"/>
      <c r="E41" s="208">
        <v>1338</v>
      </c>
      <c r="F41" s="618"/>
      <c r="G41" s="667"/>
      <c r="H41" s="618"/>
      <c r="I41" s="618"/>
      <c r="J41" s="503" t="s">
        <v>54</v>
      </c>
      <c r="K41" s="281">
        <v>1</v>
      </c>
      <c r="L41" s="413"/>
      <c r="M41" s="295">
        <f>K41/G40</f>
        <v>2.1999999999999997</v>
      </c>
      <c r="N41" s="309"/>
      <c r="O41" s="302"/>
      <c r="P41" s="298"/>
      <c r="Q41" s="302"/>
      <c r="R41" s="298"/>
      <c r="S41" s="302"/>
      <c r="T41" s="298"/>
      <c r="U41" s="93"/>
      <c r="V41" s="94"/>
      <c r="W41" s="63"/>
      <c r="X41" s="64"/>
      <c r="Y41" s="72"/>
      <c r="Z41" s="73"/>
      <c r="AA41" s="65"/>
      <c r="AB41" s="74"/>
      <c r="AC41" s="25"/>
      <c r="AD41" s="91"/>
      <c r="AE41" s="104"/>
      <c r="AF41" s="14"/>
      <c r="AG41" s="99"/>
      <c r="AH41" s="100"/>
      <c r="AI41" s="14"/>
      <c r="AJ41" s="28"/>
      <c r="AK41" s="197"/>
      <c r="AL41" s="100"/>
      <c r="AM41" s="201">
        <v>4.4569999999999999</v>
      </c>
      <c r="AN41" s="163"/>
      <c r="AO41" s="164"/>
      <c r="AP41" s="164"/>
      <c r="AQ41" s="164"/>
      <c r="AR41" s="164"/>
      <c r="AS41" s="164"/>
      <c r="AT41" s="181"/>
    </row>
    <row r="42" spans="1:46" ht="21" customHeight="1" x14ac:dyDescent="0.35">
      <c r="A42" s="56"/>
      <c r="B42" s="686"/>
      <c r="C42" s="669"/>
      <c r="D42" s="672"/>
      <c r="E42" s="208"/>
      <c r="F42" s="618"/>
      <c r="G42" s="667"/>
      <c r="H42" s="618"/>
      <c r="I42" s="618"/>
      <c r="J42" s="504">
        <f>1.25/(I35+I52)</f>
        <v>0.2608695652173913</v>
      </c>
      <c r="K42" s="275"/>
      <c r="L42" s="414"/>
      <c r="M42" s="296"/>
      <c r="N42" s="310"/>
      <c r="O42" s="303"/>
      <c r="P42" s="299"/>
      <c r="Q42" s="303"/>
      <c r="R42" s="299"/>
      <c r="S42" s="303"/>
      <c r="T42" s="299"/>
      <c r="U42" s="93"/>
      <c r="V42" s="94"/>
      <c r="W42" s="81"/>
      <c r="X42" s="83"/>
      <c r="Y42" s="81"/>
      <c r="Z42" s="84"/>
      <c r="AA42" s="85"/>
      <c r="AB42" s="82"/>
      <c r="AC42" s="25"/>
      <c r="AD42" s="91"/>
      <c r="AE42" s="104"/>
      <c r="AF42" s="14"/>
      <c r="AG42" s="99"/>
      <c r="AH42" s="100"/>
      <c r="AI42" s="14"/>
      <c r="AJ42" s="28"/>
      <c r="AK42" s="197"/>
      <c r="AL42" s="100"/>
      <c r="AN42" s="163"/>
      <c r="AT42" s="181"/>
    </row>
    <row r="43" spans="1:46" ht="21" customHeight="1" x14ac:dyDescent="0.35">
      <c r="A43" s="56"/>
      <c r="B43" s="686"/>
      <c r="C43" s="669"/>
      <c r="D43" s="672"/>
      <c r="E43" s="208"/>
      <c r="F43" s="618"/>
      <c r="G43" s="667"/>
      <c r="H43" s="618"/>
      <c r="I43" s="618"/>
      <c r="J43" s="503" t="s">
        <v>53</v>
      </c>
      <c r="K43" s="281"/>
      <c r="L43" s="413"/>
      <c r="M43" s="295"/>
      <c r="N43" s="309"/>
      <c r="O43" s="302"/>
      <c r="P43" s="298"/>
      <c r="Q43" s="302"/>
      <c r="R43" s="298"/>
      <c r="S43" s="302"/>
      <c r="T43" s="298"/>
      <c r="U43" s="93"/>
      <c r="V43" s="94"/>
      <c r="W43" s="67"/>
      <c r="X43" s="68"/>
      <c r="Y43" s="67"/>
      <c r="Z43" s="69"/>
      <c r="AA43" s="70"/>
      <c r="AB43" s="67"/>
      <c r="AC43" s="25"/>
      <c r="AD43" s="91"/>
      <c r="AE43" s="104"/>
      <c r="AF43" s="14"/>
      <c r="AG43" s="99"/>
      <c r="AH43" s="100"/>
      <c r="AI43" s="14"/>
      <c r="AJ43" s="28"/>
      <c r="AK43" s="197"/>
      <c r="AL43" s="100"/>
      <c r="AN43" s="163"/>
      <c r="AT43" s="181"/>
    </row>
    <row r="44" spans="1:46" ht="21" customHeight="1" x14ac:dyDescent="0.35">
      <c r="A44" s="56"/>
      <c r="B44" s="686"/>
      <c r="C44" s="669"/>
      <c r="D44" s="672"/>
      <c r="E44" s="208"/>
      <c r="F44" s="618"/>
      <c r="G44" s="667"/>
      <c r="H44" s="618"/>
      <c r="I44" s="618"/>
      <c r="J44" s="504">
        <f>1.25/I35</f>
        <v>0.41557525690106789</v>
      </c>
      <c r="K44" s="281"/>
      <c r="L44" s="413"/>
      <c r="M44" s="315">
        <f>K39/(G40+G35)</f>
        <v>0.51262135922330088</v>
      </c>
      <c r="N44" s="309"/>
      <c r="O44" s="302"/>
      <c r="P44" s="298"/>
      <c r="Q44" s="302"/>
      <c r="R44" s="298"/>
      <c r="S44" s="302"/>
      <c r="T44" s="298"/>
      <c r="U44" s="93">
        <v>3</v>
      </c>
      <c r="V44" s="94">
        <v>1</v>
      </c>
      <c r="W44" s="75"/>
      <c r="X44" s="76"/>
      <c r="Y44" s="75"/>
      <c r="Z44" s="77"/>
      <c r="AA44" s="78"/>
      <c r="AB44" s="79"/>
      <c r="AC44" s="25"/>
      <c r="AD44" s="91">
        <v>3</v>
      </c>
      <c r="AE44" s="104">
        <v>1</v>
      </c>
      <c r="AF44" s="14"/>
      <c r="AG44" s="99">
        <f>ROUNDDOWN(AK44/AD44,-1)</f>
        <v>2030</v>
      </c>
      <c r="AH44" s="100">
        <f>ROUNDDOWN(AL44/AE44,-1)</f>
        <v>1850</v>
      </c>
      <c r="AI44" s="14"/>
      <c r="AJ44" s="28"/>
      <c r="AK44" s="197">
        <f>AK39</f>
        <v>6100</v>
      </c>
      <c r="AL44" s="100">
        <f>AL27</f>
        <v>1850</v>
      </c>
      <c r="AN44" s="163"/>
      <c r="AT44" s="181"/>
    </row>
    <row r="45" spans="1:46" ht="21" customHeight="1" x14ac:dyDescent="0.35">
      <c r="A45" s="56"/>
      <c r="B45" s="686"/>
      <c r="C45" s="669"/>
      <c r="D45" s="672"/>
      <c r="E45" s="208"/>
      <c r="F45" s="618"/>
      <c r="G45" s="667"/>
      <c r="H45" s="618"/>
      <c r="I45" s="618"/>
      <c r="J45" s="502"/>
      <c r="K45" s="281"/>
      <c r="L45" s="413"/>
      <c r="M45" s="295"/>
      <c r="N45" s="309"/>
      <c r="O45" s="302"/>
      <c r="P45" s="298"/>
      <c r="Q45" s="302"/>
      <c r="R45" s="298"/>
      <c r="S45" s="302"/>
      <c r="T45" s="298"/>
      <c r="U45" s="93"/>
      <c r="V45" s="94"/>
      <c r="W45" s="67"/>
      <c r="X45" s="68"/>
      <c r="Y45" s="67"/>
      <c r="Z45" s="69"/>
      <c r="AA45" s="70"/>
      <c r="AB45" s="75"/>
      <c r="AC45" s="25"/>
      <c r="AD45" s="91"/>
      <c r="AE45" s="104"/>
      <c r="AF45" s="14"/>
      <c r="AG45" s="99"/>
      <c r="AH45" s="100"/>
      <c r="AI45" s="14"/>
      <c r="AJ45" s="28"/>
      <c r="AK45" s="197"/>
      <c r="AL45" s="100"/>
      <c r="AN45" s="163"/>
      <c r="AT45" s="181"/>
    </row>
    <row r="46" spans="1:46" ht="21" customHeight="1" thickBot="1" x14ac:dyDescent="0.4">
      <c r="A46" s="56" t="s">
        <v>9</v>
      </c>
      <c r="B46" s="686"/>
      <c r="C46" s="669"/>
      <c r="D46" s="672"/>
      <c r="E46" s="208">
        <v>1315</v>
      </c>
      <c r="F46" s="618"/>
      <c r="G46" s="668"/>
      <c r="H46" s="618"/>
      <c r="I46" s="618"/>
      <c r="J46" s="502"/>
      <c r="K46" s="281"/>
      <c r="L46" s="413"/>
      <c r="M46" s="295"/>
      <c r="N46" s="309"/>
      <c r="O46" s="302"/>
      <c r="P46" s="298"/>
      <c r="Q46" s="302"/>
      <c r="R46" s="298"/>
      <c r="S46" s="302"/>
      <c r="T46" s="298"/>
      <c r="U46" s="93"/>
      <c r="V46" s="94"/>
      <c r="W46" s="57"/>
      <c r="X46" s="58"/>
      <c r="Y46" s="57"/>
      <c r="Z46" s="80"/>
      <c r="AA46" s="59"/>
      <c r="AB46" s="60"/>
      <c r="AC46" s="25"/>
      <c r="AD46" s="91"/>
      <c r="AE46" s="104"/>
      <c r="AF46" s="14"/>
      <c r="AG46" s="99"/>
      <c r="AH46" s="100"/>
      <c r="AI46" s="14"/>
      <c r="AJ46" s="28"/>
      <c r="AK46" s="197"/>
      <c r="AL46" s="100"/>
      <c r="AM46" s="201">
        <v>4.22</v>
      </c>
      <c r="AN46" s="163"/>
      <c r="AT46" s="181"/>
    </row>
    <row r="47" spans="1:46" ht="21" customHeight="1" thickTop="1" x14ac:dyDescent="0.35">
      <c r="A47" s="56"/>
      <c r="B47" s="686"/>
      <c r="C47" s="669"/>
      <c r="D47" s="672"/>
      <c r="E47" s="208"/>
      <c r="F47" s="618"/>
      <c r="G47" s="666">
        <f>(E46-E53)/52.8</f>
        <v>2.0265151515151518</v>
      </c>
      <c r="H47" s="618"/>
      <c r="I47" s="618"/>
      <c r="J47" s="502"/>
      <c r="K47" s="281">
        <v>0.5</v>
      </c>
      <c r="L47" s="413"/>
      <c r="M47" s="295">
        <f>K47/(G47)</f>
        <v>0.24672897196261678</v>
      </c>
      <c r="N47" s="309"/>
      <c r="O47" s="302"/>
      <c r="P47" s="298"/>
      <c r="Q47" s="302"/>
      <c r="R47" s="298"/>
      <c r="S47" s="302"/>
      <c r="T47" s="298"/>
      <c r="U47" s="93"/>
      <c r="V47" s="94"/>
      <c r="W47" s="81"/>
      <c r="X47" s="64"/>
      <c r="Y47" s="63"/>
      <c r="Z47" s="73"/>
      <c r="AA47" s="65"/>
      <c r="AB47" s="82"/>
      <c r="AC47" s="25"/>
      <c r="AD47" s="91"/>
      <c r="AE47" s="104"/>
      <c r="AF47" s="14"/>
      <c r="AG47" s="99"/>
      <c r="AH47" s="100"/>
      <c r="AI47" s="14"/>
      <c r="AJ47" s="28"/>
      <c r="AK47" s="197"/>
      <c r="AL47" s="100"/>
      <c r="AM47" s="201">
        <v>3.83</v>
      </c>
      <c r="AN47" s="163"/>
      <c r="AT47" s="181"/>
    </row>
    <row r="48" spans="1:46" ht="21" customHeight="1" x14ac:dyDescent="0.35">
      <c r="A48" s="56"/>
      <c r="B48" s="686"/>
      <c r="C48" s="669"/>
      <c r="D48" s="672"/>
      <c r="E48" s="208"/>
      <c r="F48" s="618"/>
      <c r="G48" s="667"/>
      <c r="H48" s="618"/>
      <c r="I48" s="618"/>
      <c r="J48" s="502"/>
      <c r="K48" s="281"/>
      <c r="L48" s="413"/>
      <c r="M48" s="295"/>
      <c r="N48" s="309"/>
      <c r="O48" s="302"/>
      <c r="P48" s="298"/>
      <c r="Q48" s="302"/>
      <c r="R48" s="298"/>
      <c r="S48" s="302"/>
      <c r="T48" s="298"/>
      <c r="U48" s="93"/>
      <c r="V48" s="94"/>
      <c r="W48" s="81"/>
      <c r="X48" s="83"/>
      <c r="Y48" s="81"/>
      <c r="Z48" s="84"/>
      <c r="AA48" s="85"/>
      <c r="AB48" s="82"/>
      <c r="AC48" s="25"/>
      <c r="AD48" s="91"/>
      <c r="AE48" s="104"/>
      <c r="AF48" s="14"/>
      <c r="AG48" s="99"/>
      <c r="AH48" s="100"/>
      <c r="AI48" s="14"/>
      <c r="AJ48" s="28"/>
      <c r="AK48" s="197"/>
      <c r="AL48" s="100"/>
      <c r="AN48" s="163"/>
      <c r="AT48" s="181"/>
    </row>
    <row r="49" spans="1:54" ht="21" customHeight="1" x14ac:dyDescent="0.35">
      <c r="A49" s="56"/>
      <c r="B49" s="686"/>
      <c r="C49" s="669"/>
      <c r="D49" s="672"/>
      <c r="E49" s="208"/>
      <c r="F49" s="618"/>
      <c r="G49" s="667"/>
      <c r="H49" s="618"/>
      <c r="I49" s="618"/>
      <c r="J49" s="502"/>
      <c r="K49" s="281"/>
      <c r="L49" s="413"/>
      <c r="M49" s="295"/>
      <c r="N49" s="309"/>
      <c r="O49" s="302"/>
      <c r="P49" s="298"/>
      <c r="Q49" s="302"/>
      <c r="R49" s="298"/>
      <c r="S49" s="302"/>
      <c r="T49" s="298"/>
      <c r="U49" s="93"/>
      <c r="V49" s="94"/>
      <c r="W49" s="81"/>
      <c r="X49" s="83"/>
      <c r="Y49" s="81"/>
      <c r="Z49" s="84"/>
      <c r="AA49" s="85"/>
      <c r="AB49" s="82"/>
      <c r="AC49" s="25"/>
      <c r="AD49" s="91"/>
      <c r="AE49" s="104"/>
      <c r="AF49" s="14"/>
      <c r="AG49" s="99"/>
      <c r="AH49" s="100"/>
      <c r="AI49" s="14"/>
      <c r="AJ49" s="28"/>
      <c r="AK49" s="197"/>
      <c r="AL49" s="100"/>
      <c r="AN49" s="163"/>
      <c r="AT49" s="181"/>
    </row>
    <row r="50" spans="1:54" ht="21" customHeight="1" x14ac:dyDescent="0.35">
      <c r="A50" s="56"/>
      <c r="B50" s="686"/>
      <c r="C50" s="669"/>
      <c r="D50" s="672"/>
      <c r="E50" s="208"/>
      <c r="F50" s="618"/>
      <c r="G50" s="667"/>
      <c r="H50" s="619"/>
      <c r="I50" s="619"/>
      <c r="J50" s="502"/>
      <c r="K50" s="281"/>
      <c r="L50" s="413"/>
      <c r="M50" s="315">
        <f>K39/(G47+G40+G35)</f>
        <v>0.25142857142857139</v>
      </c>
      <c r="N50" s="309"/>
      <c r="O50" s="302"/>
      <c r="P50" s="298"/>
      <c r="Q50" s="302"/>
      <c r="R50" s="298"/>
      <c r="S50" s="302"/>
      <c r="T50" s="298"/>
      <c r="U50" s="93">
        <v>3</v>
      </c>
      <c r="V50" s="94">
        <v>1</v>
      </c>
      <c r="W50" s="81"/>
      <c r="X50" s="83"/>
      <c r="Y50" s="81"/>
      <c r="Z50" s="84"/>
      <c r="AA50" s="85"/>
      <c r="AB50" s="82"/>
      <c r="AC50" s="25"/>
      <c r="AD50" s="91">
        <v>3</v>
      </c>
      <c r="AE50" s="104">
        <v>1</v>
      </c>
      <c r="AF50" s="14"/>
      <c r="AG50" s="99">
        <f>ROUNDDOWN(AK50/AD50,-1)</f>
        <v>2030</v>
      </c>
      <c r="AH50" s="100">
        <f>ROUNDDOWN(AL50/AE50,-1)</f>
        <v>1850</v>
      </c>
      <c r="AI50" s="14"/>
      <c r="AJ50" s="28"/>
      <c r="AK50" s="197">
        <f>AK44</f>
        <v>6100</v>
      </c>
      <c r="AL50" s="100">
        <f>AL39</f>
        <v>1850</v>
      </c>
      <c r="AN50" s="163"/>
      <c r="AO50" s="164"/>
      <c r="AP50" s="164"/>
      <c r="AQ50" s="164"/>
      <c r="AR50" s="164"/>
      <c r="AS50" s="164"/>
      <c r="AT50" s="181"/>
    </row>
    <row r="51" spans="1:54" ht="21" customHeight="1" thickBot="1" x14ac:dyDescent="0.4">
      <c r="A51" s="56"/>
      <c r="B51" s="687"/>
      <c r="C51" s="669"/>
      <c r="D51" s="672"/>
      <c r="E51" s="208"/>
      <c r="F51" s="619"/>
      <c r="G51" s="667"/>
      <c r="H51" s="523">
        <f>1000</f>
        <v>1000</v>
      </c>
      <c r="I51" s="524">
        <f>H51/5280</f>
        <v>0.18939393939393939</v>
      </c>
      <c r="J51" s="502"/>
      <c r="K51" s="281"/>
      <c r="L51" s="413"/>
      <c r="M51" s="315">
        <f>K39/(G47+G40)</f>
        <v>0.40305343511450376</v>
      </c>
      <c r="N51" s="309"/>
      <c r="O51" s="302"/>
      <c r="P51" s="298"/>
      <c r="Q51" s="302"/>
      <c r="R51" s="298"/>
      <c r="S51" s="302"/>
      <c r="T51" s="298"/>
      <c r="U51" s="93"/>
      <c r="V51" s="94"/>
      <c r="W51" s="81"/>
      <c r="X51" s="83"/>
      <c r="Y51" s="492"/>
      <c r="Z51" s="493"/>
      <c r="AA51" s="85"/>
      <c r="AB51" s="82"/>
      <c r="AC51" s="25"/>
      <c r="AD51" s="91"/>
      <c r="AE51" s="104"/>
      <c r="AF51" s="14"/>
      <c r="AG51" s="99"/>
      <c r="AH51" s="100"/>
      <c r="AI51" s="14"/>
      <c r="AJ51" s="28"/>
      <c r="AK51" s="197"/>
      <c r="AL51" s="100"/>
      <c r="AN51" s="193"/>
      <c r="AO51" s="194"/>
      <c r="AP51" s="194"/>
      <c r="AQ51" s="194"/>
      <c r="AR51" s="194"/>
      <c r="AS51" s="194"/>
      <c r="AT51" s="195"/>
    </row>
    <row r="52" spans="1:54" ht="21" customHeight="1" x14ac:dyDescent="0.35">
      <c r="A52" s="30"/>
      <c r="B52" s="663">
        <v>1</v>
      </c>
      <c r="C52" s="669"/>
      <c r="D52" s="672"/>
      <c r="E52" s="209"/>
      <c r="F52" s="615">
        <f>I52-F54-F59</f>
        <v>0.78</v>
      </c>
      <c r="G52" s="667"/>
      <c r="H52" s="676"/>
      <c r="I52" s="705">
        <f>0.78+G54</f>
        <v>1.7837878787878789</v>
      </c>
      <c r="J52" s="505"/>
      <c r="K52" s="281"/>
      <c r="L52" s="413"/>
      <c r="M52" s="295"/>
      <c r="N52" s="309"/>
      <c r="O52" s="302"/>
      <c r="P52" s="298"/>
      <c r="Q52" s="302"/>
      <c r="R52" s="298"/>
      <c r="S52" s="302"/>
      <c r="T52" s="298"/>
      <c r="U52" s="93"/>
      <c r="V52" s="94"/>
      <c r="W52" s="67"/>
      <c r="X52" s="68"/>
      <c r="Y52" s="599"/>
      <c r="Z52" s="490"/>
      <c r="AA52" s="491"/>
      <c r="AB52" s="586"/>
      <c r="AC52" s="25"/>
      <c r="AD52" s="91"/>
      <c r="AE52" s="104"/>
      <c r="AF52" s="14"/>
      <c r="AG52" s="99"/>
      <c r="AH52" s="100"/>
      <c r="AI52" s="14"/>
      <c r="AJ52" s="28"/>
      <c r="AK52" s="197"/>
      <c r="AL52" s="100"/>
      <c r="AM52" s="201">
        <v>2.2280000000000002</v>
      </c>
    </row>
    <row r="53" spans="1:54" ht="21" customHeight="1" thickBot="1" x14ac:dyDescent="0.35">
      <c r="A53" s="30" t="s">
        <v>10</v>
      </c>
      <c r="B53" s="664"/>
      <c r="C53" s="669"/>
      <c r="D53" s="672"/>
      <c r="E53" s="610">
        <v>1208</v>
      </c>
      <c r="F53" s="616"/>
      <c r="G53" s="668"/>
      <c r="H53" s="677"/>
      <c r="I53" s="706"/>
      <c r="J53" s="505"/>
      <c r="K53" s="281"/>
      <c r="L53" s="413"/>
      <c r="M53" s="295"/>
      <c r="N53" s="309"/>
      <c r="O53" s="302"/>
      <c r="P53" s="298"/>
      <c r="Q53" s="302"/>
      <c r="R53" s="298"/>
      <c r="S53" s="302"/>
      <c r="T53" s="298"/>
      <c r="U53" s="93"/>
      <c r="V53" s="94"/>
      <c r="W53" s="57"/>
      <c r="X53" s="58"/>
      <c r="Y53" s="569"/>
      <c r="Z53" s="587"/>
      <c r="AA53" s="588"/>
      <c r="AB53" s="481"/>
      <c r="AC53" s="25"/>
      <c r="AD53" s="91"/>
      <c r="AE53" s="104"/>
      <c r="AF53" s="14"/>
      <c r="AG53" s="99"/>
      <c r="AH53" s="100"/>
      <c r="AI53" s="14"/>
      <c r="AJ53" s="28"/>
      <c r="AK53" s="197"/>
      <c r="AL53" s="100"/>
    </row>
    <row r="54" spans="1:54" ht="21" customHeight="1" thickTop="1" x14ac:dyDescent="0.3">
      <c r="A54" s="30"/>
      <c r="B54" s="664"/>
      <c r="C54" s="669"/>
      <c r="D54" s="672"/>
      <c r="E54" s="610"/>
      <c r="F54" s="615">
        <f>G54-F59</f>
        <v>0.81439393939393945</v>
      </c>
      <c r="G54" s="702">
        <f>(E53-E59)/52.8</f>
        <v>1.0037878787878789</v>
      </c>
      <c r="H54" s="677"/>
      <c r="I54" s="706"/>
      <c r="J54" s="506" t="s">
        <v>54</v>
      </c>
      <c r="K54" s="281">
        <v>0.25</v>
      </c>
      <c r="L54" s="413"/>
      <c r="M54" s="295"/>
      <c r="N54" s="309"/>
      <c r="O54" s="302"/>
      <c r="P54" s="298"/>
      <c r="Q54" s="302"/>
      <c r="R54" s="298"/>
      <c r="S54" s="302"/>
      <c r="T54" s="298"/>
      <c r="U54" s="93"/>
      <c r="V54" s="94"/>
      <c r="W54" s="81"/>
      <c r="X54" s="64"/>
      <c r="Y54" s="72"/>
      <c r="Z54" s="589"/>
      <c r="AA54" s="590"/>
      <c r="AB54" s="591"/>
      <c r="AC54" s="25"/>
      <c r="AD54" s="91"/>
      <c r="AE54" s="104"/>
      <c r="AF54" s="14"/>
      <c r="AG54" s="99"/>
      <c r="AH54" s="100"/>
      <c r="AI54" s="14"/>
      <c r="AJ54" s="28"/>
      <c r="AK54" s="197"/>
      <c r="AL54" s="100"/>
      <c r="AM54" s="201">
        <v>1.65</v>
      </c>
    </row>
    <row r="55" spans="1:54" ht="21" customHeight="1" x14ac:dyDescent="0.35">
      <c r="A55" s="30"/>
      <c r="B55" s="664"/>
      <c r="C55" s="669"/>
      <c r="D55" s="672"/>
      <c r="E55" s="209"/>
      <c r="F55" s="616"/>
      <c r="G55" s="703"/>
      <c r="H55" s="677"/>
      <c r="I55" s="706"/>
      <c r="J55" s="507">
        <f>1.25/(I35+I52)</f>
        <v>0.2608695652173913</v>
      </c>
      <c r="K55" s="281"/>
      <c r="L55" s="413"/>
      <c r="M55" s="295"/>
      <c r="N55" s="309"/>
      <c r="O55" s="302"/>
      <c r="P55" s="298"/>
      <c r="Q55" s="302"/>
      <c r="R55" s="298"/>
      <c r="S55" s="302"/>
      <c r="T55" s="298"/>
      <c r="U55" s="93"/>
      <c r="V55" s="94"/>
      <c r="W55" s="81"/>
      <c r="X55" s="83"/>
      <c r="Y55" s="492"/>
      <c r="Z55" s="592"/>
      <c r="AA55" s="593"/>
      <c r="AB55" s="591"/>
      <c r="AC55" s="25"/>
      <c r="AD55" s="91"/>
      <c r="AE55" s="104"/>
      <c r="AF55" s="14"/>
      <c r="AG55" s="99"/>
      <c r="AH55" s="100"/>
      <c r="AI55" s="14"/>
      <c r="AJ55" s="28"/>
      <c r="AK55" s="197"/>
      <c r="AL55" s="100"/>
    </row>
    <row r="56" spans="1:54" ht="21" customHeight="1" x14ac:dyDescent="0.35">
      <c r="A56" s="30"/>
      <c r="B56" s="664"/>
      <c r="C56" s="669"/>
      <c r="D56" s="672"/>
      <c r="E56" s="209"/>
      <c r="F56" s="616"/>
      <c r="G56" s="703"/>
      <c r="H56" s="677"/>
      <c r="I56" s="706"/>
      <c r="J56" s="506" t="s">
        <v>53</v>
      </c>
      <c r="K56" s="281"/>
      <c r="L56" s="413"/>
      <c r="M56" s="295"/>
      <c r="N56" s="309"/>
      <c r="O56" s="302"/>
      <c r="P56" s="298"/>
      <c r="Q56" s="302"/>
      <c r="R56" s="298"/>
      <c r="S56" s="302"/>
      <c r="T56" s="298"/>
      <c r="U56" s="474">
        <v>4</v>
      </c>
      <c r="V56" s="94">
        <v>1</v>
      </c>
      <c r="W56" s="81"/>
      <c r="X56" s="83"/>
      <c r="Y56" s="492"/>
      <c r="Z56" s="592"/>
      <c r="AA56" s="593"/>
      <c r="AB56" s="591"/>
      <c r="AC56" s="25"/>
      <c r="AD56" s="91"/>
      <c r="AE56" s="104"/>
      <c r="AF56" s="14"/>
      <c r="AG56" s="99">
        <f>ROUNDDOWN((AK50+AJ57)/U56,-1)</f>
        <v>1770</v>
      </c>
      <c r="AH56" s="100"/>
      <c r="AI56" s="14"/>
      <c r="AJ56" s="28"/>
      <c r="AK56" s="197"/>
      <c r="AL56" s="100"/>
    </row>
    <row r="57" spans="1:54" ht="21" customHeight="1" x14ac:dyDescent="0.35">
      <c r="A57" s="30"/>
      <c r="B57" s="664"/>
      <c r="C57" s="669"/>
      <c r="D57" s="672"/>
      <c r="E57" s="209"/>
      <c r="F57" s="616"/>
      <c r="G57" s="703"/>
      <c r="H57" s="677"/>
      <c r="I57" s="706"/>
      <c r="J57" s="507">
        <f>1.25/I35</f>
        <v>0.41557525690106789</v>
      </c>
      <c r="K57" s="281"/>
      <c r="L57" s="413"/>
      <c r="M57" s="295"/>
      <c r="N57" s="309"/>
      <c r="O57" s="476">
        <f>O40-P40</f>
        <v>1.7837878787878796</v>
      </c>
      <c r="P57" s="298"/>
      <c r="Q57" s="302"/>
      <c r="R57" s="298"/>
      <c r="S57" s="302"/>
      <c r="T57" s="298"/>
      <c r="U57" s="91"/>
      <c r="V57" s="92"/>
      <c r="W57" s="81"/>
      <c r="X57" s="83"/>
      <c r="Y57" s="492"/>
      <c r="Z57" s="592"/>
      <c r="AA57" s="593"/>
      <c r="AB57" s="591"/>
      <c r="AC57" s="25"/>
      <c r="AD57" s="475">
        <v>5</v>
      </c>
      <c r="AE57" s="104">
        <v>0</v>
      </c>
      <c r="AF57" s="14"/>
      <c r="AG57" s="99">
        <f>ROUNDDOWN(((AK57+AJ57)/AD57),-1)</f>
        <v>1850</v>
      </c>
      <c r="AH57" s="100" t="e">
        <f>ROUNDDOWN(AL57/AE57,-1)</f>
        <v>#DIV/0!</v>
      </c>
      <c r="AI57" s="14"/>
      <c r="AJ57" s="28">
        <v>1000</v>
      </c>
      <c r="AK57" s="197">
        <f>ROUND(AQ15,-1)</f>
        <v>8270</v>
      </c>
      <c r="AL57" s="100">
        <f>AL44</f>
        <v>1850</v>
      </c>
    </row>
    <row r="58" spans="1:54" ht="21" customHeight="1" x14ac:dyDescent="0.35">
      <c r="A58" s="30"/>
      <c r="B58" s="664"/>
      <c r="C58" s="669"/>
      <c r="D58" s="672"/>
      <c r="E58" s="209"/>
      <c r="F58" s="708"/>
      <c r="G58" s="703"/>
      <c r="H58" s="677"/>
      <c r="I58" s="706"/>
      <c r="J58" s="505"/>
      <c r="K58" s="281"/>
      <c r="L58" s="413"/>
      <c r="M58" s="295"/>
      <c r="N58" s="309"/>
      <c r="O58" s="302"/>
      <c r="P58" s="298"/>
      <c r="Q58" s="302"/>
      <c r="R58" s="298"/>
      <c r="S58" s="302"/>
      <c r="T58" s="298"/>
      <c r="U58" s="93" t="s">
        <v>135</v>
      </c>
      <c r="V58" s="94"/>
      <c r="W58" s="67"/>
      <c r="X58" s="68"/>
      <c r="Y58" s="599"/>
      <c r="Z58" s="490"/>
      <c r="AA58" s="491"/>
      <c r="AB58" s="487"/>
      <c r="AC58" s="25"/>
      <c r="AD58" s="91"/>
      <c r="AE58" s="104"/>
      <c r="AF58" s="14"/>
      <c r="AG58" s="99"/>
      <c r="AH58" s="100"/>
      <c r="AI58" s="14"/>
      <c r="AJ58" s="28"/>
      <c r="AK58" s="197"/>
      <c r="AL58" s="100"/>
    </row>
    <row r="59" spans="1:54" ht="21" customHeight="1" thickBot="1" x14ac:dyDescent="0.35">
      <c r="A59" s="30" t="s">
        <v>11</v>
      </c>
      <c r="B59" s="664"/>
      <c r="C59" s="669"/>
      <c r="D59" s="672"/>
      <c r="E59" s="610">
        <v>1155</v>
      </c>
      <c r="F59" s="524">
        <f>(1165-1155)/52.8</f>
        <v>0.18939393939393939</v>
      </c>
      <c r="G59" s="704"/>
      <c r="H59" s="677"/>
      <c r="I59" s="707"/>
      <c r="J59" s="505"/>
      <c r="K59" s="281"/>
      <c r="L59" s="413"/>
      <c r="M59" s="295"/>
      <c r="N59" s="309"/>
      <c r="O59" s="302"/>
      <c r="P59" s="298"/>
      <c r="Q59" s="302"/>
      <c r="R59" s="298"/>
      <c r="S59" s="302"/>
      <c r="T59" s="298"/>
      <c r="U59" s="93">
        <v>2140</v>
      </c>
      <c r="V59" s="94"/>
      <c r="W59" s="57"/>
      <c r="X59" s="58"/>
      <c r="Y59" s="600"/>
      <c r="Z59" s="587"/>
      <c r="AA59" s="588"/>
      <c r="AB59" s="594"/>
      <c r="AC59" s="25"/>
      <c r="AD59" s="91"/>
      <c r="AE59" s="104"/>
      <c r="AF59" s="14"/>
      <c r="AG59" s="99"/>
      <c r="AH59" s="100"/>
      <c r="AI59" s="14"/>
      <c r="AJ59" s="28"/>
      <c r="AK59" s="197"/>
      <c r="AL59" s="100"/>
      <c r="AM59" s="201">
        <v>1.06</v>
      </c>
    </row>
    <row r="60" spans="1:54" ht="21" customHeight="1" thickTop="1" x14ac:dyDescent="0.3">
      <c r="A60" s="31"/>
      <c r="B60" s="665"/>
      <c r="C60" s="670"/>
      <c r="D60" s="673"/>
      <c r="E60" s="611"/>
      <c r="F60" s="585"/>
      <c r="G60" s="597"/>
      <c r="H60" s="678"/>
      <c r="I60" s="584"/>
      <c r="J60" s="508"/>
      <c r="K60" s="281"/>
      <c r="L60" s="413"/>
      <c r="M60" s="297"/>
      <c r="N60" s="311"/>
      <c r="O60" s="304"/>
      <c r="P60" s="300"/>
      <c r="Q60" s="304"/>
      <c r="R60" s="300"/>
      <c r="S60" s="304"/>
      <c r="T60" s="300"/>
      <c r="U60" s="91"/>
      <c r="V60" s="92"/>
      <c r="W60" s="487"/>
      <c r="X60" s="490"/>
      <c r="Y60" s="596"/>
      <c r="Z60" s="595"/>
      <c r="AA60" s="487"/>
      <c r="AB60" s="487"/>
      <c r="AC60" s="25"/>
      <c r="AD60" s="91"/>
      <c r="AE60" s="104"/>
      <c r="AF60" s="14"/>
      <c r="AG60" s="99"/>
      <c r="AH60" s="100"/>
      <c r="AI60" s="14"/>
      <c r="AJ60" s="28"/>
      <c r="AK60" s="197"/>
      <c r="AL60" s="100"/>
      <c r="AV60" s="214"/>
      <c r="AW60" s="214"/>
      <c r="AX60" s="214"/>
      <c r="AY60" s="214"/>
      <c r="AZ60" s="214"/>
    </row>
    <row r="61" spans="1:54" ht="21" customHeight="1" x14ac:dyDescent="0.35">
      <c r="A61" s="13"/>
      <c r="B61" s="19"/>
      <c r="C61" s="514"/>
      <c r="D61" s="515"/>
      <c r="E61" s="204"/>
      <c r="F61" s="228"/>
      <c r="G61" s="223"/>
      <c r="H61" s="525"/>
      <c r="I61" s="228"/>
      <c r="J61" s="20"/>
      <c r="K61" s="282"/>
      <c r="L61" s="415"/>
      <c r="M61" s="292"/>
      <c r="N61" s="312"/>
      <c r="O61" s="655" t="s">
        <v>61</v>
      </c>
      <c r="P61" s="656"/>
      <c r="Q61" s="655" t="s">
        <v>61</v>
      </c>
      <c r="R61" s="656"/>
      <c r="S61" s="655"/>
      <c r="T61" s="656"/>
      <c r="U61" s="91"/>
      <c r="V61" s="92"/>
      <c r="W61" s="639" t="s">
        <v>2</v>
      </c>
      <c r="X61" s="639"/>
      <c r="Y61" s="639"/>
      <c r="Z61" s="639"/>
      <c r="AA61" s="639"/>
      <c r="AB61" s="639"/>
      <c r="AC61" s="25"/>
      <c r="AD61" s="91"/>
      <c r="AE61" s="104"/>
      <c r="AF61" s="14"/>
      <c r="AG61" s="99"/>
      <c r="AH61" s="100"/>
      <c r="AI61" s="14"/>
      <c r="AJ61" s="28"/>
      <c r="AK61" s="197"/>
      <c r="AL61" s="100"/>
      <c r="BA61" s="214"/>
      <c r="BB61" s="214"/>
    </row>
    <row r="62" spans="1:54" ht="30" customHeight="1" thickBot="1" x14ac:dyDescent="0.4">
      <c r="A62" s="17"/>
      <c r="B62" s="23"/>
      <c r="C62" s="516"/>
      <c r="D62" s="517"/>
      <c r="E62" s="210"/>
      <c r="F62" s="229"/>
      <c r="G62" s="224"/>
      <c r="H62" s="526"/>
      <c r="I62" s="229"/>
      <c r="J62" s="24"/>
      <c r="K62" s="283"/>
      <c r="L62" s="416"/>
      <c r="M62" s="293"/>
      <c r="N62" s="313"/>
      <c r="O62" s="657"/>
      <c r="P62" s="658"/>
      <c r="Q62" s="657"/>
      <c r="R62" s="658"/>
      <c r="S62" s="657"/>
      <c r="T62" s="658"/>
      <c r="U62" s="95"/>
      <c r="V62" s="96"/>
      <c r="W62" s="640"/>
      <c r="X62" s="640"/>
      <c r="Y62" s="640"/>
      <c r="Z62" s="640"/>
      <c r="AA62" s="640"/>
      <c r="AB62" s="640"/>
      <c r="AC62" s="26"/>
      <c r="AD62" s="95"/>
      <c r="AE62" s="105"/>
      <c r="AF62" s="18"/>
      <c r="AG62" s="101"/>
      <c r="AH62" s="102"/>
      <c r="AI62" s="18"/>
      <c r="AJ62" s="29"/>
      <c r="AK62" s="198"/>
      <c r="AL62" s="102"/>
    </row>
    <row r="63" spans="1:54" ht="27" thickTop="1" x14ac:dyDescent="0.4"/>
    <row r="64" spans="1:54" s="214" customFormat="1" ht="24.95" customHeight="1" x14ac:dyDescent="0.2">
      <c r="A64" s="212" t="s">
        <v>52</v>
      </c>
      <c r="B64" s="212"/>
      <c r="C64" s="212"/>
      <c r="D64" s="212"/>
      <c r="E64" s="213">
        <f>(E8-E59)/52.8</f>
        <v>11.25</v>
      </c>
      <c r="F64" s="226">
        <f>SUM(F14,F33,F35,F54)+SUM(F60,F31,F13,F8,F30)/1</f>
        <v>10.280606060606061</v>
      </c>
      <c r="G64" s="226">
        <f>SUM(G8:G62)</f>
        <v>11.25</v>
      </c>
      <c r="H64" s="528"/>
      <c r="I64" s="226">
        <f>SUM(I14,I33,I35,I52)+SUM(I51,I31,I13,I8,I30)/1</f>
        <v>11.25</v>
      </c>
      <c r="K64" s="285"/>
      <c r="L64" s="285"/>
      <c r="M64" s="285"/>
      <c r="Q64" s="285"/>
      <c r="R64" s="285"/>
      <c r="S64" s="285"/>
      <c r="T64" s="285"/>
      <c r="U64" s="215"/>
      <c r="V64" s="215"/>
      <c r="AD64" s="215"/>
      <c r="AE64" s="215"/>
      <c r="AG64" s="216"/>
      <c r="AH64" s="216"/>
      <c r="AJ64" s="217"/>
      <c r="AK64" s="216"/>
      <c r="AL64" s="216"/>
      <c r="AM64" s="218"/>
      <c r="AN64" s="159"/>
      <c r="AO64" s="159"/>
      <c r="AP64" s="159"/>
      <c r="AQ64" s="159"/>
      <c r="AR64" s="159"/>
      <c r="AS64" s="159"/>
      <c r="AT64" s="159"/>
      <c r="AV64" s="534"/>
      <c r="AW64" s="534"/>
      <c r="AX64" s="534"/>
      <c r="AY64" s="534"/>
      <c r="AZ64" s="534"/>
      <c r="BA64" s="534"/>
      <c r="BB64" s="534"/>
    </row>
    <row r="65" spans="5:22" x14ac:dyDescent="0.4">
      <c r="F65" s="579" t="s">
        <v>54</v>
      </c>
      <c r="H65" s="529" t="s">
        <v>54</v>
      </c>
      <c r="I65" s="579" t="s">
        <v>54</v>
      </c>
      <c r="J65" s="225" t="s">
        <v>53</v>
      </c>
    </row>
    <row r="66" spans="5:22" ht="20.25" x14ac:dyDescent="0.3">
      <c r="E66" s="467" t="s">
        <v>132</v>
      </c>
      <c r="F66" s="199">
        <f>SUM(F13:F60)</f>
        <v>10.143465909090908</v>
      </c>
      <c r="G66" s="473">
        <f>G64-G8</f>
        <v>9.545454545454545</v>
      </c>
      <c r="H66" s="530">
        <f>SUM(H14:H60)</f>
        <v>4575</v>
      </c>
      <c r="I66" s="199">
        <f>SUM(I13:I60)</f>
        <v>10.14346590909091</v>
      </c>
      <c r="J66" s="473">
        <f>SUM(I14:I50)</f>
        <v>7.9108143939393942</v>
      </c>
    </row>
    <row r="68" spans="5:22" x14ac:dyDescent="0.4">
      <c r="V68" s="230"/>
    </row>
    <row r="69" spans="5:22" x14ac:dyDescent="0.4">
      <c r="V69" s="230"/>
    </row>
    <row r="95" spans="40:46" x14ac:dyDescent="0.4">
      <c r="AN95" s="196"/>
      <c r="AO95" s="196"/>
      <c r="AP95" s="196"/>
      <c r="AQ95" s="196"/>
      <c r="AR95" s="196"/>
      <c r="AS95" s="196"/>
      <c r="AT95" s="196"/>
    </row>
  </sheetData>
  <mergeCells count="63">
    <mergeCell ref="G54:G59"/>
    <mergeCell ref="I52:I59"/>
    <mergeCell ref="F54:F58"/>
    <mergeCell ref="G30:G32"/>
    <mergeCell ref="G33:G34"/>
    <mergeCell ref="F33:F34"/>
    <mergeCell ref="AV10:AV11"/>
    <mergeCell ref="AW11:AY11"/>
    <mergeCell ref="AZ11:BB11"/>
    <mergeCell ref="AP12:AS12"/>
    <mergeCell ref="AP24:AS24"/>
    <mergeCell ref="AO32:AS32"/>
    <mergeCell ref="AO33:AS33"/>
    <mergeCell ref="H35:H50"/>
    <mergeCell ref="I35:I50"/>
    <mergeCell ref="H31:H32"/>
    <mergeCell ref="I33:I34"/>
    <mergeCell ref="B52:B60"/>
    <mergeCell ref="O61:P62"/>
    <mergeCell ref="G47:G53"/>
    <mergeCell ref="G40:G46"/>
    <mergeCell ref="G35:G39"/>
    <mergeCell ref="C8:C60"/>
    <mergeCell ref="D8:D60"/>
    <mergeCell ref="H8:H12"/>
    <mergeCell ref="H52:H60"/>
    <mergeCell ref="I8:I12"/>
    <mergeCell ref="G25:G29"/>
    <mergeCell ref="H33:H34"/>
    <mergeCell ref="I14:I29"/>
    <mergeCell ref="H14:H29"/>
    <mergeCell ref="B13:B32"/>
    <mergeCell ref="B33:B51"/>
    <mergeCell ref="Q61:R62"/>
    <mergeCell ref="S61:T62"/>
    <mergeCell ref="J3:J4"/>
    <mergeCell ref="U3:V3"/>
    <mergeCell ref="K3:K4"/>
    <mergeCell ref="O3:P3"/>
    <mergeCell ref="M3:N3"/>
    <mergeCell ref="G20:G24"/>
    <mergeCell ref="G14:G19"/>
    <mergeCell ref="G8:G13"/>
    <mergeCell ref="Q3:R3"/>
    <mergeCell ref="S3:T3"/>
    <mergeCell ref="F3:I3"/>
    <mergeCell ref="AJ3:AJ4"/>
    <mergeCell ref="AK3:AL3"/>
    <mergeCell ref="W5:AB6"/>
    <mergeCell ref="W61:AB62"/>
    <mergeCell ref="W3:AB4"/>
    <mergeCell ref="AD3:AE3"/>
    <mergeCell ref="A3:A4"/>
    <mergeCell ref="B3:B4"/>
    <mergeCell ref="E3:E4"/>
    <mergeCell ref="C3:D3"/>
    <mergeCell ref="AG3:AH3"/>
    <mergeCell ref="E59:E60"/>
    <mergeCell ref="E53:E54"/>
    <mergeCell ref="F8:F12"/>
    <mergeCell ref="F14:F29"/>
    <mergeCell ref="F52:F53"/>
    <mergeCell ref="F35:F51"/>
  </mergeCells>
  <pageMargins left="0.7" right="0.7" top="0.5" bottom="0.5" header="0.3" footer="0.3"/>
  <pageSetup paperSize="17" scale="26" orientation="portrait" r:id="rId1"/>
  <headerFooter>
    <oddHeader>&amp;C&amp;A</oddHeader>
    <oddFooter>&amp;L&amp;D &amp;T&amp;R&amp;Z&amp;F</oddFooter>
  </headerFooter>
  <colBreaks count="1" manualBreakCount="1">
    <brk id="34" max="61"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B43"/>
  <sheetViews>
    <sheetView view="pageBreakPreview" topLeftCell="A4" zoomScale="70" zoomScaleNormal="85" zoomScaleSheetLayoutView="70" zoomScalePageLayoutView="70" workbookViewId="0">
      <selection activeCell="D27" sqref="D27"/>
    </sheetView>
  </sheetViews>
  <sheetFormatPr defaultRowHeight="18" x14ac:dyDescent="0.25"/>
  <cols>
    <col min="1" max="1" width="7.44140625" style="113" customWidth="1"/>
    <col min="2" max="2" width="15.21875" style="113" customWidth="1"/>
    <col min="3" max="5" width="7.21875" style="113" customWidth="1"/>
    <col min="6" max="6" width="7.21875" style="426" customWidth="1"/>
    <col min="7" max="12" width="2.77734375" style="113" customWidth="1"/>
    <col min="13" max="16384" width="8.88671875" style="113"/>
  </cols>
  <sheetData>
    <row r="1" spans="1:28" s="110" customFormat="1" ht="30" customHeight="1" x14ac:dyDescent="0.4">
      <c r="A1" s="107" t="s">
        <v>15</v>
      </c>
      <c r="B1" s="108"/>
      <c r="C1" s="108"/>
      <c r="D1" s="108"/>
      <c r="E1" s="108"/>
      <c r="F1" s="420"/>
      <c r="G1" s="109"/>
      <c r="H1" s="109"/>
    </row>
    <row r="2" spans="1:28" s="110" customFormat="1" ht="20.25" x14ac:dyDescent="0.3">
      <c r="A2" s="10" t="s">
        <v>16</v>
      </c>
      <c r="B2" s="6"/>
      <c r="C2" s="6"/>
      <c r="D2" s="6"/>
      <c r="E2" s="6"/>
      <c r="F2" s="417"/>
      <c r="G2" s="109"/>
      <c r="H2" s="109"/>
    </row>
    <row r="3" spans="1:28" s="111" customFormat="1" ht="20.25" x14ac:dyDescent="0.3">
      <c r="A3" s="7"/>
      <c r="B3" s="7"/>
      <c r="C3" s="7"/>
      <c r="D3" s="7"/>
      <c r="E3" s="7"/>
      <c r="F3" s="418"/>
      <c r="G3" s="709"/>
      <c r="H3" s="709"/>
      <c r="I3" s="709"/>
      <c r="J3" s="709"/>
      <c r="K3" s="709"/>
      <c r="L3" s="709"/>
    </row>
    <row r="4" spans="1:28" s="110" customFormat="1" ht="21" customHeight="1" thickBot="1" x14ac:dyDescent="0.35">
      <c r="A4" s="9" t="s">
        <v>0</v>
      </c>
      <c r="B4" s="8"/>
      <c r="C4" s="8"/>
      <c r="D4" s="8"/>
      <c r="E4" s="8"/>
      <c r="F4" s="419" t="s">
        <v>127</v>
      </c>
      <c r="G4" s="710"/>
      <c r="H4" s="710"/>
      <c r="I4" s="710"/>
      <c r="J4" s="710"/>
      <c r="K4" s="710"/>
      <c r="L4" s="710"/>
    </row>
    <row r="5" spans="1:28" ht="15.75" customHeight="1" thickTop="1" x14ac:dyDescent="0.25">
      <c r="A5" s="112"/>
      <c r="B5" s="112"/>
      <c r="C5" s="112"/>
      <c r="D5" s="112"/>
      <c r="E5" s="112"/>
      <c r="F5" s="421"/>
      <c r="G5" s="711" t="s">
        <v>12</v>
      </c>
      <c r="H5" s="711"/>
      <c r="I5" s="711"/>
      <c r="J5" s="711"/>
      <c r="K5" s="711"/>
      <c r="L5" s="711"/>
    </row>
    <row r="6" spans="1:28" ht="16.5" customHeight="1" x14ac:dyDescent="0.25">
      <c r="A6" s="114"/>
      <c r="B6" s="114"/>
      <c r="C6" s="114"/>
      <c r="D6" s="114"/>
      <c r="E6" s="114"/>
      <c r="F6" s="422"/>
      <c r="G6" s="711"/>
      <c r="H6" s="711"/>
      <c r="I6" s="711"/>
      <c r="J6" s="711"/>
      <c r="K6" s="711"/>
      <c r="L6" s="711"/>
    </row>
    <row r="7" spans="1:28" ht="18.75" thickBot="1" x14ac:dyDescent="0.3">
      <c r="A7" s="115"/>
      <c r="B7" s="115"/>
      <c r="C7" s="115"/>
      <c r="D7" s="115"/>
      <c r="E7" s="115"/>
      <c r="F7" s="427" t="s">
        <v>128</v>
      </c>
      <c r="G7" s="116"/>
      <c r="H7" s="117"/>
      <c r="I7" s="116"/>
      <c r="J7" s="116"/>
      <c r="K7" s="116"/>
      <c r="L7" s="116"/>
    </row>
    <row r="8" spans="1:28" ht="18.75" thickTop="1" x14ac:dyDescent="0.25">
      <c r="A8" s="114" t="s">
        <v>14</v>
      </c>
      <c r="B8" s="114"/>
      <c r="C8" s="114"/>
      <c r="D8" s="114"/>
      <c r="E8" s="114"/>
      <c r="F8" s="422"/>
      <c r="G8" s="118"/>
      <c r="H8" s="119"/>
      <c r="I8" s="118"/>
      <c r="J8" s="118"/>
      <c r="K8" s="120"/>
      <c r="L8" s="121"/>
      <c r="T8" s="713" t="s">
        <v>130</v>
      </c>
      <c r="U8" s="713"/>
      <c r="V8" s="713"/>
      <c r="W8" s="713"/>
      <c r="X8" s="713"/>
      <c r="Y8" s="713"/>
      <c r="Z8" s="713"/>
      <c r="AA8" s="713"/>
      <c r="AB8" s="713"/>
    </row>
    <row r="9" spans="1:28" x14ac:dyDescent="0.25">
      <c r="A9" s="115"/>
      <c r="B9" s="115"/>
      <c r="C9" s="115"/>
      <c r="D9" s="115"/>
      <c r="E9" s="115"/>
      <c r="F9" s="423"/>
      <c r="G9" s="122"/>
      <c r="H9" s="123"/>
      <c r="I9" s="124"/>
      <c r="J9" s="125"/>
      <c r="K9" s="126"/>
      <c r="L9" s="122"/>
      <c r="T9" s="713"/>
      <c r="U9" s="713"/>
      <c r="V9" s="713"/>
      <c r="W9" s="713"/>
      <c r="X9" s="713"/>
      <c r="Y9" s="713"/>
      <c r="Z9" s="713"/>
      <c r="AA9" s="713"/>
      <c r="AB9" s="713"/>
    </row>
    <row r="10" spans="1:28" ht="17.25" customHeight="1" thickBot="1" x14ac:dyDescent="0.3">
      <c r="A10" s="115" t="s">
        <v>110</v>
      </c>
      <c r="B10" s="115"/>
      <c r="C10" s="115"/>
      <c r="D10" s="115"/>
      <c r="E10" s="115"/>
      <c r="F10" s="427">
        <v>3</v>
      </c>
      <c r="G10" s="127"/>
      <c r="H10" s="128"/>
      <c r="I10" s="428"/>
      <c r="J10" s="429"/>
      <c r="K10" s="129"/>
      <c r="L10" s="130"/>
      <c r="T10" s="713"/>
      <c r="U10" s="713"/>
      <c r="V10" s="713"/>
      <c r="W10" s="713"/>
      <c r="X10" s="713"/>
      <c r="Y10" s="713"/>
      <c r="Z10" s="713"/>
      <c r="AA10" s="713"/>
      <c r="AB10" s="713"/>
    </row>
    <row r="11" spans="1:28" ht="18.75" thickTop="1" x14ac:dyDescent="0.25">
      <c r="A11" s="115"/>
      <c r="B11" s="115"/>
      <c r="C11" s="115"/>
      <c r="D11" s="115"/>
      <c r="E11" s="115"/>
      <c r="F11" s="423"/>
      <c r="G11" s="131"/>
      <c r="H11" s="132"/>
      <c r="I11" s="430"/>
      <c r="J11" s="431"/>
      <c r="K11" s="134"/>
      <c r="L11" s="135"/>
      <c r="T11" s="713"/>
      <c r="U11" s="713"/>
      <c r="V11" s="713"/>
      <c r="W11" s="713"/>
      <c r="X11" s="713"/>
      <c r="Y11" s="713"/>
      <c r="Z11" s="713"/>
      <c r="AA11" s="713"/>
      <c r="AB11" s="713"/>
    </row>
    <row r="12" spans="1:28" ht="16.5" customHeight="1" x14ac:dyDescent="0.25">
      <c r="A12" s="115"/>
      <c r="B12" s="115"/>
      <c r="C12" s="115"/>
      <c r="D12" s="115"/>
      <c r="E12" s="115"/>
      <c r="F12" s="423"/>
      <c r="G12" s="122"/>
      <c r="H12" s="123"/>
      <c r="I12" s="432"/>
      <c r="J12" s="433"/>
      <c r="K12" s="126"/>
      <c r="L12" s="136" t="s">
        <v>13</v>
      </c>
      <c r="T12" s="713"/>
      <c r="U12" s="713"/>
      <c r="V12" s="713"/>
      <c r="W12" s="713"/>
      <c r="X12" s="713"/>
      <c r="Y12" s="713"/>
      <c r="Z12" s="713"/>
      <c r="AA12" s="713"/>
      <c r="AB12" s="713"/>
    </row>
    <row r="13" spans="1:28" x14ac:dyDescent="0.25">
      <c r="A13" s="115" t="s">
        <v>1</v>
      </c>
      <c r="B13" s="115"/>
      <c r="C13" s="115"/>
      <c r="D13" s="115"/>
      <c r="E13" s="115"/>
      <c r="F13" s="423"/>
      <c r="G13" s="137"/>
      <c r="H13" s="138"/>
      <c r="I13" s="434"/>
      <c r="J13" s="435"/>
      <c r="K13" s="139"/>
      <c r="L13" s="137">
        <v>3</v>
      </c>
      <c r="T13" s="713"/>
      <c r="U13" s="713"/>
      <c r="V13" s="713"/>
      <c r="W13" s="713"/>
      <c r="X13" s="713"/>
      <c r="Y13" s="713"/>
      <c r="Z13" s="713"/>
      <c r="AA13" s="713"/>
      <c r="AB13" s="713"/>
    </row>
    <row r="14" spans="1:28" ht="16.5" customHeight="1" x14ac:dyDescent="0.25">
      <c r="A14" s="115"/>
      <c r="B14" s="115"/>
      <c r="C14" s="115"/>
      <c r="D14" s="115"/>
      <c r="E14" s="115"/>
      <c r="F14" s="423"/>
      <c r="G14" s="137"/>
      <c r="H14" s="138"/>
      <c r="I14" s="434"/>
      <c r="J14" s="435"/>
      <c r="K14" s="139"/>
      <c r="L14" s="140"/>
      <c r="T14" s="713"/>
      <c r="U14" s="713"/>
      <c r="V14" s="713"/>
      <c r="W14" s="713"/>
      <c r="X14" s="713"/>
      <c r="Y14" s="713"/>
      <c r="Z14" s="713"/>
      <c r="AA14" s="713"/>
      <c r="AB14" s="713"/>
    </row>
    <row r="15" spans="1:28" ht="18.75" thickBot="1" x14ac:dyDescent="0.3">
      <c r="A15" s="115" t="s">
        <v>4</v>
      </c>
      <c r="B15" s="115"/>
      <c r="C15" s="115"/>
      <c r="D15" s="115"/>
      <c r="E15" s="115"/>
      <c r="F15" s="427">
        <v>4</v>
      </c>
      <c r="G15" s="127"/>
      <c r="H15" s="128"/>
      <c r="I15" s="436"/>
      <c r="J15" s="437"/>
      <c r="K15" s="129"/>
      <c r="L15" s="130"/>
      <c r="T15" s="713"/>
      <c r="U15" s="713"/>
      <c r="V15" s="713"/>
      <c r="W15" s="713"/>
      <c r="X15" s="713"/>
      <c r="Y15" s="713"/>
      <c r="Z15" s="713"/>
      <c r="AA15" s="713"/>
      <c r="AB15" s="713"/>
    </row>
    <row r="16" spans="1:28" ht="18.75" thickTop="1" x14ac:dyDescent="0.25">
      <c r="A16" s="115"/>
      <c r="B16" s="115"/>
      <c r="C16" s="115"/>
      <c r="D16" s="115"/>
      <c r="E16" s="115"/>
      <c r="F16" s="423"/>
      <c r="G16" s="131"/>
      <c r="H16" s="132"/>
      <c r="I16" s="430"/>
      <c r="J16" s="431"/>
      <c r="K16" s="134"/>
      <c r="L16" s="135"/>
      <c r="T16" s="713"/>
      <c r="U16" s="713"/>
      <c r="V16" s="713"/>
      <c r="W16" s="713"/>
      <c r="X16" s="713"/>
      <c r="Y16" s="713"/>
      <c r="Z16" s="713"/>
      <c r="AA16" s="713"/>
      <c r="AB16" s="713"/>
    </row>
    <row r="17" spans="1:28" x14ac:dyDescent="0.25">
      <c r="A17" s="115"/>
      <c r="B17" s="115"/>
      <c r="C17" s="115"/>
      <c r="D17" s="115"/>
      <c r="E17" s="115"/>
      <c r="F17" s="423"/>
      <c r="G17" s="122"/>
      <c r="H17" s="123"/>
      <c r="I17" s="432"/>
      <c r="J17" s="433"/>
      <c r="K17" s="126"/>
      <c r="L17" s="122"/>
      <c r="T17" s="713"/>
      <c r="U17" s="713"/>
      <c r="V17" s="713"/>
      <c r="W17" s="713"/>
      <c r="X17" s="713"/>
      <c r="Y17" s="713"/>
      <c r="Z17" s="713"/>
      <c r="AA17" s="713"/>
      <c r="AB17" s="713"/>
    </row>
    <row r="18" spans="1:28" ht="17.25" customHeight="1" thickBot="1" x14ac:dyDescent="0.3">
      <c r="A18" s="115" t="s">
        <v>5</v>
      </c>
      <c r="B18" s="115"/>
      <c r="C18" s="115"/>
      <c r="D18" s="115"/>
      <c r="E18" s="115"/>
      <c r="F18" s="427">
        <v>5</v>
      </c>
      <c r="G18" s="127"/>
      <c r="H18" s="128"/>
      <c r="I18" s="436"/>
      <c r="J18" s="437"/>
      <c r="K18" s="129"/>
      <c r="L18" s="130"/>
      <c r="T18" s="713"/>
      <c r="U18" s="713"/>
      <c r="V18" s="713"/>
      <c r="W18" s="713"/>
      <c r="X18" s="713"/>
      <c r="Y18" s="713"/>
      <c r="Z18" s="713"/>
      <c r="AA18" s="713"/>
      <c r="AB18" s="713"/>
    </row>
    <row r="19" spans="1:28" ht="18.75" thickTop="1" x14ac:dyDescent="0.25">
      <c r="A19" s="115"/>
      <c r="B19" s="115"/>
      <c r="C19" s="115"/>
      <c r="D19" s="115"/>
      <c r="E19" s="115"/>
      <c r="F19" s="423"/>
      <c r="G19" s="131"/>
      <c r="H19" s="132"/>
      <c r="I19" s="430"/>
      <c r="J19" s="431"/>
      <c r="K19" s="134"/>
      <c r="L19" s="135"/>
      <c r="T19" s="713"/>
      <c r="U19" s="713"/>
      <c r="V19" s="713"/>
      <c r="W19" s="713"/>
      <c r="X19" s="713"/>
      <c r="Y19" s="713"/>
      <c r="Z19" s="713"/>
      <c r="AA19" s="713"/>
      <c r="AB19" s="713"/>
    </row>
    <row r="20" spans="1:28" x14ac:dyDescent="0.25">
      <c r="A20" s="115"/>
      <c r="B20" s="115"/>
      <c r="C20" s="115"/>
      <c r="D20" s="115"/>
      <c r="E20" s="115"/>
      <c r="F20" s="423"/>
      <c r="G20" s="122"/>
      <c r="H20" s="123"/>
      <c r="I20" s="432"/>
      <c r="J20" s="433"/>
      <c r="K20" s="126"/>
      <c r="L20" s="122"/>
      <c r="T20" s="713"/>
      <c r="U20" s="713"/>
      <c r="V20" s="713"/>
      <c r="W20" s="713"/>
      <c r="X20" s="713"/>
      <c r="Y20" s="713"/>
      <c r="Z20" s="713"/>
      <c r="AA20" s="713"/>
      <c r="AB20" s="713"/>
    </row>
    <row r="21" spans="1:28" x14ac:dyDescent="0.25">
      <c r="A21" s="115"/>
      <c r="B21" s="115"/>
      <c r="C21" s="115"/>
      <c r="D21" s="115"/>
      <c r="E21" s="115"/>
      <c r="F21" s="423"/>
      <c r="G21" s="122"/>
      <c r="H21" s="123"/>
      <c r="I21" s="602"/>
      <c r="J21" s="603"/>
      <c r="K21" s="126"/>
      <c r="L21" s="122"/>
      <c r="T21" s="598"/>
      <c r="U21" s="598"/>
      <c r="V21" s="598"/>
      <c r="W21" s="598"/>
      <c r="X21" s="598"/>
      <c r="Y21" s="598"/>
      <c r="Z21" s="598"/>
      <c r="AA21" s="598"/>
      <c r="AB21" s="598"/>
    </row>
    <row r="22" spans="1:28" x14ac:dyDescent="0.25">
      <c r="A22" s="115"/>
      <c r="B22" s="115"/>
      <c r="C22" s="115"/>
      <c r="D22" s="115"/>
      <c r="E22" s="115"/>
      <c r="F22" s="423"/>
      <c r="G22" s="122"/>
      <c r="H22" s="123"/>
      <c r="I22" s="604"/>
      <c r="J22" s="605"/>
      <c r="K22" s="126"/>
      <c r="L22" s="122"/>
      <c r="T22" s="598"/>
      <c r="U22" s="598"/>
      <c r="V22" s="598"/>
      <c r="W22" s="598"/>
      <c r="X22" s="598"/>
      <c r="Y22" s="598"/>
      <c r="Z22" s="598"/>
      <c r="AA22" s="598"/>
      <c r="AB22" s="598"/>
    </row>
    <row r="23" spans="1:28" x14ac:dyDescent="0.25">
      <c r="A23" s="115"/>
      <c r="B23" s="115"/>
      <c r="C23" s="115"/>
      <c r="D23" s="115"/>
      <c r="E23" s="115"/>
      <c r="F23" s="423"/>
      <c r="G23" s="122"/>
      <c r="H23" s="123"/>
      <c r="I23" s="432"/>
      <c r="J23" s="601"/>
      <c r="K23" s="126"/>
      <c r="L23" s="122"/>
      <c r="T23" s="598"/>
      <c r="U23" s="598"/>
      <c r="V23" s="598"/>
      <c r="W23" s="598"/>
      <c r="X23" s="598"/>
      <c r="Y23" s="598"/>
      <c r="Z23" s="598"/>
      <c r="AA23" s="598"/>
      <c r="AB23" s="598"/>
    </row>
    <row r="24" spans="1:28" ht="18.75" thickBot="1" x14ac:dyDescent="0.3">
      <c r="A24" s="115" t="s">
        <v>6</v>
      </c>
      <c r="B24" s="115"/>
      <c r="C24" s="115"/>
      <c r="D24" s="115"/>
      <c r="E24" s="115"/>
      <c r="F24" s="427">
        <v>6</v>
      </c>
      <c r="G24" s="127"/>
      <c r="H24" s="128"/>
      <c r="I24" s="606"/>
      <c r="J24" s="607"/>
      <c r="K24" s="129"/>
      <c r="L24" s="130"/>
    </row>
    <row r="25" spans="1:28" ht="17.25" customHeight="1" thickTop="1" thickBot="1" x14ac:dyDescent="0.3">
      <c r="A25" s="116"/>
      <c r="B25" s="116"/>
      <c r="C25" s="116"/>
      <c r="D25" s="116"/>
      <c r="E25" s="116"/>
      <c r="F25" s="424"/>
      <c r="G25" s="141"/>
      <c r="H25" s="142"/>
      <c r="I25" s="143"/>
      <c r="J25" s="144"/>
      <c r="K25" s="145"/>
      <c r="L25" s="146"/>
    </row>
    <row r="26" spans="1:28" ht="18.75" thickTop="1" x14ac:dyDescent="0.25">
      <c r="A26" s="116" t="s">
        <v>7</v>
      </c>
      <c r="B26" s="116"/>
      <c r="C26" s="116"/>
      <c r="D26" s="116"/>
      <c r="E26" s="116"/>
      <c r="F26" s="427">
        <v>7</v>
      </c>
      <c r="G26" s="133"/>
      <c r="H26" s="132"/>
      <c r="I26" s="608"/>
      <c r="J26" s="609"/>
      <c r="K26" s="134"/>
      <c r="L26" s="118"/>
    </row>
    <row r="27" spans="1:28" ht="18.75" thickBot="1" x14ac:dyDescent="0.3">
      <c r="A27" s="116"/>
      <c r="B27" s="116"/>
      <c r="C27" s="116"/>
      <c r="D27" s="116"/>
      <c r="E27" s="116"/>
      <c r="F27" s="424"/>
      <c r="G27" s="122"/>
      <c r="H27" s="123"/>
      <c r="I27" s="438"/>
      <c r="J27" s="439"/>
      <c r="K27" s="126"/>
      <c r="L27" s="148"/>
    </row>
    <row r="28" spans="1:28" ht="18.75" thickTop="1" x14ac:dyDescent="0.25">
      <c r="A28" s="116" t="s">
        <v>8</v>
      </c>
      <c r="B28" s="116"/>
      <c r="C28" s="116"/>
      <c r="D28" s="116"/>
      <c r="E28" s="116"/>
      <c r="F28" s="427">
        <v>8</v>
      </c>
      <c r="G28" s="133"/>
      <c r="H28" s="132"/>
      <c r="I28" s="440"/>
      <c r="J28" s="441"/>
      <c r="K28" s="134"/>
      <c r="L28" s="149"/>
    </row>
    <row r="29" spans="1:28" ht="17.25" customHeight="1" x14ac:dyDescent="0.25">
      <c r="A29" s="116"/>
      <c r="B29" s="116"/>
      <c r="C29" s="116"/>
      <c r="D29" s="116"/>
      <c r="E29" s="116"/>
      <c r="F29" s="424"/>
      <c r="G29" s="122"/>
      <c r="H29" s="123"/>
      <c r="I29" s="438"/>
      <c r="J29" s="439"/>
      <c r="K29" s="126"/>
      <c r="L29" s="122"/>
    </row>
    <row r="30" spans="1:28" x14ac:dyDescent="0.25">
      <c r="A30" s="116" t="s">
        <v>3</v>
      </c>
      <c r="B30" s="116"/>
      <c r="C30" s="116"/>
      <c r="D30" s="116"/>
      <c r="E30" s="116"/>
      <c r="F30" s="424"/>
      <c r="G30" s="137"/>
      <c r="H30" s="138"/>
      <c r="I30" s="442"/>
      <c r="J30" s="443"/>
      <c r="K30" s="139"/>
      <c r="L30" s="136" t="s">
        <v>13</v>
      </c>
    </row>
    <row r="31" spans="1:28" x14ac:dyDescent="0.25">
      <c r="A31" s="116"/>
      <c r="B31" s="116"/>
      <c r="C31" s="116"/>
      <c r="D31" s="116"/>
      <c r="E31" s="116"/>
      <c r="F31" s="424"/>
      <c r="G31" s="122"/>
      <c r="H31" s="123"/>
      <c r="I31" s="438"/>
      <c r="J31" s="439"/>
      <c r="K31" s="126"/>
      <c r="L31" s="137">
        <v>2</v>
      </c>
    </row>
    <row r="32" spans="1:28" ht="18.75" thickBot="1" x14ac:dyDescent="0.3">
      <c r="A32" s="116" t="s">
        <v>9</v>
      </c>
      <c r="B32" s="116"/>
      <c r="C32" s="116"/>
      <c r="D32" s="116"/>
      <c r="E32" s="116"/>
      <c r="F32" s="427">
        <v>9</v>
      </c>
      <c r="G32" s="127"/>
      <c r="H32" s="128"/>
      <c r="I32" s="444"/>
      <c r="J32" s="445"/>
      <c r="K32" s="129"/>
      <c r="L32" s="130"/>
    </row>
    <row r="33" spans="1:13" ht="16.5" customHeight="1" thickTop="1" x14ac:dyDescent="0.25">
      <c r="A33" s="116"/>
      <c r="B33" s="116"/>
      <c r="C33" s="116"/>
      <c r="D33" s="116"/>
      <c r="E33" s="116"/>
      <c r="F33" s="424"/>
      <c r="G33" s="131"/>
      <c r="H33" s="132"/>
      <c r="I33" s="446"/>
      <c r="J33" s="441"/>
      <c r="K33" s="134"/>
      <c r="L33" s="135"/>
    </row>
    <row r="34" spans="1:13" ht="9.75" customHeight="1" thickBot="1" x14ac:dyDescent="0.3">
      <c r="A34" s="116"/>
      <c r="B34" s="116"/>
      <c r="C34" s="116"/>
      <c r="D34" s="116"/>
      <c r="E34" s="116"/>
      <c r="F34" s="424"/>
      <c r="G34" s="131"/>
      <c r="H34" s="150"/>
      <c r="I34" s="447"/>
      <c r="J34" s="448"/>
      <c r="K34" s="151"/>
      <c r="L34" s="135"/>
    </row>
    <row r="35" spans="1:13" ht="16.5" customHeight="1" thickTop="1" x14ac:dyDescent="0.25">
      <c r="A35" s="116"/>
      <c r="B35" s="116"/>
      <c r="C35" s="116"/>
      <c r="D35" s="116"/>
      <c r="E35" s="116"/>
      <c r="F35" s="424"/>
      <c r="G35" s="131"/>
      <c r="H35" s="150"/>
      <c r="I35" s="147"/>
      <c r="J35" s="152"/>
      <c r="K35" s="151"/>
      <c r="L35" s="135"/>
    </row>
    <row r="36" spans="1:13" ht="10.5" customHeight="1" x14ac:dyDescent="0.25">
      <c r="A36" s="116"/>
      <c r="B36" s="116"/>
      <c r="C36" s="116"/>
      <c r="D36" s="116"/>
      <c r="E36" s="116"/>
      <c r="F36" s="424"/>
      <c r="G36" s="122"/>
      <c r="H36" s="123"/>
      <c r="I36" s="449"/>
      <c r="J36" s="450"/>
      <c r="K36" s="126"/>
      <c r="L36" s="136" t="s">
        <v>13</v>
      </c>
    </row>
    <row r="37" spans="1:13" ht="18.75" thickBot="1" x14ac:dyDescent="0.3">
      <c r="A37" s="116" t="s">
        <v>10</v>
      </c>
      <c r="B37" s="116"/>
      <c r="C37" s="116"/>
      <c r="D37" s="116"/>
      <c r="E37" s="116"/>
      <c r="F37" s="427">
        <v>10</v>
      </c>
      <c r="G37" s="127"/>
      <c r="H37" s="128"/>
      <c r="I37" s="451"/>
      <c r="J37" s="452"/>
      <c r="K37" s="129"/>
      <c r="L37" s="137">
        <v>1</v>
      </c>
    </row>
    <row r="38" spans="1:13" ht="18.75" thickTop="1" x14ac:dyDescent="0.25">
      <c r="A38" s="116"/>
      <c r="B38" s="116"/>
      <c r="C38" s="116"/>
      <c r="D38" s="116"/>
      <c r="E38" s="116"/>
      <c r="F38" s="424"/>
      <c r="G38" s="131"/>
      <c r="H38" s="132"/>
      <c r="I38" s="453"/>
      <c r="J38" s="454"/>
      <c r="K38" s="134"/>
      <c r="L38" s="135"/>
    </row>
    <row r="39" spans="1:13" ht="16.5" customHeight="1" x14ac:dyDescent="0.25">
      <c r="A39" s="116"/>
      <c r="B39" s="116"/>
      <c r="C39" s="116"/>
      <c r="D39" s="116"/>
      <c r="E39" s="116"/>
      <c r="F39" s="424"/>
      <c r="G39" s="122"/>
      <c r="H39" s="123"/>
      <c r="I39" s="449"/>
      <c r="J39" s="450"/>
      <c r="K39" s="126"/>
      <c r="L39" s="122"/>
    </row>
    <row r="40" spans="1:13" ht="18.75" thickBot="1" x14ac:dyDescent="0.3">
      <c r="A40" s="116" t="s">
        <v>11</v>
      </c>
      <c r="B40" s="116"/>
      <c r="C40" s="116"/>
      <c r="D40" s="116"/>
      <c r="E40" s="116"/>
      <c r="F40" s="427" t="s">
        <v>129</v>
      </c>
      <c r="G40" s="127"/>
      <c r="H40" s="128"/>
      <c r="I40" s="451"/>
      <c r="J40" s="452"/>
      <c r="K40" s="129"/>
      <c r="L40" s="130"/>
    </row>
    <row r="41" spans="1:13" ht="18.75" thickTop="1" x14ac:dyDescent="0.25">
      <c r="A41" s="153"/>
      <c r="B41" s="153"/>
      <c r="C41" s="153"/>
      <c r="D41" s="153"/>
      <c r="E41" s="153"/>
      <c r="F41" s="425"/>
      <c r="G41" s="122"/>
      <c r="H41" s="125"/>
      <c r="I41" s="455"/>
      <c r="J41" s="456"/>
      <c r="K41" s="122"/>
      <c r="L41" s="122"/>
    </row>
    <row r="42" spans="1:13" ht="15" customHeight="1" x14ac:dyDescent="0.25">
      <c r="A42" s="153"/>
      <c r="B42" s="153"/>
      <c r="C42" s="153"/>
      <c r="D42" s="153"/>
      <c r="E42" s="153"/>
      <c r="G42" s="712" t="s">
        <v>2</v>
      </c>
      <c r="H42" s="712"/>
      <c r="I42" s="712"/>
      <c r="J42" s="712"/>
      <c r="K42" s="712"/>
      <c r="L42" s="712"/>
    </row>
    <row r="43" spans="1:13" ht="15" customHeight="1" x14ac:dyDescent="0.25">
      <c r="A43" s="153"/>
      <c r="B43" s="153"/>
      <c r="C43" s="153"/>
      <c r="D43" s="153"/>
      <c r="E43" s="153"/>
      <c r="F43" s="425"/>
      <c r="G43" s="712"/>
      <c r="H43" s="712"/>
      <c r="I43" s="712"/>
      <c r="J43" s="712"/>
      <c r="K43" s="712"/>
      <c r="L43" s="712"/>
      <c r="M43" s="427">
        <v>13</v>
      </c>
    </row>
  </sheetData>
  <mergeCells count="5">
    <mergeCell ref="G3:L3"/>
    <mergeCell ref="G4:L4"/>
    <mergeCell ref="G5:L6"/>
    <mergeCell ref="G42:L43"/>
    <mergeCell ref="T8:AB20"/>
  </mergeCells>
  <pageMargins left="0.7" right="0.7" top="0.5" bottom="0.5" header="0.3" footer="0.3"/>
  <pageSetup scale="71"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00B050"/>
    <pageSetUpPr fitToPage="1"/>
  </sheetPr>
  <dimension ref="A1:AG97"/>
  <sheetViews>
    <sheetView topLeftCell="A52" zoomScale="80" zoomScaleNormal="80" workbookViewId="0">
      <selection activeCell="A77" sqref="A77:XFD77"/>
    </sheetView>
  </sheetViews>
  <sheetFormatPr defaultRowHeight="12.75" x14ac:dyDescent="0.2"/>
  <cols>
    <col min="1" max="1" width="11" style="317" customWidth="1"/>
    <col min="2" max="2" width="12.5546875" style="317" customWidth="1"/>
    <col min="3" max="3" width="9.44140625" style="317" customWidth="1"/>
    <col min="4" max="4" width="7.77734375" style="317" bestFit="1" customWidth="1"/>
    <col min="5" max="5" width="8.109375" style="317" customWidth="1"/>
    <col min="6" max="6" width="7.77734375" style="317" bestFit="1" customWidth="1"/>
    <col min="7" max="15" width="7.77734375" style="317" customWidth="1"/>
    <col min="16" max="16" width="4.109375" style="317" customWidth="1"/>
    <col min="17" max="17" width="10.44140625" style="317" customWidth="1"/>
    <col min="18" max="18" width="12.33203125" style="317" customWidth="1"/>
    <col min="19" max="256" width="8.88671875" style="317"/>
    <col min="257" max="257" width="11" style="317" customWidth="1"/>
    <col min="258" max="258" width="12.5546875" style="317" customWidth="1"/>
    <col min="259" max="259" width="9.44140625" style="317" customWidth="1"/>
    <col min="260" max="260" width="7.77734375" style="317" bestFit="1" customWidth="1"/>
    <col min="261" max="261" width="8.109375" style="317" customWidth="1"/>
    <col min="262" max="262" width="7.77734375" style="317" bestFit="1" customWidth="1"/>
    <col min="263" max="271" width="7.77734375" style="317" customWidth="1"/>
    <col min="272" max="512" width="8.88671875" style="317"/>
    <col min="513" max="513" width="11" style="317" customWidth="1"/>
    <col min="514" max="514" width="12.5546875" style="317" customWidth="1"/>
    <col min="515" max="515" width="9.44140625" style="317" customWidth="1"/>
    <col min="516" max="516" width="7.77734375" style="317" bestFit="1" customWidth="1"/>
    <col min="517" max="517" width="8.109375" style="317" customWidth="1"/>
    <col min="518" max="518" width="7.77734375" style="317" bestFit="1" customWidth="1"/>
    <col min="519" max="527" width="7.77734375" style="317" customWidth="1"/>
    <col min="528" max="768" width="8.88671875" style="317"/>
    <col min="769" max="769" width="11" style="317" customWidth="1"/>
    <col min="770" max="770" width="12.5546875" style="317" customWidth="1"/>
    <col min="771" max="771" width="9.44140625" style="317" customWidth="1"/>
    <col min="772" max="772" width="7.77734375" style="317" bestFit="1" customWidth="1"/>
    <col min="773" max="773" width="8.109375" style="317" customWidth="1"/>
    <col min="774" max="774" width="7.77734375" style="317" bestFit="1" customWidth="1"/>
    <col min="775" max="783" width="7.77734375" style="317" customWidth="1"/>
    <col min="784" max="1024" width="8.88671875" style="317"/>
    <col min="1025" max="1025" width="11" style="317" customWidth="1"/>
    <col min="1026" max="1026" width="12.5546875" style="317" customWidth="1"/>
    <col min="1027" max="1027" width="9.44140625" style="317" customWidth="1"/>
    <col min="1028" max="1028" width="7.77734375" style="317" bestFit="1" customWidth="1"/>
    <col min="1029" max="1029" width="8.109375" style="317" customWidth="1"/>
    <col min="1030" max="1030" width="7.77734375" style="317" bestFit="1" customWidth="1"/>
    <col min="1031" max="1039" width="7.77734375" style="317" customWidth="1"/>
    <col min="1040" max="1280" width="8.88671875" style="317"/>
    <col min="1281" max="1281" width="11" style="317" customWidth="1"/>
    <col min="1282" max="1282" width="12.5546875" style="317" customWidth="1"/>
    <col min="1283" max="1283" width="9.44140625" style="317" customWidth="1"/>
    <col min="1284" max="1284" width="7.77734375" style="317" bestFit="1" customWidth="1"/>
    <col min="1285" max="1285" width="8.109375" style="317" customWidth="1"/>
    <col min="1286" max="1286" width="7.77734375" style="317" bestFit="1" customWidth="1"/>
    <col min="1287" max="1295" width="7.77734375" style="317" customWidth="1"/>
    <col min="1296" max="1536" width="8.88671875" style="317"/>
    <col min="1537" max="1537" width="11" style="317" customWidth="1"/>
    <col min="1538" max="1538" width="12.5546875" style="317" customWidth="1"/>
    <col min="1539" max="1539" width="9.44140625" style="317" customWidth="1"/>
    <col min="1540" max="1540" width="7.77734375" style="317" bestFit="1" customWidth="1"/>
    <col min="1541" max="1541" width="8.109375" style="317" customWidth="1"/>
    <col min="1542" max="1542" width="7.77734375" style="317" bestFit="1" customWidth="1"/>
    <col min="1543" max="1551" width="7.77734375" style="317" customWidth="1"/>
    <col min="1552" max="1792" width="8.88671875" style="317"/>
    <col min="1793" max="1793" width="11" style="317" customWidth="1"/>
    <col min="1794" max="1794" width="12.5546875" style="317" customWidth="1"/>
    <col min="1795" max="1795" width="9.44140625" style="317" customWidth="1"/>
    <col min="1796" max="1796" width="7.77734375" style="317" bestFit="1" customWidth="1"/>
    <col min="1797" max="1797" width="8.109375" style="317" customWidth="1"/>
    <col min="1798" max="1798" width="7.77734375" style="317" bestFit="1" customWidth="1"/>
    <col min="1799" max="1807" width="7.77734375" style="317" customWidth="1"/>
    <col min="1808" max="2048" width="8.88671875" style="317"/>
    <col min="2049" max="2049" width="11" style="317" customWidth="1"/>
    <col min="2050" max="2050" width="12.5546875" style="317" customWidth="1"/>
    <col min="2051" max="2051" width="9.44140625" style="317" customWidth="1"/>
    <col min="2052" max="2052" width="7.77734375" style="317" bestFit="1" customWidth="1"/>
    <col min="2053" max="2053" width="8.109375" style="317" customWidth="1"/>
    <col min="2054" max="2054" width="7.77734375" style="317" bestFit="1" customWidth="1"/>
    <col min="2055" max="2063" width="7.77734375" style="317" customWidth="1"/>
    <col min="2064" max="2304" width="8.88671875" style="317"/>
    <col min="2305" max="2305" width="11" style="317" customWidth="1"/>
    <col min="2306" max="2306" width="12.5546875" style="317" customWidth="1"/>
    <col min="2307" max="2307" width="9.44140625" style="317" customWidth="1"/>
    <col min="2308" max="2308" width="7.77734375" style="317" bestFit="1" customWidth="1"/>
    <col min="2309" max="2309" width="8.109375" style="317" customWidth="1"/>
    <col min="2310" max="2310" width="7.77734375" style="317" bestFit="1" customWidth="1"/>
    <col min="2311" max="2319" width="7.77734375" style="317" customWidth="1"/>
    <col min="2320" max="2560" width="8.88671875" style="317"/>
    <col min="2561" max="2561" width="11" style="317" customWidth="1"/>
    <col min="2562" max="2562" width="12.5546875" style="317" customWidth="1"/>
    <col min="2563" max="2563" width="9.44140625" style="317" customWidth="1"/>
    <col min="2564" max="2564" width="7.77734375" style="317" bestFit="1" customWidth="1"/>
    <col min="2565" max="2565" width="8.109375" style="317" customWidth="1"/>
    <col min="2566" max="2566" width="7.77734375" style="317" bestFit="1" customWidth="1"/>
    <col min="2567" max="2575" width="7.77734375" style="317" customWidth="1"/>
    <col min="2576" max="2816" width="8.88671875" style="317"/>
    <col min="2817" max="2817" width="11" style="317" customWidth="1"/>
    <col min="2818" max="2818" width="12.5546875" style="317" customWidth="1"/>
    <col min="2819" max="2819" width="9.44140625" style="317" customWidth="1"/>
    <col min="2820" max="2820" width="7.77734375" style="317" bestFit="1" customWidth="1"/>
    <col min="2821" max="2821" width="8.109375" style="317" customWidth="1"/>
    <col min="2822" max="2822" width="7.77734375" style="317" bestFit="1" customWidth="1"/>
    <col min="2823" max="2831" width="7.77734375" style="317" customWidth="1"/>
    <col min="2832" max="3072" width="8.88671875" style="317"/>
    <col min="3073" max="3073" width="11" style="317" customWidth="1"/>
    <col min="3074" max="3074" width="12.5546875" style="317" customWidth="1"/>
    <col min="3075" max="3075" width="9.44140625" style="317" customWidth="1"/>
    <col min="3076" max="3076" width="7.77734375" style="317" bestFit="1" customWidth="1"/>
    <col min="3077" max="3077" width="8.109375" style="317" customWidth="1"/>
    <col min="3078" max="3078" width="7.77734375" style="317" bestFit="1" customWidth="1"/>
    <col min="3079" max="3087" width="7.77734375" style="317" customWidth="1"/>
    <col min="3088" max="3328" width="8.88671875" style="317"/>
    <col min="3329" max="3329" width="11" style="317" customWidth="1"/>
    <col min="3330" max="3330" width="12.5546875" style="317" customWidth="1"/>
    <col min="3331" max="3331" width="9.44140625" style="317" customWidth="1"/>
    <col min="3332" max="3332" width="7.77734375" style="317" bestFit="1" customWidth="1"/>
    <col min="3333" max="3333" width="8.109375" style="317" customWidth="1"/>
    <col min="3334" max="3334" width="7.77734375" style="317" bestFit="1" customWidth="1"/>
    <col min="3335" max="3343" width="7.77734375" style="317" customWidth="1"/>
    <col min="3344" max="3584" width="8.88671875" style="317"/>
    <col min="3585" max="3585" width="11" style="317" customWidth="1"/>
    <col min="3586" max="3586" width="12.5546875" style="317" customWidth="1"/>
    <col min="3587" max="3587" width="9.44140625" style="317" customWidth="1"/>
    <col min="3588" max="3588" width="7.77734375" style="317" bestFit="1" customWidth="1"/>
    <col min="3589" max="3589" width="8.109375" style="317" customWidth="1"/>
    <col min="3590" max="3590" width="7.77734375" style="317" bestFit="1" customWidth="1"/>
    <col min="3591" max="3599" width="7.77734375" style="317" customWidth="1"/>
    <col min="3600" max="3840" width="8.88671875" style="317"/>
    <col min="3841" max="3841" width="11" style="317" customWidth="1"/>
    <col min="3842" max="3842" width="12.5546875" style="317" customWidth="1"/>
    <col min="3843" max="3843" width="9.44140625" style="317" customWidth="1"/>
    <col min="3844" max="3844" width="7.77734375" style="317" bestFit="1" customWidth="1"/>
    <col min="3845" max="3845" width="8.109375" style="317" customWidth="1"/>
    <col min="3846" max="3846" width="7.77734375" style="317" bestFit="1" customWidth="1"/>
    <col min="3847" max="3855" width="7.77734375" style="317" customWidth="1"/>
    <col min="3856" max="4096" width="8.88671875" style="317"/>
    <col min="4097" max="4097" width="11" style="317" customWidth="1"/>
    <col min="4098" max="4098" width="12.5546875" style="317" customWidth="1"/>
    <col min="4099" max="4099" width="9.44140625" style="317" customWidth="1"/>
    <col min="4100" max="4100" width="7.77734375" style="317" bestFit="1" customWidth="1"/>
    <col min="4101" max="4101" width="8.109375" style="317" customWidth="1"/>
    <col min="4102" max="4102" width="7.77734375" style="317" bestFit="1" customWidth="1"/>
    <col min="4103" max="4111" width="7.77734375" style="317" customWidth="1"/>
    <col min="4112" max="4352" width="8.88671875" style="317"/>
    <col min="4353" max="4353" width="11" style="317" customWidth="1"/>
    <col min="4354" max="4354" width="12.5546875" style="317" customWidth="1"/>
    <col min="4355" max="4355" width="9.44140625" style="317" customWidth="1"/>
    <col min="4356" max="4356" width="7.77734375" style="317" bestFit="1" customWidth="1"/>
    <col min="4357" max="4357" width="8.109375" style="317" customWidth="1"/>
    <col min="4358" max="4358" width="7.77734375" style="317" bestFit="1" customWidth="1"/>
    <col min="4359" max="4367" width="7.77734375" style="317" customWidth="1"/>
    <col min="4368" max="4608" width="8.88671875" style="317"/>
    <col min="4609" max="4609" width="11" style="317" customWidth="1"/>
    <col min="4610" max="4610" width="12.5546875" style="317" customWidth="1"/>
    <col min="4611" max="4611" width="9.44140625" style="317" customWidth="1"/>
    <col min="4612" max="4612" width="7.77734375" style="317" bestFit="1" customWidth="1"/>
    <col min="4613" max="4613" width="8.109375" style="317" customWidth="1"/>
    <col min="4614" max="4614" width="7.77734375" style="317" bestFit="1" customWidth="1"/>
    <col min="4615" max="4623" width="7.77734375" style="317" customWidth="1"/>
    <col min="4624" max="4864" width="8.88671875" style="317"/>
    <col min="4865" max="4865" width="11" style="317" customWidth="1"/>
    <col min="4866" max="4866" width="12.5546875" style="317" customWidth="1"/>
    <col min="4867" max="4867" width="9.44140625" style="317" customWidth="1"/>
    <col min="4868" max="4868" width="7.77734375" style="317" bestFit="1" customWidth="1"/>
    <col min="4869" max="4869" width="8.109375" style="317" customWidth="1"/>
    <col min="4870" max="4870" width="7.77734375" style="317" bestFit="1" customWidth="1"/>
    <col min="4871" max="4879" width="7.77734375" style="317" customWidth="1"/>
    <col min="4880" max="5120" width="8.88671875" style="317"/>
    <col min="5121" max="5121" width="11" style="317" customWidth="1"/>
    <col min="5122" max="5122" width="12.5546875" style="317" customWidth="1"/>
    <col min="5123" max="5123" width="9.44140625" style="317" customWidth="1"/>
    <col min="5124" max="5124" width="7.77734375" style="317" bestFit="1" customWidth="1"/>
    <col min="5125" max="5125" width="8.109375" style="317" customWidth="1"/>
    <col min="5126" max="5126" width="7.77734375" style="317" bestFit="1" customWidth="1"/>
    <col min="5127" max="5135" width="7.77734375" style="317" customWidth="1"/>
    <col min="5136" max="5376" width="8.88671875" style="317"/>
    <col min="5377" max="5377" width="11" style="317" customWidth="1"/>
    <col min="5378" max="5378" width="12.5546875" style="317" customWidth="1"/>
    <col min="5379" max="5379" width="9.44140625" style="317" customWidth="1"/>
    <col min="5380" max="5380" width="7.77734375" style="317" bestFit="1" customWidth="1"/>
    <col min="5381" max="5381" width="8.109375" style="317" customWidth="1"/>
    <col min="5382" max="5382" width="7.77734375" style="317" bestFit="1" customWidth="1"/>
    <col min="5383" max="5391" width="7.77734375" style="317" customWidth="1"/>
    <col min="5392" max="5632" width="8.88671875" style="317"/>
    <col min="5633" max="5633" width="11" style="317" customWidth="1"/>
    <col min="5634" max="5634" width="12.5546875" style="317" customWidth="1"/>
    <col min="5635" max="5635" width="9.44140625" style="317" customWidth="1"/>
    <col min="5636" max="5636" width="7.77734375" style="317" bestFit="1" customWidth="1"/>
    <col min="5637" max="5637" width="8.109375" style="317" customWidth="1"/>
    <col min="5638" max="5638" width="7.77734375" style="317" bestFit="1" customWidth="1"/>
    <col min="5639" max="5647" width="7.77734375" style="317" customWidth="1"/>
    <col min="5648" max="5888" width="8.88671875" style="317"/>
    <col min="5889" max="5889" width="11" style="317" customWidth="1"/>
    <col min="5890" max="5890" width="12.5546875" style="317" customWidth="1"/>
    <col min="5891" max="5891" width="9.44140625" style="317" customWidth="1"/>
    <col min="5892" max="5892" width="7.77734375" style="317" bestFit="1" customWidth="1"/>
    <col min="5893" max="5893" width="8.109375" style="317" customWidth="1"/>
    <col min="5894" max="5894" width="7.77734375" style="317" bestFit="1" customWidth="1"/>
    <col min="5895" max="5903" width="7.77734375" style="317" customWidth="1"/>
    <col min="5904" max="6144" width="8.88671875" style="317"/>
    <col min="6145" max="6145" width="11" style="317" customWidth="1"/>
    <col min="6146" max="6146" width="12.5546875" style="317" customWidth="1"/>
    <col min="6147" max="6147" width="9.44140625" style="317" customWidth="1"/>
    <col min="6148" max="6148" width="7.77734375" style="317" bestFit="1" customWidth="1"/>
    <col min="6149" max="6149" width="8.109375" style="317" customWidth="1"/>
    <col min="6150" max="6150" width="7.77734375" style="317" bestFit="1" customWidth="1"/>
    <col min="6151" max="6159" width="7.77734375" style="317" customWidth="1"/>
    <col min="6160" max="6400" width="8.88671875" style="317"/>
    <col min="6401" max="6401" width="11" style="317" customWidth="1"/>
    <col min="6402" max="6402" width="12.5546875" style="317" customWidth="1"/>
    <col min="6403" max="6403" width="9.44140625" style="317" customWidth="1"/>
    <col min="6404" max="6404" width="7.77734375" style="317" bestFit="1" customWidth="1"/>
    <col min="6405" max="6405" width="8.109375" style="317" customWidth="1"/>
    <col min="6406" max="6406" width="7.77734375" style="317" bestFit="1" customWidth="1"/>
    <col min="6407" max="6415" width="7.77734375" style="317" customWidth="1"/>
    <col min="6416" max="6656" width="8.88671875" style="317"/>
    <col min="6657" max="6657" width="11" style="317" customWidth="1"/>
    <col min="6658" max="6658" width="12.5546875" style="317" customWidth="1"/>
    <col min="6659" max="6659" width="9.44140625" style="317" customWidth="1"/>
    <col min="6660" max="6660" width="7.77734375" style="317" bestFit="1" customWidth="1"/>
    <col min="6661" max="6661" width="8.109375" style="317" customWidth="1"/>
    <col min="6662" max="6662" width="7.77734375" style="317" bestFit="1" customWidth="1"/>
    <col min="6663" max="6671" width="7.77734375" style="317" customWidth="1"/>
    <col min="6672" max="6912" width="8.88671875" style="317"/>
    <col min="6913" max="6913" width="11" style="317" customWidth="1"/>
    <col min="6914" max="6914" width="12.5546875" style="317" customWidth="1"/>
    <col min="6915" max="6915" width="9.44140625" style="317" customWidth="1"/>
    <col min="6916" max="6916" width="7.77734375" style="317" bestFit="1" customWidth="1"/>
    <col min="6917" max="6917" width="8.109375" style="317" customWidth="1"/>
    <col min="6918" max="6918" width="7.77734375" style="317" bestFit="1" customWidth="1"/>
    <col min="6919" max="6927" width="7.77734375" style="317" customWidth="1"/>
    <col min="6928" max="7168" width="8.88671875" style="317"/>
    <col min="7169" max="7169" width="11" style="317" customWidth="1"/>
    <col min="7170" max="7170" width="12.5546875" style="317" customWidth="1"/>
    <col min="7171" max="7171" width="9.44140625" style="317" customWidth="1"/>
    <col min="7172" max="7172" width="7.77734375" style="317" bestFit="1" customWidth="1"/>
    <col min="7173" max="7173" width="8.109375" style="317" customWidth="1"/>
    <col min="7174" max="7174" width="7.77734375" style="317" bestFit="1" customWidth="1"/>
    <col min="7175" max="7183" width="7.77734375" style="317" customWidth="1"/>
    <col min="7184" max="7424" width="8.88671875" style="317"/>
    <col min="7425" max="7425" width="11" style="317" customWidth="1"/>
    <col min="7426" max="7426" width="12.5546875" style="317" customWidth="1"/>
    <col min="7427" max="7427" width="9.44140625" style="317" customWidth="1"/>
    <col min="7428" max="7428" width="7.77734375" style="317" bestFit="1" customWidth="1"/>
    <col min="7429" max="7429" width="8.109375" style="317" customWidth="1"/>
    <col min="7430" max="7430" width="7.77734375" style="317" bestFit="1" customWidth="1"/>
    <col min="7431" max="7439" width="7.77734375" style="317" customWidth="1"/>
    <col min="7440" max="7680" width="8.88671875" style="317"/>
    <col min="7681" max="7681" width="11" style="317" customWidth="1"/>
    <col min="7682" max="7682" width="12.5546875" style="317" customWidth="1"/>
    <col min="7683" max="7683" width="9.44140625" style="317" customWidth="1"/>
    <col min="7684" max="7684" width="7.77734375" style="317" bestFit="1" customWidth="1"/>
    <col min="7685" max="7685" width="8.109375" style="317" customWidth="1"/>
    <col min="7686" max="7686" width="7.77734375" style="317" bestFit="1" customWidth="1"/>
    <col min="7687" max="7695" width="7.77734375" style="317" customWidth="1"/>
    <col min="7696" max="7936" width="8.88671875" style="317"/>
    <col min="7937" max="7937" width="11" style="317" customWidth="1"/>
    <col min="7938" max="7938" width="12.5546875" style="317" customWidth="1"/>
    <col min="7939" max="7939" width="9.44140625" style="317" customWidth="1"/>
    <col min="7940" max="7940" width="7.77734375" style="317" bestFit="1" customWidth="1"/>
    <col min="7941" max="7941" width="8.109375" style="317" customWidth="1"/>
    <col min="7942" max="7942" width="7.77734375" style="317" bestFit="1" customWidth="1"/>
    <col min="7943" max="7951" width="7.77734375" style="317" customWidth="1"/>
    <col min="7952" max="8192" width="8.88671875" style="317"/>
    <col min="8193" max="8193" width="11" style="317" customWidth="1"/>
    <col min="8194" max="8194" width="12.5546875" style="317" customWidth="1"/>
    <col min="8195" max="8195" width="9.44140625" style="317" customWidth="1"/>
    <col min="8196" max="8196" width="7.77734375" style="317" bestFit="1" customWidth="1"/>
    <col min="8197" max="8197" width="8.109375" style="317" customWidth="1"/>
    <col min="8198" max="8198" width="7.77734375" style="317" bestFit="1" customWidth="1"/>
    <col min="8199" max="8207" width="7.77734375" style="317" customWidth="1"/>
    <col min="8208" max="8448" width="8.88671875" style="317"/>
    <col min="8449" max="8449" width="11" style="317" customWidth="1"/>
    <col min="8450" max="8450" width="12.5546875" style="317" customWidth="1"/>
    <col min="8451" max="8451" width="9.44140625" style="317" customWidth="1"/>
    <col min="8452" max="8452" width="7.77734375" style="317" bestFit="1" customWidth="1"/>
    <col min="8453" max="8453" width="8.109375" style="317" customWidth="1"/>
    <col min="8454" max="8454" width="7.77734375" style="317" bestFit="1" customWidth="1"/>
    <col min="8455" max="8463" width="7.77734375" style="317" customWidth="1"/>
    <col min="8464" max="8704" width="8.88671875" style="317"/>
    <col min="8705" max="8705" width="11" style="317" customWidth="1"/>
    <col min="8706" max="8706" width="12.5546875" style="317" customWidth="1"/>
    <col min="8707" max="8707" width="9.44140625" style="317" customWidth="1"/>
    <col min="8708" max="8708" width="7.77734375" style="317" bestFit="1" customWidth="1"/>
    <col min="8709" max="8709" width="8.109375" style="317" customWidth="1"/>
    <col min="8710" max="8710" width="7.77734375" style="317" bestFit="1" customWidth="1"/>
    <col min="8711" max="8719" width="7.77734375" style="317" customWidth="1"/>
    <col min="8720" max="8960" width="8.88671875" style="317"/>
    <col min="8961" max="8961" width="11" style="317" customWidth="1"/>
    <col min="8962" max="8962" width="12.5546875" style="317" customWidth="1"/>
    <col min="8963" max="8963" width="9.44140625" style="317" customWidth="1"/>
    <col min="8964" max="8964" width="7.77734375" style="317" bestFit="1" customWidth="1"/>
    <col min="8965" max="8965" width="8.109375" style="317" customWidth="1"/>
    <col min="8966" max="8966" width="7.77734375" style="317" bestFit="1" customWidth="1"/>
    <col min="8967" max="8975" width="7.77734375" style="317" customWidth="1"/>
    <col min="8976" max="9216" width="8.88671875" style="317"/>
    <col min="9217" max="9217" width="11" style="317" customWidth="1"/>
    <col min="9218" max="9218" width="12.5546875" style="317" customWidth="1"/>
    <col min="9219" max="9219" width="9.44140625" style="317" customWidth="1"/>
    <col min="9220" max="9220" width="7.77734375" style="317" bestFit="1" customWidth="1"/>
    <col min="9221" max="9221" width="8.109375" style="317" customWidth="1"/>
    <col min="9222" max="9222" width="7.77734375" style="317" bestFit="1" customWidth="1"/>
    <col min="9223" max="9231" width="7.77734375" style="317" customWidth="1"/>
    <col min="9232" max="9472" width="8.88671875" style="317"/>
    <col min="9473" max="9473" width="11" style="317" customWidth="1"/>
    <col min="9474" max="9474" width="12.5546875" style="317" customWidth="1"/>
    <col min="9475" max="9475" width="9.44140625" style="317" customWidth="1"/>
    <col min="9476" max="9476" width="7.77734375" style="317" bestFit="1" customWidth="1"/>
    <col min="9477" max="9477" width="8.109375" style="317" customWidth="1"/>
    <col min="9478" max="9478" width="7.77734375" style="317" bestFit="1" customWidth="1"/>
    <col min="9479" max="9487" width="7.77734375" style="317" customWidth="1"/>
    <col min="9488" max="9728" width="8.88671875" style="317"/>
    <col min="9729" max="9729" width="11" style="317" customWidth="1"/>
    <col min="9730" max="9730" width="12.5546875" style="317" customWidth="1"/>
    <col min="9731" max="9731" width="9.44140625" style="317" customWidth="1"/>
    <col min="9732" max="9732" width="7.77734375" style="317" bestFit="1" customWidth="1"/>
    <col min="9733" max="9733" width="8.109375" style="317" customWidth="1"/>
    <col min="9734" max="9734" width="7.77734375" style="317" bestFit="1" customWidth="1"/>
    <col min="9735" max="9743" width="7.77734375" style="317" customWidth="1"/>
    <col min="9744" max="9984" width="8.88671875" style="317"/>
    <col min="9985" max="9985" width="11" style="317" customWidth="1"/>
    <col min="9986" max="9986" width="12.5546875" style="317" customWidth="1"/>
    <col min="9987" max="9987" width="9.44140625" style="317" customWidth="1"/>
    <col min="9988" max="9988" width="7.77734375" style="317" bestFit="1" customWidth="1"/>
    <col min="9989" max="9989" width="8.109375" style="317" customWidth="1"/>
    <col min="9990" max="9990" width="7.77734375" style="317" bestFit="1" customWidth="1"/>
    <col min="9991" max="9999" width="7.77734375" style="317" customWidth="1"/>
    <col min="10000" max="10240" width="8.88671875" style="317"/>
    <col min="10241" max="10241" width="11" style="317" customWidth="1"/>
    <col min="10242" max="10242" width="12.5546875" style="317" customWidth="1"/>
    <col min="10243" max="10243" width="9.44140625" style="317" customWidth="1"/>
    <col min="10244" max="10244" width="7.77734375" style="317" bestFit="1" customWidth="1"/>
    <col min="10245" max="10245" width="8.109375" style="317" customWidth="1"/>
    <col min="10246" max="10246" width="7.77734375" style="317" bestFit="1" customWidth="1"/>
    <col min="10247" max="10255" width="7.77734375" style="317" customWidth="1"/>
    <col min="10256" max="10496" width="8.88671875" style="317"/>
    <col min="10497" max="10497" width="11" style="317" customWidth="1"/>
    <col min="10498" max="10498" width="12.5546875" style="317" customWidth="1"/>
    <col min="10499" max="10499" width="9.44140625" style="317" customWidth="1"/>
    <col min="10500" max="10500" width="7.77734375" style="317" bestFit="1" customWidth="1"/>
    <col min="10501" max="10501" width="8.109375" style="317" customWidth="1"/>
    <col min="10502" max="10502" width="7.77734375" style="317" bestFit="1" customWidth="1"/>
    <col min="10503" max="10511" width="7.77734375" style="317" customWidth="1"/>
    <col min="10512" max="10752" width="8.88671875" style="317"/>
    <col min="10753" max="10753" width="11" style="317" customWidth="1"/>
    <col min="10754" max="10754" width="12.5546875" style="317" customWidth="1"/>
    <col min="10755" max="10755" width="9.44140625" style="317" customWidth="1"/>
    <col min="10756" max="10756" width="7.77734375" style="317" bestFit="1" customWidth="1"/>
    <col min="10757" max="10757" width="8.109375" style="317" customWidth="1"/>
    <col min="10758" max="10758" width="7.77734375" style="317" bestFit="1" customWidth="1"/>
    <col min="10759" max="10767" width="7.77734375" style="317" customWidth="1"/>
    <col min="10768" max="11008" width="8.88671875" style="317"/>
    <col min="11009" max="11009" width="11" style="317" customWidth="1"/>
    <col min="11010" max="11010" width="12.5546875" style="317" customWidth="1"/>
    <col min="11011" max="11011" width="9.44140625" style="317" customWidth="1"/>
    <col min="11012" max="11012" width="7.77734375" style="317" bestFit="1" customWidth="1"/>
    <col min="11013" max="11013" width="8.109375" style="317" customWidth="1"/>
    <col min="11014" max="11014" width="7.77734375" style="317" bestFit="1" customWidth="1"/>
    <col min="11015" max="11023" width="7.77734375" style="317" customWidth="1"/>
    <col min="11024" max="11264" width="8.88671875" style="317"/>
    <col min="11265" max="11265" width="11" style="317" customWidth="1"/>
    <col min="11266" max="11266" width="12.5546875" style="317" customWidth="1"/>
    <col min="11267" max="11267" width="9.44140625" style="317" customWidth="1"/>
    <col min="11268" max="11268" width="7.77734375" style="317" bestFit="1" customWidth="1"/>
    <col min="11269" max="11269" width="8.109375" style="317" customWidth="1"/>
    <col min="11270" max="11270" width="7.77734375" style="317" bestFit="1" customWidth="1"/>
    <col min="11271" max="11279" width="7.77734375" style="317" customWidth="1"/>
    <col min="11280" max="11520" width="8.88671875" style="317"/>
    <col min="11521" max="11521" width="11" style="317" customWidth="1"/>
    <col min="11522" max="11522" width="12.5546875" style="317" customWidth="1"/>
    <col min="11523" max="11523" width="9.44140625" style="317" customWidth="1"/>
    <col min="11524" max="11524" width="7.77734375" style="317" bestFit="1" customWidth="1"/>
    <col min="11525" max="11525" width="8.109375" style="317" customWidth="1"/>
    <col min="11526" max="11526" width="7.77734375" style="317" bestFit="1" customWidth="1"/>
    <col min="11527" max="11535" width="7.77734375" style="317" customWidth="1"/>
    <col min="11536" max="11776" width="8.88671875" style="317"/>
    <col min="11777" max="11777" width="11" style="317" customWidth="1"/>
    <col min="11778" max="11778" width="12.5546875" style="317" customWidth="1"/>
    <col min="11779" max="11779" width="9.44140625" style="317" customWidth="1"/>
    <col min="11780" max="11780" width="7.77734375" style="317" bestFit="1" customWidth="1"/>
    <col min="11781" max="11781" width="8.109375" style="317" customWidth="1"/>
    <col min="11782" max="11782" width="7.77734375" style="317" bestFit="1" customWidth="1"/>
    <col min="11783" max="11791" width="7.77734375" style="317" customWidth="1"/>
    <col min="11792" max="12032" width="8.88671875" style="317"/>
    <col min="12033" max="12033" width="11" style="317" customWidth="1"/>
    <col min="12034" max="12034" width="12.5546875" style="317" customWidth="1"/>
    <col min="12035" max="12035" width="9.44140625" style="317" customWidth="1"/>
    <col min="12036" max="12036" width="7.77734375" style="317" bestFit="1" customWidth="1"/>
    <col min="12037" max="12037" width="8.109375" style="317" customWidth="1"/>
    <col min="12038" max="12038" width="7.77734375" style="317" bestFit="1" customWidth="1"/>
    <col min="12039" max="12047" width="7.77734375" style="317" customWidth="1"/>
    <col min="12048" max="12288" width="8.88671875" style="317"/>
    <col min="12289" max="12289" width="11" style="317" customWidth="1"/>
    <col min="12290" max="12290" width="12.5546875" style="317" customWidth="1"/>
    <col min="12291" max="12291" width="9.44140625" style="317" customWidth="1"/>
    <col min="12292" max="12292" width="7.77734375" style="317" bestFit="1" customWidth="1"/>
    <col min="12293" max="12293" width="8.109375" style="317" customWidth="1"/>
    <col min="12294" max="12294" width="7.77734375" style="317" bestFit="1" customWidth="1"/>
    <col min="12295" max="12303" width="7.77734375" style="317" customWidth="1"/>
    <col min="12304" max="12544" width="8.88671875" style="317"/>
    <col min="12545" max="12545" width="11" style="317" customWidth="1"/>
    <col min="12546" max="12546" width="12.5546875" style="317" customWidth="1"/>
    <col min="12547" max="12547" width="9.44140625" style="317" customWidth="1"/>
    <col min="12548" max="12548" width="7.77734375" style="317" bestFit="1" customWidth="1"/>
    <col min="12549" max="12549" width="8.109375" style="317" customWidth="1"/>
    <col min="12550" max="12550" width="7.77734375" style="317" bestFit="1" customWidth="1"/>
    <col min="12551" max="12559" width="7.77734375" style="317" customWidth="1"/>
    <col min="12560" max="12800" width="8.88671875" style="317"/>
    <col min="12801" max="12801" width="11" style="317" customWidth="1"/>
    <col min="12802" max="12802" width="12.5546875" style="317" customWidth="1"/>
    <col min="12803" max="12803" width="9.44140625" style="317" customWidth="1"/>
    <col min="12804" max="12804" width="7.77734375" style="317" bestFit="1" customWidth="1"/>
    <col min="12805" max="12805" width="8.109375" style="317" customWidth="1"/>
    <col min="12806" max="12806" width="7.77734375" style="317" bestFit="1" customWidth="1"/>
    <col min="12807" max="12815" width="7.77734375" style="317" customWidth="1"/>
    <col min="12816" max="13056" width="8.88671875" style="317"/>
    <col min="13057" max="13057" width="11" style="317" customWidth="1"/>
    <col min="13058" max="13058" width="12.5546875" style="317" customWidth="1"/>
    <col min="13059" max="13059" width="9.44140625" style="317" customWidth="1"/>
    <col min="13060" max="13060" width="7.77734375" style="317" bestFit="1" customWidth="1"/>
    <col min="13061" max="13061" width="8.109375" style="317" customWidth="1"/>
    <col min="13062" max="13062" width="7.77734375" style="317" bestFit="1" customWidth="1"/>
    <col min="13063" max="13071" width="7.77734375" style="317" customWidth="1"/>
    <col min="13072" max="13312" width="8.88671875" style="317"/>
    <col min="13313" max="13313" width="11" style="317" customWidth="1"/>
    <col min="13314" max="13314" width="12.5546875" style="317" customWidth="1"/>
    <col min="13315" max="13315" width="9.44140625" style="317" customWidth="1"/>
    <col min="13316" max="13316" width="7.77734375" style="317" bestFit="1" customWidth="1"/>
    <col min="13317" max="13317" width="8.109375" style="317" customWidth="1"/>
    <col min="13318" max="13318" width="7.77734375" style="317" bestFit="1" customWidth="1"/>
    <col min="13319" max="13327" width="7.77734375" style="317" customWidth="1"/>
    <col min="13328" max="13568" width="8.88671875" style="317"/>
    <col min="13569" max="13569" width="11" style="317" customWidth="1"/>
    <col min="13570" max="13570" width="12.5546875" style="317" customWidth="1"/>
    <col min="13571" max="13571" width="9.44140625" style="317" customWidth="1"/>
    <col min="13572" max="13572" width="7.77734375" style="317" bestFit="1" customWidth="1"/>
    <col min="13573" max="13573" width="8.109375" style="317" customWidth="1"/>
    <col min="13574" max="13574" width="7.77734375" style="317" bestFit="1" customWidth="1"/>
    <col min="13575" max="13583" width="7.77734375" style="317" customWidth="1"/>
    <col min="13584" max="13824" width="8.88671875" style="317"/>
    <col min="13825" max="13825" width="11" style="317" customWidth="1"/>
    <col min="13826" max="13826" width="12.5546875" style="317" customWidth="1"/>
    <col min="13827" max="13827" width="9.44140625" style="317" customWidth="1"/>
    <col min="13828" max="13828" width="7.77734375" style="317" bestFit="1" customWidth="1"/>
    <col min="13829" max="13829" width="8.109375" style="317" customWidth="1"/>
    <col min="13830" max="13830" width="7.77734375" style="317" bestFit="1" customWidth="1"/>
    <col min="13831" max="13839" width="7.77734375" style="317" customWidth="1"/>
    <col min="13840" max="14080" width="8.88671875" style="317"/>
    <col min="14081" max="14081" width="11" style="317" customWidth="1"/>
    <col min="14082" max="14082" width="12.5546875" style="317" customWidth="1"/>
    <col min="14083" max="14083" width="9.44140625" style="317" customWidth="1"/>
    <col min="14084" max="14084" width="7.77734375" style="317" bestFit="1" customWidth="1"/>
    <col min="14085" max="14085" width="8.109375" style="317" customWidth="1"/>
    <col min="14086" max="14086" width="7.77734375" style="317" bestFit="1" customWidth="1"/>
    <col min="14087" max="14095" width="7.77734375" style="317" customWidth="1"/>
    <col min="14096" max="14336" width="8.88671875" style="317"/>
    <col min="14337" max="14337" width="11" style="317" customWidth="1"/>
    <col min="14338" max="14338" width="12.5546875" style="317" customWidth="1"/>
    <col min="14339" max="14339" width="9.44140625" style="317" customWidth="1"/>
    <col min="14340" max="14340" width="7.77734375" style="317" bestFit="1" customWidth="1"/>
    <col min="14341" max="14341" width="8.109375" style="317" customWidth="1"/>
    <col min="14342" max="14342" width="7.77734375" style="317" bestFit="1" customWidth="1"/>
    <col min="14343" max="14351" width="7.77734375" style="317" customWidth="1"/>
    <col min="14352" max="14592" width="8.88671875" style="317"/>
    <col min="14593" max="14593" width="11" style="317" customWidth="1"/>
    <col min="14594" max="14594" width="12.5546875" style="317" customWidth="1"/>
    <col min="14595" max="14595" width="9.44140625" style="317" customWidth="1"/>
    <col min="14596" max="14596" width="7.77734375" style="317" bestFit="1" customWidth="1"/>
    <col min="14597" max="14597" width="8.109375" style="317" customWidth="1"/>
    <col min="14598" max="14598" width="7.77734375" style="317" bestFit="1" customWidth="1"/>
    <col min="14599" max="14607" width="7.77734375" style="317" customWidth="1"/>
    <col min="14608" max="14848" width="8.88671875" style="317"/>
    <col min="14849" max="14849" width="11" style="317" customWidth="1"/>
    <col min="14850" max="14850" width="12.5546875" style="317" customWidth="1"/>
    <col min="14851" max="14851" width="9.44140625" style="317" customWidth="1"/>
    <col min="14852" max="14852" width="7.77734375" style="317" bestFit="1" customWidth="1"/>
    <col min="14853" max="14853" width="8.109375" style="317" customWidth="1"/>
    <col min="14854" max="14854" width="7.77734375" style="317" bestFit="1" customWidth="1"/>
    <col min="14855" max="14863" width="7.77734375" style="317" customWidth="1"/>
    <col min="14864" max="15104" width="8.88671875" style="317"/>
    <col min="15105" max="15105" width="11" style="317" customWidth="1"/>
    <col min="15106" max="15106" width="12.5546875" style="317" customWidth="1"/>
    <col min="15107" max="15107" width="9.44140625" style="317" customWidth="1"/>
    <col min="15108" max="15108" width="7.77734375" style="317" bestFit="1" customWidth="1"/>
    <col min="15109" max="15109" width="8.109375" style="317" customWidth="1"/>
    <col min="15110" max="15110" width="7.77734375" style="317" bestFit="1" customWidth="1"/>
    <col min="15111" max="15119" width="7.77734375" style="317" customWidth="1"/>
    <col min="15120" max="15360" width="8.88671875" style="317"/>
    <col min="15361" max="15361" width="11" style="317" customWidth="1"/>
    <col min="15362" max="15362" width="12.5546875" style="317" customWidth="1"/>
    <col min="15363" max="15363" width="9.44140625" style="317" customWidth="1"/>
    <col min="15364" max="15364" width="7.77734375" style="317" bestFit="1" customWidth="1"/>
    <col min="15365" max="15365" width="8.109375" style="317" customWidth="1"/>
    <col min="15366" max="15366" width="7.77734375" style="317" bestFit="1" customWidth="1"/>
    <col min="15367" max="15375" width="7.77734375" style="317" customWidth="1"/>
    <col min="15376" max="15616" width="8.88671875" style="317"/>
    <col min="15617" max="15617" width="11" style="317" customWidth="1"/>
    <col min="15618" max="15618" width="12.5546875" style="317" customWidth="1"/>
    <col min="15619" max="15619" width="9.44140625" style="317" customWidth="1"/>
    <col min="15620" max="15620" width="7.77734375" style="317" bestFit="1" customWidth="1"/>
    <col min="15621" max="15621" width="8.109375" style="317" customWidth="1"/>
    <col min="15622" max="15622" width="7.77734375" style="317" bestFit="1" customWidth="1"/>
    <col min="15623" max="15631" width="7.77734375" style="317" customWidth="1"/>
    <col min="15632" max="15872" width="8.88671875" style="317"/>
    <col min="15873" max="15873" width="11" style="317" customWidth="1"/>
    <col min="15874" max="15874" width="12.5546875" style="317" customWidth="1"/>
    <col min="15875" max="15875" width="9.44140625" style="317" customWidth="1"/>
    <col min="15876" max="15876" width="7.77734375" style="317" bestFit="1" customWidth="1"/>
    <col min="15877" max="15877" width="8.109375" style="317" customWidth="1"/>
    <col min="15878" max="15878" width="7.77734375" style="317" bestFit="1" customWidth="1"/>
    <col min="15879" max="15887" width="7.77734375" style="317" customWidth="1"/>
    <col min="15888" max="16128" width="8.88671875" style="317"/>
    <col min="16129" max="16129" width="11" style="317" customWidth="1"/>
    <col min="16130" max="16130" width="12.5546875" style="317" customWidth="1"/>
    <col min="16131" max="16131" width="9.44140625" style="317" customWidth="1"/>
    <col min="16132" max="16132" width="7.77734375" style="317" bestFit="1" customWidth="1"/>
    <col min="16133" max="16133" width="8.109375" style="317" customWidth="1"/>
    <col min="16134" max="16134" width="7.77734375" style="317" bestFit="1" customWidth="1"/>
    <col min="16135" max="16143" width="7.77734375" style="317" customWidth="1"/>
    <col min="16144" max="16384" width="8.88671875" style="317"/>
  </cols>
  <sheetData>
    <row r="1" spans="1:31" x14ac:dyDescent="0.2">
      <c r="A1" s="317" t="s">
        <v>62</v>
      </c>
    </row>
    <row r="2" spans="1:31" x14ac:dyDescent="0.2">
      <c r="A2" s="317" t="s">
        <v>63</v>
      </c>
      <c r="B2" s="318">
        <v>13</v>
      </c>
    </row>
    <row r="3" spans="1:31" x14ac:dyDescent="0.2">
      <c r="A3" s="317" t="s">
        <v>64</v>
      </c>
      <c r="B3" s="318" t="s">
        <v>53</v>
      </c>
      <c r="D3" s="317">
        <v>12</v>
      </c>
      <c r="E3" s="317">
        <v>11</v>
      </c>
      <c r="F3" s="317">
        <v>10</v>
      </c>
      <c r="G3" s="317">
        <v>9</v>
      </c>
      <c r="H3" s="317">
        <v>8</v>
      </c>
      <c r="I3" s="317">
        <v>7</v>
      </c>
      <c r="J3" s="317">
        <v>6</v>
      </c>
      <c r="K3" s="317">
        <v>5</v>
      </c>
      <c r="L3" s="317">
        <v>4</v>
      </c>
      <c r="M3" s="317">
        <v>3</v>
      </c>
      <c r="N3" s="317">
        <v>2</v>
      </c>
      <c r="O3" s="317">
        <v>1</v>
      </c>
      <c r="Q3" s="317" t="s">
        <v>64</v>
      </c>
      <c r="R3" s="318" t="s">
        <v>53</v>
      </c>
      <c r="T3" s="317">
        <v>12</v>
      </c>
      <c r="U3" s="317">
        <v>11</v>
      </c>
      <c r="V3" s="317">
        <v>10</v>
      </c>
      <c r="W3" s="317">
        <v>9</v>
      </c>
      <c r="X3" s="317">
        <v>8</v>
      </c>
      <c r="Y3" s="317">
        <v>7</v>
      </c>
      <c r="Z3" s="317">
        <v>6</v>
      </c>
      <c r="AA3" s="317">
        <v>5</v>
      </c>
      <c r="AB3" s="317">
        <v>4</v>
      </c>
      <c r="AC3" s="317">
        <v>3</v>
      </c>
      <c r="AD3" s="317">
        <v>2</v>
      </c>
      <c r="AE3" s="317">
        <v>1</v>
      </c>
    </row>
    <row r="4" spans="1:31" x14ac:dyDescent="0.2">
      <c r="D4" s="319" t="s">
        <v>65</v>
      </c>
      <c r="E4" s="319"/>
      <c r="F4" s="319"/>
      <c r="G4" s="319"/>
      <c r="H4" s="319"/>
      <c r="I4" s="319"/>
      <c r="J4" s="319"/>
      <c r="K4" s="319"/>
      <c r="L4" s="319"/>
      <c r="M4" s="319"/>
      <c r="N4" s="319"/>
      <c r="O4" s="319"/>
      <c r="T4" s="319" t="s">
        <v>65</v>
      </c>
      <c r="U4" s="319"/>
      <c r="V4" s="319"/>
      <c r="W4" s="319"/>
      <c r="X4" s="319"/>
      <c r="Y4" s="319"/>
      <c r="Z4" s="319"/>
      <c r="AA4" s="319"/>
      <c r="AB4" s="319"/>
      <c r="AC4" s="319"/>
      <c r="AD4" s="319"/>
      <c r="AE4" s="319"/>
    </row>
    <row r="5" spans="1:31" x14ac:dyDescent="0.2">
      <c r="B5" s="320" t="s">
        <v>66</v>
      </c>
      <c r="C5" s="321"/>
      <c r="D5" s="322" t="s">
        <v>67</v>
      </c>
      <c r="E5" s="323" t="s">
        <v>68</v>
      </c>
      <c r="F5" s="322" t="s">
        <v>69</v>
      </c>
      <c r="G5" s="322" t="s">
        <v>70</v>
      </c>
      <c r="H5" s="322" t="s">
        <v>71</v>
      </c>
      <c r="I5" s="322" t="s">
        <v>72</v>
      </c>
      <c r="J5" s="322" t="s">
        <v>73</v>
      </c>
      <c r="K5" s="322" t="s">
        <v>74</v>
      </c>
      <c r="L5" s="322" t="s">
        <v>75</v>
      </c>
      <c r="M5" s="322" t="s">
        <v>76</v>
      </c>
      <c r="N5" s="322" t="s">
        <v>77</v>
      </c>
      <c r="O5" s="324" t="s">
        <v>78</v>
      </c>
      <c r="R5" s="320" t="s">
        <v>66</v>
      </c>
      <c r="S5" s="321"/>
      <c r="T5" s="322" t="s">
        <v>67</v>
      </c>
      <c r="U5" s="323" t="s">
        <v>68</v>
      </c>
      <c r="V5" s="322" t="s">
        <v>69</v>
      </c>
      <c r="W5" s="322" t="s">
        <v>70</v>
      </c>
      <c r="X5" s="322" t="s">
        <v>71</v>
      </c>
      <c r="Y5" s="322" t="s">
        <v>72</v>
      </c>
      <c r="Z5" s="322" t="s">
        <v>73</v>
      </c>
      <c r="AA5" s="322" t="s">
        <v>74</v>
      </c>
      <c r="AB5" s="322" t="s">
        <v>75</v>
      </c>
      <c r="AC5" s="322" t="s">
        <v>76</v>
      </c>
      <c r="AD5" s="322" t="s">
        <v>77</v>
      </c>
      <c r="AE5" s="324" t="s">
        <v>78</v>
      </c>
    </row>
    <row r="6" spans="1:31" x14ac:dyDescent="0.2">
      <c r="B6" s="325"/>
      <c r="C6" s="326" t="s">
        <v>79</v>
      </c>
      <c r="D6" s="327" t="s">
        <v>80</v>
      </c>
      <c r="E6" s="327" t="s">
        <v>80</v>
      </c>
      <c r="F6" s="327">
        <v>519800507</v>
      </c>
      <c r="G6" s="327">
        <v>518386958</v>
      </c>
      <c r="H6" s="328">
        <v>519801046</v>
      </c>
      <c r="I6" s="327">
        <v>518385776</v>
      </c>
      <c r="J6" s="327" t="s">
        <v>80</v>
      </c>
      <c r="K6" s="328">
        <v>520761664</v>
      </c>
      <c r="L6" s="327">
        <v>518384960</v>
      </c>
      <c r="M6" s="327">
        <v>518384655</v>
      </c>
      <c r="N6" s="328">
        <v>518384471</v>
      </c>
      <c r="O6" s="329">
        <v>518384241</v>
      </c>
      <c r="R6" s="325"/>
      <c r="S6" s="326" t="s">
        <v>79</v>
      </c>
      <c r="T6" s="327" t="s">
        <v>80</v>
      </c>
      <c r="U6" s="327" t="s">
        <v>80</v>
      </c>
      <c r="V6" s="327">
        <v>519800507</v>
      </c>
      <c r="W6" s="327">
        <v>518386958</v>
      </c>
      <c r="X6" s="328">
        <v>519801046</v>
      </c>
      <c r="Y6" s="327">
        <v>518385776</v>
      </c>
      <c r="Z6" s="327" t="s">
        <v>80</v>
      </c>
      <c r="AA6" s="328">
        <v>520761664</v>
      </c>
      <c r="AB6" s="327">
        <v>518384960</v>
      </c>
      <c r="AC6" s="327">
        <v>518384655</v>
      </c>
      <c r="AD6" s="328">
        <v>518384471</v>
      </c>
      <c r="AE6" s="329">
        <v>518384241</v>
      </c>
    </row>
    <row r="7" spans="1:31" x14ac:dyDescent="0.2">
      <c r="A7" s="714" t="s">
        <v>81</v>
      </c>
      <c r="B7" s="330" t="s">
        <v>67</v>
      </c>
      <c r="C7" s="331">
        <v>518388007</v>
      </c>
      <c r="D7" s="332" t="s">
        <v>80</v>
      </c>
      <c r="E7" s="333" t="s">
        <v>80</v>
      </c>
      <c r="F7" s="334">
        <f>0.25/($A$44)</f>
        <v>0.25</v>
      </c>
      <c r="G7" s="334">
        <f>0.5/($A$44)</f>
        <v>0.5</v>
      </c>
      <c r="H7" s="334">
        <f t="shared" ref="H7:I9" si="0">1/($A$44)</f>
        <v>1</v>
      </c>
      <c r="I7" s="334">
        <f t="shared" si="0"/>
        <v>1</v>
      </c>
      <c r="J7" s="333" t="s">
        <v>80</v>
      </c>
      <c r="K7" s="334">
        <f t="shared" ref="K7:L9" si="1">1/($A$44)</f>
        <v>1</v>
      </c>
      <c r="L7" s="334">
        <f t="shared" si="1"/>
        <v>1</v>
      </c>
      <c r="M7" s="334">
        <f t="shared" ref="M7:O9" si="2">1.75/($A$44)</f>
        <v>1.75</v>
      </c>
      <c r="N7" s="334">
        <f t="shared" si="2"/>
        <v>1.75</v>
      </c>
      <c r="O7" s="335">
        <f t="shared" si="2"/>
        <v>1.75</v>
      </c>
      <c r="Q7" s="714" t="s">
        <v>81</v>
      </c>
      <c r="R7" s="330" t="s">
        <v>67</v>
      </c>
      <c r="S7" s="331">
        <v>518388007</v>
      </c>
      <c r="T7" s="332" t="s">
        <v>80</v>
      </c>
      <c r="U7" s="333" t="s">
        <v>80</v>
      </c>
      <c r="V7" s="334">
        <f>0.25/($A$44)</f>
        <v>0.25</v>
      </c>
      <c r="W7" s="334">
        <f>0.5/($A$44)</f>
        <v>0.5</v>
      </c>
      <c r="X7" s="334">
        <f t="shared" ref="X7:Y9" si="3">1/($A$44)</f>
        <v>1</v>
      </c>
      <c r="Y7" s="334">
        <f t="shared" si="3"/>
        <v>1</v>
      </c>
      <c r="Z7" s="333" t="s">
        <v>80</v>
      </c>
      <c r="AA7" s="334">
        <f t="shared" ref="AA7:AB9" si="4">1/($A$44)</f>
        <v>1</v>
      </c>
      <c r="AB7" s="334">
        <f t="shared" si="4"/>
        <v>1</v>
      </c>
      <c r="AC7" s="334">
        <f t="shared" ref="AC7:AE9" si="5">1.75/($A$44)</f>
        <v>1.75</v>
      </c>
      <c r="AD7" s="334">
        <f t="shared" si="5"/>
        <v>1.75</v>
      </c>
      <c r="AE7" s="335">
        <f t="shared" si="5"/>
        <v>1.75</v>
      </c>
    </row>
    <row r="8" spans="1:31" x14ac:dyDescent="0.2">
      <c r="A8" s="714"/>
      <c r="B8" s="330" t="s">
        <v>68</v>
      </c>
      <c r="C8" s="331">
        <v>518387923</v>
      </c>
      <c r="D8" s="336" t="s">
        <v>80</v>
      </c>
      <c r="E8" s="337" t="s">
        <v>80</v>
      </c>
      <c r="F8" s="338">
        <f>0.25/($A$44)</f>
        <v>0.25</v>
      </c>
      <c r="G8" s="338">
        <f>0.5/($A$44)</f>
        <v>0.5</v>
      </c>
      <c r="H8" s="338">
        <f t="shared" si="0"/>
        <v>1</v>
      </c>
      <c r="I8" s="338">
        <f t="shared" si="0"/>
        <v>1</v>
      </c>
      <c r="J8" s="337" t="s">
        <v>80</v>
      </c>
      <c r="K8" s="338">
        <f t="shared" si="1"/>
        <v>1</v>
      </c>
      <c r="L8" s="338">
        <f t="shared" si="1"/>
        <v>1</v>
      </c>
      <c r="M8" s="338">
        <f t="shared" si="2"/>
        <v>1.75</v>
      </c>
      <c r="N8" s="338">
        <f t="shared" si="2"/>
        <v>1.75</v>
      </c>
      <c r="O8" s="339">
        <f t="shared" si="2"/>
        <v>1.75</v>
      </c>
      <c r="Q8" s="714"/>
      <c r="R8" s="330" t="s">
        <v>68</v>
      </c>
      <c r="S8" s="331">
        <v>518387923</v>
      </c>
      <c r="T8" s="336" t="s">
        <v>80</v>
      </c>
      <c r="U8" s="337" t="s">
        <v>80</v>
      </c>
      <c r="V8" s="338">
        <f>0.25/($A$44)</f>
        <v>0.25</v>
      </c>
      <c r="W8" s="338">
        <f>0.5/($A$44)</f>
        <v>0.5</v>
      </c>
      <c r="X8" s="338">
        <f t="shared" si="3"/>
        <v>1</v>
      </c>
      <c r="Y8" s="338">
        <f t="shared" si="3"/>
        <v>1</v>
      </c>
      <c r="Z8" s="337" t="s">
        <v>80</v>
      </c>
      <c r="AA8" s="338">
        <f t="shared" si="4"/>
        <v>1</v>
      </c>
      <c r="AB8" s="338">
        <f t="shared" si="4"/>
        <v>1</v>
      </c>
      <c r="AC8" s="338">
        <f t="shared" si="5"/>
        <v>1.75</v>
      </c>
      <c r="AD8" s="338">
        <f t="shared" si="5"/>
        <v>1.75</v>
      </c>
      <c r="AE8" s="339">
        <f t="shared" si="5"/>
        <v>1.75</v>
      </c>
    </row>
    <row r="9" spans="1:31" x14ac:dyDescent="0.2">
      <c r="A9" s="714"/>
      <c r="B9" s="330" t="s">
        <v>69</v>
      </c>
      <c r="C9" s="331">
        <v>520769099</v>
      </c>
      <c r="D9" s="336" t="s">
        <v>80</v>
      </c>
      <c r="E9" s="340" t="s">
        <v>80</v>
      </c>
      <c r="F9" s="337" t="s">
        <v>80</v>
      </c>
      <c r="G9" s="338">
        <f>0.5/($A$44)</f>
        <v>0.5</v>
      </c>
      <c r="H9" s="338">
        <f t="shared" si="0"/>
        <v>1</v>
      </c>
      <c r="I9" s="338">
        <f t="shared" si="0"/>
        <v>1</v>
      </c>
      <c r="J9" s="337" t="s">
        <v>80</v>
      </c>
      <c r="K9" s="338">
        <f t="shared" si="1"/>
        <v>1</v>
      </c>
      <c r="L9" s="338">
        <f t="shared" si="1"/>
        <v>1</v>
      </c>
      <c r="M9" s="338">
        <f t="shared" si="2"/>
        <v>1.75</v>
      </c>
      <c r="N9" s="338">
        <f t="shared" si="2"/>
        <v>1.75</v>
      </c>
      <c r="O9" s="339">
        <f t="shared" si="2"/>
        <v>1.75</v>
      </c>
      <c r="Q9" s="714"/>
      <c r="R9" s="330" t="s">
        <v>69</v>
      </c>
      <c r="S9" s="331">
        <v>520769099</v>
      </c>
      <c r="T9" s="336" t="s">
        <v>80</v>
      </c>
      <c r="U9" s="340" t="s">
        <v>80</v>
      </c>
      <c r="V9" s="337" t="s">
        <v>80</v>
      </c>
      <c r="W9" s="338">
        <f>0.5/($A$44)</f>
        <v>0.5</v>
      </c>
      <c r="X9" s="338">
        <f t="shared" si="3"/>
        <v>1</v>
      </c>
      <c r="Y9" s="338">
        <f t="shared" si="3"/>
        <v>1</v>
      </c>
      <c r="Z9" s="337" t="s">
        <v>80</v>
      </c>
      <c r="AA9" s="338">
        <f t="shared" si="4"/>
        <v>1</v>
      </c>
      <c r="AB9" s="338">
        <f t="shared" si="4"/>
        <v>1</v>
      </c>
      <c r="AC9" s="338">
        <f t="shared" si="5"/>
        <v>1.75</v>
      </c>
      <c r="AD9" s="338">
        <f t="shared" si="5"/>
        <v>1.75</v>
      </c>
      <c r="AE9" s="339">
        <f t="shared" si="5"/>
        <v>1.75</v>
      </c>
    </row>
    <row r="10" spans="1:31" x14ac:dyDescent="0.2">
      <c r="A10" s="714"/>
      <c r="B10" s="330" t="s">
        <v>70</v>
      </c>
      <c r="C10" s="331">
        <v>519793296</v>
      </c>
      <c r="D10" s="336" t="s">
        <v>80</v>
      </c>
      <c r="E10" s="340" t="s">
        <v>80</v>
      </c>
      <c r="F10" s="340" t="s">
        <v>80</v>
      </c>
      <c r="G10" s="337" t="s">
        <v>80</v>
      </c>
      <c r="H10" s="338">
        <f>1/($A$44)</f>
        <v>1</v>
      </c>
      <c r="I10" s="338">
        <f>1/($A$44)</f>
        <v>1</v>
      </c>
      <c r="J10" s="337" t="s">
        <v>80</v>
      </c>
      <c r="K10" s="338">
        <f>1/($A$44)</f>
        <v>1</v>
      </c>
      <c r="L10" s="338">
        <f>1/($A$44)</f>
        <v>1</v>
      </c>
      <c r="M10" s="338">
        <f>1.75/($A$44)</f>
        <v>1.75</v>
      </c>
      <c r="N10" s="338">
        <f>1.75/($A$44)</f>
        <v>1.75</v>
      </c>
      <c r="O10" s="339">
        <f>1.75/($A$44)</f>
        <v>1.75</v>
      </c>
      <c r="Q10" s="714"/>
      <c r="R10" s="330" t="s">
        <v>70</v>
      </c>
      <c r="S10" s="331">
        <v>519793296</v>
      </c>
      <c r="T10" s="336" t="s">
        <v>80</v>
      </c>
      <c r="U10" s="340" t="s">
        <v>80</v>
      </c>
      <c r="V10" s="340" t="s">
        <v>80</v>
      </c>
      <c r="W10" s="337" t="s">
        <v>80</v>
      </c>
      <c r="X10" s="338">
        <f>1/($A$44)</f>
        <v>1</v>
      </c>
      <c r="Y10" s="338">
        <f>1/($A$44)</f>
        <v>1</v>
      </c>
      <c r="Z10" s="337" t="s">
        <v>80</v>
      </c>
      <c r="AA10" s="338">
        <f>1/($A$44)</f>
        <v>1</v>
      </c>
      <c r="AB10" s="338">
        <f>1/($A$44)</f>
        <v>1</v>
      </c>
      <c r="AC10" s="338">
        <f>1.75/($A$44)</f>
        <v>1.75</v>
      </c>
      <c r="AD10" s="338">
        <f>1.75/($A$44)</f>
        <v>1.75</v>
      </c>
      <c r="AE10" s="339">
        <f>1.75/($A$44)</f>
        <v>1.75</v>
      </c>
    </row>
    <row r="11" spans="1:31" x14ac:dyDescent="0.2">
      <c r="A11" s="714"/>
      <c r="B11" s="330" t="s">
        <v>71</v>
      </c>
      <c r="C11" s="341" t="s">
        <v>80</v>
      </c>
      <c r="D11" s="336" t="s">
        <v>80</v>
      </c>
      <c r="E11" s="340" t="s">
        <v>80</v>
      </c>
      <c r="F11" s="340" t="s">
        <v>80</v>
      </c>
      <c r="G11" s="340" t="s">
        <v>80</v>
      </c>
      <c r="H11" s="337" t="s">
        <v>80</v>
      </c>
      <c r="I11" s="337" t="s">
        <v>80</v>
      </c>
      <c r="J11" s="337" t="s">
        <v>80</v>
      </c>
      <c r="K11" s="337" t="s">
        <v>80</v>
      </c>
      <c r="L11" s="337" t="s">
        <v>80</v>
      </c>
      <c r="M11" s="337" t="s">
        <v>80</v>
      </c>
      <c r="N11" s="337" t="s">
        <v>80</v>
      </c>
      <c r="O11" s="342" t="s">
        <v>80</v>
      </c>
      <c r="Q11" s="714"/>
      <c r="R11" s="330" t="s">
        <v>71</v>
      </c>
      <c r="S11" s="341" t="s">
        <v>80</v>
      </c>
      <c r="T11" s="336" t="s">
        <v>80</v>
      </c>
      <c r="U11" s="340" t="s">
        <v>80</v>
      </c>
      <c r="V11" s="340" t="s">
        <v>80</v>
      </c>
      <c r="W11" s="340" t="s">
        <v>80</v>
      </c>
      <c r="X11" s="337" t="s">
        <v>80</v>
      </c>
      <c r="Y11" s="337" t="s">
        <v>80</v>
      </c>
      <c r="Z11" s="337" t="s">
        <v>80</v>
      </c>
      <c r="AA11" s="337" t="s">
        <v>80</v>
      </c>
      <c r="AB11" s="337" t="s">
        <v>80</v>
      </c>
      <c r="AC11" s="337" t="s">
        <v>80</v>
      </c>
      <c r="AD11" s="337" t="s">
        <v>80</v>
      </c>
      <c r="AE11" s="342" t="s">
        <v>80</v>
      </c>
    </row>
    <row r="12" spans="1:31" x14ac:dyDescent="0.2">
      <c r="A12" s="714"/>
      <c r="B12" s="330" t="s">
        <v>72</v>
      </c>
      <c r="C12" s="341" t="s">
        <v>80</v>
      </c>
      <c r="D12" s="336" t="s">
        <v>80</v>
      </c>
      <c r="E12" s="340" t="s">
        <v>80</v>
      </c>
      <c r="F12" s="340" t="s">
        <v>80</v>
      </c>
      <c r="G12" s="340" t="s">
        <v>80</v>
      </c>
      <c r="H12" s="337" t="s">
        <v>80</v>
      </c>
      <c r="I12" s="337" t="s">
        <v>80</v>
      </c>
      <c r="J12" s="337" t="s">
        <v>80</v>
      </c>
      <c r="K12" s="337" t="s">
        <v>80</v>
      </c>
      <c r="L12" s="337" t="s">
        <v>80</v>
      </c>
      <c r="M12" s="337" t="s">
        <v>80</v>
      </c>
      <c r="N12" s="337" t="s">
        <v>80</v>
      </c>
      <c r="O12" s="342" t="s">
        <v>80</v>
      </c>
      <c r="Q12" s="714"/>
      <c r="R12" s="330" t="s">
        <v>72</v>
      </c>
      <c r="S12" s="341" t="s">
        <v>80</v>
      </c>
      <c r="T12" s="336" t="s">
        <v>80</v>
      </c>
      <c r="U12" s="340" t="s">
        <v>80</v>
      </c>
      <c r="V12" s="340" t="s">
        <v>80</v>
      </c>
      <c r="W12" s="340" t="s">
        <v>80</v>
      </c>
      <c r="X12" s="337" t="s">
        <v>80</v>
      </c>
      <c r="Y12" s="337" t="s">
        <v>80</v>
      </c>
      <c r="Z12" s="337" t="s">
        <v>80</v>
      </c>
      <c r="AA12" s="337" t="s">
        <v>80</v>
      </c>
      <c r="AB12" s="337" t="s">
        <v>80</v>
      </c>
      <c r="AC12" s="337" t="s">
        <v>80</v>
      </c>
      <c r="AD12" s="337" t="s">
        <v>80</v>
      </c>
      <c r="AE12" s="342" t="s">
        <v>80</v>
      </c>
    </row>
    <row r="13" spans="1:31" x14ac:dyDescent="0.2">
      <c r="A13" s="714"/>
      <c r="B13" s="330" t="s">
        <v>73</v>
      </c>
      <c r="C13" s="341">
        <v>518385734</v>
      </c>
      <c r="D13" s="343" t="s">
        <v>80</v>
      </c>
      <c r="E13" s="337" t="s">
        <v>80</v>
      </c>
      <c r="F13" s="337" t="s">
        <v>80</v>
      </c>
      <c r="G13" s="337" t="s">
        <v>80</v>
      </c>
      <c r="H13" s="337" t="s">
        <v>80</v>
      </c>
      <c r="I13" s="337" t="s">
        <v>80</v>
      </c>
      <c r="J13" s="337" t="s">
        <v>80</v>
      </c>
      <c r="K13" s="338">
        <f>0.5/($A$44)</f>
        <v>0.5</v>
      </c>
      <c r="L13" s="338">
        <f>0.5/($A$44)</f>
        <v>0.5</v>
      </c>
      <c r="M13" s="338">
        <f>1.25/($A$44)</f>
        <v>1.25</v>
      </c>
      <c r="N13" s="338">
        <f>1.25/($A$44)</f>
        <v>1.25</v>
      </c>
      <c r="O13" s="339">
        <f>1.25/($A$44)</f>
        <v>1.25</v>
      </c>
      <c r="Q13" s="714"/>
      <c r="R13" s="330" t="s">
        <v>73</v>
      </c>
      <c r="S13" s="341">
        <v>518385734</v>
      </c>
      <c r="T13" s="343" t="s">
        <v>80</v>
      </c>
      <c r="U13" s="337" t="s">
        <v>80</v>
      </c>
      <c r="V13" s="337" t="s">
        <v>80</v>
      </c>
      <c r="W13" s="337" t="s">
        <v>80</v>
      </c>
      <c r="X13" s="337" t="s">
        <v>80</v>
      </c>
      <c r="Y13" s="337" t="s">
        <v>80</v>
      </c>
      <c r="Z13" s="337" t="s">
        <v>80</v>
      </c>
      <c r="AA13" s="338">
        <f>0.5/($A$44)</f>
        <v>0.5</v>
      </c>
      <c r="AB13" s="338">
        <f>0.5/($A$44)</f>
        <v>0.5</v>
      </c>
      <c r="AC13" s="338">
        <f>1.25/($A$44)</f>
        <v>1.25</v>
      </c>
      <c r="AD13" s="338">
        <f>1.25/($A$44)</f>
        <v>1.25</v>
      </c>
      <c r="AE13" s="339">
        <f>1.25/($A$44)</f>
        <v>1.25</v>
      </c>
    </row>
    <row r="14" spans="1:31" x14ac:dyDescent="0.2">
      <c r="A14" s="714"/>
      <c r="B14" s="330" t="s">
        <v>74</v>
      </c>
      <c r="C14" s="341">
        <v>518385215</v>
      </c>
      <c r="D14" s="336" t="s">
        <v>80</v>
      </c>
      <c r="E14" s="340" t="s">
        <v>80</v>
      </c>
      <c r="F14" s="340" t="s">
        <v>80</v>
      </c>
      <c r="G14" s="340" t="s">
        <v>80</v>
      </c>
      <c r="H14" s="337" t="s">
        <v>80</v>
      </c>
      <c r="I14" s="337" t="s">
        <v>80</v>
      </c>
      <c r="J14" s="340" t="s">
        <v>80</v>
      </c>
      <c r="K14" s="337" t="s">
        <v>80</v>
      </c>
      <c r="L14" s="338">
        <f>0.25/($A$44)</f>
        <v>0.25</v>
      </c>
      <c r="M14" s="338">
        <f>1/($A$44)</f>
        <v>1</v>
      </c>
      <c r="N14" s="338">
        <f>1/($A$44)</f>
        <v>1</v>
      </c>
      <c r="O14" s="339">
        <f>1/($A$44)</f>
        <v>1</v>
      </c>
      <c r="Q14" s="714"/>
      <c r="R14" s="330" t="s">
        <v>74</v>
      </c>
      <c r="S14" s="341">
        <v>518385215</v>
      </c>
      <c r="T14" s="336" t="s">
        <v>80</v>
      </c>
      <c r="U14" s="340" t="s">
        <v>80</v>
      </c>
      <c r="V14" s="340" t="s">
        <v>80</v>
      </c>
      <c r="W14" s="340" t="s">
        <v>80</v>
      </c>
      <c r="X14" s="337" t="s">
        <v>80</v>
      </c>
      <c r="Y14" s="337" t="s">
        <v>80</v>
      </c>
      <c r="Z14" s="340" t="s">
        <v>80</v>
      </c>
      <c r="AA14" s="337" t="s">
        <v>80</v>
      </c>
      <c r="AB14" s="338">
        <f>0.25/($A$44)</f>
        <v>0.25</v>
      </c>
      <c r="AC14" s="338">
        <f>1/($A$44)</f>
        <v>1</v>
      </c>
      <c r="AD14" s="338">
        <f>1/($A$44)</f>
        <v>1</v>
      </c>
      <c r="AE14" s="339">
        <f>1/($A$44)</f>
        <v>1</v>
      </c>
    </row>
    <row r="15" spans="1:31" x14ac:dyDescent="0.2">
      <c r="A15" s="714"/>
      <c r="B15" s="330" t="s">
        <v>75</v>
      </c>
      <c r="C15" s="331">
        <v>518384850</v>
      </c>
      <c r="D15" s="336" t="s">
        <v>80</v>
      </c>
      <c r="E15" s="340" t="s">
        <v>80</v>
      </c>
      <c r="F15" s="340" t="s">
        <v>80</v>
      </c>
      <c r="G15" s="340" t="s">
        <v>80</v>
      </c>
      <c r="H15" s="337" t="s">
        <v>80</v>
      </c>
      <c r="I15" s="337" t="s">
        <v>80</v>
      </c>
      <c r="J15" s="340" t="s">
        <v>80</v>
      </c>
      <c r="K15" s="340" t="s">
        <v>80</v>
      </c>
      <c r="L15" s="337" t="s">
        <v>80</v>
      </c>
      <c r="M15" s="338">
        <f>0.75/($A$44)</f>
        <v>0.75</v>
      </c>
      <c r="N15" s="338">
        <f>0.75/($A$44)</f>
        <v>0.75</v>
      </c>
      <c r="O15" s="339">
        <f>0.75/($A$44)</f>
        <v>0.75</v>
      </c>
      <c r="Q15" s="714"/>
      <c r="R15" s="330" t="s">
        <v>75</v>
      </c>
      <c r="S15" s="331">
        <v>518384850</v>
      </c>
      <c r="T15" s="336" t="s">
        <v>80</v>
      </c>
      <c r="U15" s="340" t="s">
        <v>80</v>
      </c>
      <c r="V15" s="340" t="s">
        <v>80</v>
      </c>
      <c r="W15" s="340" t="s">
        <v>80</v>
      </c>
      <c r="X15" s="337" t="s">
        <v>80</v>
      </c>
      <c r="Y15" s="337" t="s">
        <v>80</v>
      </c>
      <c r="Z15" s="340" t="s">
        <v>80</v>
      </c>
      <c r="AA15" s="340" t="s">
        <v>80</v>
      </c>
      <c r="AB15" s="337" t="s">
        <v>80</v>
      </c>
      <c r="AC15" s="338">
        <f>0.75/($A$44)</f>
        <v>0.75</v>
      </c>
      <c r="AD15" s="338">
        <f>0.75/($A$44)</f>
        <v>0.75</v>
      </c>
      <c r="AE15" s="339">
        <f>0.75/($A$44)</f>
        <v>0.75</v>
      </c>
    </row>
    <row r="16" spans="1:31" x14ac:dyDescent="0.2">
      <c r="A16" s="714"/>
      <c r="B16" s="330" t="s">
        <v>76</v>
      </c>
      <c r="C16" s="331">
        <v>520769078</v>
      </c>
      <c r="D16" s="336" t="s">
        <v>80</v>
      </c>
      <c r="E16" s="340" t="s">
        <v>80</v>
      </c>
      <c r="F16" s="340" t="s">
        <v>80</v>
      </c>
      <c r="G16" s="340" t="s">
        <v>80</v>
      </c>
      <c r="H16" s="337" t="s">
        <v>80</v>
      </c>
      <c r="I16" s="337" t="s">
        <v>80</v>
      </c>
      <c r="J16" s="340" t="s">
        <v>80</v>
      </c>
      <c r="K16" s="340" t="s">
        <v>80</v>
      </c>
      <c r="L16" s="340" t="s">
        <v>80</v>
      </c>
      <c r="M16" s="337" t="s">
        <v>80</v>
      </c>
      <c r="N16" s="338">
        <f>0.5/($A$44)</f>
        <v>0.5</v>
      </c>
      <c r="O16" s="339">
        <f>0.5/($A$44)</f>
        <v>0.5</v>
      </c>
      <c r="Q16" s="714"/>
      <c r="R16" s="330" t="s">
        <v>76</v>
      </c>
      <c r="S16" s="331">
        <v>520769078</v>
      </c>
      <c r="T16" s="336" t="s">
        <v>80</v>
      </c>
      <c r="U16" s="340" t="s">
        <v>80</v>
      </c>
      <c r="V16" s="340" t="s">
        <v>80</v>
      </c>
      <c r="W16" s="340" t="s">
        <v>80</v>
      </c>
      <c r="X16" s="337" t="s">
        <v>80</v>
      </c>
      <c r="Y16" s="337" t="s">
        <v>80</v>
      </c>
      <c r="Z16" s="340" t="s">
        <v>80</v>
      </c>
      <c r="AA16" s="340" t="s">
        <v>80</v>
      </c>
      <c r="AB16" s="340" t="s">
        <v>80</v>
      </c>
      <c r="AC16" s="337" t="s">
        <v>80</v>
      </c>
      <c r="AD16" s="338">
        <f>0.5/($A$44)</f>
        <v>0.5</v>
      </c>
      <c r="AE16" s="339">
        <f>0.5/($A$44)</f>
        <v>0.5</v>
      </c>
    </row>
    <row r="17" spans="1:31" x14ac:dyDescent="0.2">
      <c r="A17" s="714"/>
      <c r="B17" s="330" t="s">
        <v>77</v>
      </c>
      <c r="C17" s="341" t="s">
        <v>80</v>
      </c>
      <c r="D17" s="336" t="s">
        <v>80</v>
      </c>
      <c r="E17" s="340" t="s">
        <v>80</v>
      </c>
      <c r="F17" s="340" t="s">
        <v>80</v>
      </c>
      <c r="G17" s="340" t="s">
        <v>80</v>
      </c>
      <c r="H17" s="337" t="s">
        <v>80</v>
      </c>
      <c r="I17" s="337" t="s">
        <v>80</v>
      </c>
      <c r="J17" s="340" t="s">
        <v>80</v>
      </c>
      <c r="K17" s="340" t="s">
        <v>80</v>
      </c>
      <c r="L17" s="340" t="s">
        <v>80</v>
      </c>
      <c r="M17" s="340" t="s">
        <v>80</v>
      </c>
      <c r="N17" s="337" t="s">
        <v>80</v>
      </c>
      <c r="O17" s="342" t="s">
        <v>80</v>
      </c>
      <c r="Q17" s="714"/>
      <c r="R17" s="330" t="s">
        <v>77</v>
      </c>
      <c r="S17" s="341" t="s">
        <v>80</v>
      </c>
      <c r="T17" s="336" t="s">
        <v>80</v>
      </c>
      <c r="U17" s="340" t="s">
        <v>80</v>
      </c>
      <c r="V17" s="340" t="s">
        <v>80</v>
      </c>
      <c r="W17" s="340" t="s">
        <v>80</v>
      </c>
      <c r="X17" s="337" t="s">
        <v>80</v>
      </c>
      <c r="Y17" s="337" t="s">
        <v>80</v>
      </c>
      <c r="Z17" s="340" t="s">
        <v>80</v>
      </c>
      <c r="AA17" s="340" t="s">
        <v>80</v>
      </c>
      <c r="AB17" s="340" t="s">
        <v>80</v>
      </c>
      <c r="AC17" s="340" t="s">
        <v>80</v>
      </c>
      <c r="AD17" s="337" t="s">
        <v>80</v>
      </c>
      <c r="AE17" s="342" t="s">
        <v>80</v>
      </c>
    </row>
    <row r="18" spans="1:31" x14ac:dyDescent="0.2">
      <c r="A18" s="714"/>
      <c r="B18" s="330" t="s">
        <v>78</v>
      </c>
      <c r="C18" s="341" t="s">
        <v>80</v>
      </c>
      <c r="D18" s="336" t="s">
        <v>80</v>
      </c>
      <c r="E18" s="340" t="s">
        <v>80</v>
      </c>
      <c r="F18" s="340" t="s">
        <v>80</v>
      </c>
      <c r="G18" s="340" t="s">
        <v>80</v>
      </c>
      <c r="H18" s="340" t="s">
        <v>80</v>
      </c>
      <c r="I18" s="340" t="s">
        <v>80</v>
      </c>
      <c r="J18" s="340" t="s">
        <v>80</v>
      </c>
      <c r="K18" s="340" t="s">
        <v>80</v>
      </c>
      <c r="L18" s="340" t="s">
        <v>80</v>
      </c>
      <c r="M18" s="340" t="s">
        <v>80</v>
      </c>
      <c r="N18" s="340" t="s">
        <v>80</v>
      </c>
      <c r="O18" s="342" t="s">
        <v>80</v>
      </c>
      <c r="Q18" s="714"/>
      <c r="R18" s="330" t="s">
        <v>78</v>
      </c>
      <c r="S18" s="341" t="s">
        <v>80</v>
      </c>
      <c r="T18" s="336" t="s">
        <v>80</v>
      </c>
      <c r="U18" s="340" t="s">
        <v>80</v>
      </c>
      <c r="V18" s="340" t="s">
        <v>80</v>
      </c>
      <c r="W18" s="340" t="s">
        <v>80</v>
      </c>
      <c r="X18" s="340" t="s">
        <v>80</v>
      </c>
      <c r="Y18" s="340" t="s">
        <v>80</v>
      </c>
      <c r="Z18" s="340" t="s">
        <v>80</v>
      </c>
      <c r="AA18" s="340" t="s">
        <v>80</v>
      </c>
      <c r="AB18" s="340" t="s">
        <v>80</v>
      </c>
      <c r="AC18" s="340" t="s">
        <v>80</v>
      </c>
      <c r="AD18" s="340" t="s">
        <v>80</v>
      </c>
      <c r="AE18" s="342" t="s">
        <v>80</v>
      </c>
    </row>
    <row r="19" spans="1:31" x14ac:dyDescent="0.2">
      <c r="B19" s="344"/>
      <c r="C19" s="345"/>
      <c r="D19" s="346"/>
      <c r="E19" s="346"/>
      <c r="F19" s="347"/>
      <c r="G19" s="347"/>
      <c r="H19" s="346"/>
      <c r="I19" s="346"/>
      <c r="J19" s="346"/>
      <c r="K19" s="346"/>
      <c r="L19" s="347"/>
      <c r="M19" s="347"/>
      <c r="N19" s="346"/>
      <c r="O19" s="348"/>
      <c r="R19" s="344"/>
      <c r="S19" s="345"/>
      <c r="T19" s="346"/>
      <c r="U19" s="346"/>
      <c r="V19" s="347"/>
      <c r="W19" s="347"/>
      <c r="X19" s="346"/>
      <c r="Y19" s="346"/>
      <c r="Z19" s="346"/>
      <c r="AA19" s="346"/>
      <c r="AB19" s="347"/>
      <c r="AC19" s="347"/>
      <c r="AD19" s="346"/>
      <c r="AE19" s="348"/>
    </row>
    <row r="20" spans="1:31" x14ac:dyDescent="0.2">
      <c r="B20" s="349"/>
      <c r="R20" s="349"/>
    </row>
    <row r="21" spans="1:31" x14ac:dyDescent="0.2">
      <c r="A21" s="317" t="s">
        <v>82</v>
      </c>
      <c r="B21" s="317" t="s">
        <v>83</v>
      </c>
      <c r="C21" s="317">
        <f>A46</f>
        <v>2015</v>
      </c>
      <c r="Q21" s="317" t="s">
        <v>82</v>
      </c>
      <c r="R21" s="317" t="s">
        <v>83</v>
      </c>
      <c r="S21" s="317">
        <f>Q46</f>
        <v>0</v>
      </c>
    </row>
    <row r="23" spans="1:31" x14ac:dyDescent="0.2">
      <c r="A23" s="317" t="s">
        <v>64</v>
      </c>
      <c r="B23" s="317" t="s">
        <v>54</v>
      </c>
      <c r="Q23" s="317" t="s">
        <v>64</v>
      </c>
      <c r="R23" s="317" t="s">
        <v>54</v>
      </c>
    </row>
    <row r="24" spans="1:31" x14ac:dyDescent="0.2">
      <c r="D24" s="319" t="s">
        <v>65</v>
      </c>
      <c r="E24" s="319"/>
      <c r="F24" s="319"/>
      <c r="G24" s="319"/>
      <c r="H24" s="319"/>
      <c r="I24" s="319"/>
      <c r="J24" s="319"/>
      <c r="K24" s="319"/>
      <c r="L24" s="319"/>
      <c r="M24" s="319"/>
      <c r="N24" s="319"/>
      <c r="O24" s="319"/>
      <c r="T24" s="319" t="s">
        <v>65</v>
      </c>
      <c r="U24" s="319"/>
      <c r="V24" s="319"/>
      <c r="W24" s="319"/>
      <c r="X24" s="319"/>
      <c r="Y24" s="319"/>
      <c r="Z24" s="319"/>
      <c r="AA24" s="319"/>
      <c r="AB24" s="319"/>
      <c r="AC24" s="319"/>
      <c r="AD24" s="319"/>
      <c r="AE24" s="319"/>
    </row>
    <row r="25" spans="1:31" x14ac:dyDescent="0.2">
      <c r="B25" s="320" t="s">
        <v>66</v>
      </c>
      <c r="C25" s="321"/>
      <c r="D25" s="322" t="s">
        <v>67</v>
      </c>
      <c r="E25" s="323" t="s">
        <v>68</v>
      </c>
      <c r="F25" s="322" t="s">
        <v>69</v>
      </c>
      <c r="G25" s="322" t="s">
        <v>70</v>
      </c>
      <c r="H25" s="322" t="s">
        <v>71</v>
      </c>
      <c r="I25" s="322" t="s">
        <v>72</v>
      </c>
      <c r="J25" s="322" t="s">
        <v>73</v>
      </c>
      <c r="K25" s="322" t="s">
        <v>74</v>
      </c>
      <c r="L25" s="322" t="s">
        <v>75</v>
      </c>
      <c r="M25" s="322" t="s">
        <v>76</v>
      </c>
      <c r="N25" s="322" t="s">
        <v>77</v>
      </c>
      <c r="O25" s="324" t="s">
        <v>78</v>
      </c>
      <c r="R25" s="320" t="s">
        <v>66</v>
      </c>
      <c r="S25" s="321"/>
      <c r="T25" s="322" t="s">
        <v>67</v>
      </c>
      <c r="U25" s="323" t="s">
        <v>68</v>
      </c>
      <c r="V25" s="322" t="s">
        <v>69</v>
      </c>
      <c r="W25" s="322" t="s">
        <v>70</v>
      </c>
      <c r="X25" s="322" t="s">
        <v>71</v>
      </c>
      <c r="Y25" s="322" t="s">
        <v>72</v>
      </c>
      <c r="Z25" s="322" t="s">
        <v>73</v>
      </c>
      <c r="AA25" s="322" t="s">
        <v>74</v>
      </c>
      <c r="AB25" s="322" t="s">
        <v>75</v>
      </c>
      <c r="AC25" s="322" t="s">
        <v>76</v>
      </c>
      <c r="AD25" s="322" t="s">
        <v>77</v>
      </c>
      <c r="AE25" s="324" t="s">
        <v>78</v>
      </c>
    </row>
    <row r="26" spans="1:31" x14ac:dyDescent="0.2">
      <c r="B26" s="325"/>
      <c r="C26" s="326" t="s">
        <v>79</v>
      </c>
      <c r="D26" s="350">
        <v>518388006</v>
      </c>
      <c r="E26" s="350">
        <v>518387913</v>
      </c>
      <c r="F26" s="351">
        <v>518387444</v>
      </c>
      <c r="G26" s="351">
        <v>520769312</v>
      </c>
      <c r="H26" s="350" t="s">
        <v>80</v>
      </c>
      <c r="I26" s="350" t="s">
        <v>80</v>
      </c>
      <c r="J26" s="350">
        <v>520769308</v>
      </c>
      <c r="K26" s="350">
        <v>518385210</v>
      </c>
      <c r="L26" s="351">
        <v>518384843</v>
      </c>
      <c r="M26" s="351">
        <v>520769091</v>
      </c>
      <c r="N26" s="350" t="s">
        <v>80</v>
      </c>
      <c r="O26" s="352" t="s">
        <v>80</v>
      </c>
      <c r="R26" s="325"/>
      <c r="S26" s="326" t="s">
        <v>79</v>
      </c>
      <c r="T26" s="350">
        <v>518388006</v>
      </c>
      <c r="U26" s="350">
        <v>518387913</v>
      </c>
      <c r="V26" s="351">
        <v>518387444</v>
      </c>
      <c r="W26" s="351">
        <v>520769312</v>
      </c>
      <c r="X26" s="350" t="s">
        <v>80</v>
      </c>
      <c r="Y26" s="350" t="s">
        <v>80</v>
      </c>
      <c r="Z26" s="350">
        <v>520769308</v>
      </c>
      <c r="AA26" s="350">
        <v>518385210</v>
      </c>
      <c r="AB26" s="351">
        <v>518384843</v>
      </c>
      <c r="AC26" s="351">
        <v>520769091</v>
      </c>
      <c r="AD26" s="350" t="s">
        <v>80</v>
      </c>
      <c r="AE26" s="352" t="s">
        <v>80</v>
      </c>
    </row>
    <row r="27" spans="1:31" x14ac:dyDescent="0.2">
      <c r="A27" s="714" t="s">
        <v>81</v>
      </c>
      <c r="B27" s="330" t="s">
        <v>67</v>
      </c>
      <c r="C27" s="353" t="s">
        <v>80</v>
      </c>
      <c r="D27" s="332" t="s">
        <v>80</v>
      </c>
      <c r="E27" s="333" t="s">
        <v>80</v>
      </c>
      <c r="F27" s="354" t="s">
        <v>80</v>
      </c>
      <c r="G27" s="354" t="s">
        <v>80</v>
      </c>
      <c r="H27" s="354" t="s">
        <v>80</v>
      </c>
      <c r="I27" s="354" t="s">
        <v>80</v>
      </c>
      <c r="J27" s="354" t="s">
        <v>80</v>
      </c>
      <c r="K27" s="354" t="s">
        <v>80</v>
      </c>
      <c r="L27" s="354" t="s">
        <v>80</v>
      </c>
      <c r="M27" s="354" t="s">
        <v>80</v>
      </c>
      <c r="N27" s="354" t="s">
        <v>80</v>
      </c>
      <c r="O27" s="355" t="s">
        <v>80</v>
      </c>
      <c r="Q27" s="714" t="s">
        <v>81</v>
      </c>
      <c r="R27" s="330" t="s">
        <v>67</v>
      </c>
      <c r="S27" s="353" t="s">
        <v>80</v>
      </c>
      <c r="T27" s="332" t="s">
        <v>80</v>
      </c>
      <c r="U27" s="333" t="s">
        <v>80</v>
      </c>
      <c r="V27" s="354" t="s">
        <v>80</v>
      </c>
      <c r="W27" s="354" t="s">
        <v>80</v>
      </c>
      <c r="X27" s="354" t="s">
        <v>80</v>
      </c>
      <c r="Y27" s="354" t="s">
        <v>80</v>
      </c>
      <c r="Z27" s="354" t="s">
        <v>80</v>
      </c>
      <c r="AA27" s="354" t="s">
        <v>80</v>
      </c>
      <c r="AB27" s="354" t="s">
        <v>80</v>
      </c>
      <c r="AC27" s="354" t="s">
        <v>80</v>
      </c>
      <c r="AD27" s="354" t="s">
        <v>80</v>
      </c>
      <c r="AE27" s="355" t="s">
        <v>80</v>
      </c>
    </row>
    <row r="28" spans="1:31" x14ac:dyDescent="0.2">
      <c r="A28" s="714"/>
      <c r="B28" s="330" t="s">
        <v>68</v>
      </c>
      <c r="C28" s="353" t="s">
        <v>80</v>
      </c>
      <c r="D28" s="336" t="s">
        <v>80</v>
      </c>
      <c r="E28" s="337" t="s">
        <v>80</v>
      </c>
      <c r="F28" s="340" t="s">
        <v>80</v>
      </c>
      <c r="G28" s="340" t="s">
        <v>80</v>
      </c>
      <c r="H28" s="340" t="s">
        <v>80</v>
      </c>
      <c r="I28" s="340" t="s">
        <v>80</v>
      </c>
      <c r="J28" s="340" t="s">
        <v>80</v>
      </c>
      <c r="K28" s="340" t="s">
        <v>80</v>
      </c>
      <c r="L28" s="340" t="s">
        <v>80</v>
      </c>
      <c r="M28" s="340" t="s">
        <v>80</v>
      </c>
      <c r="N28" s="340" t="s">
        <v>80</v>
      </c>
      <c r="O28" s="356" t="s">
        <v>80</v>
      </c>
      <c r="Q28" s="714"/>
      <c r="R28" s="330" t="s">
        <v>68</v>
      </c>
      <c r="S28" s="353" t="s">
        <v>80</v>
      </c>
      <c r="T28" s="336" t="s">
        <v>80</v>
      </c>
      <c r="U28" s="337" t="s">
        <v>80</v>
      </c>
      <c r="V28" s="340" t="s">
        <v>80</v>
      </c>
      <c r="W28" s="340" t="s">
        <v>80</v>
      </c>
      <c r="X28" s="340" t="s">
        <v>80</v>
      </c>
      <c r="Y28" s="340" t="s">
        <v>80</v>
      </c>
      <c r="Z28" s="340" t="s">
        <v>80</v>
      </c>
      <c r="AA28" s="340" t="s">
        <v>80</v>
      </c>
      <c r="AB28" s="340" t="s">
        <v>80</v>
      </c>
      <c r="AC28" s="340" t="s">
        <v>80</v>
      </c>
      <c r="AD28" s="340" t="s">
        <v>80</v>
      </c>
      <c r="AE28" s="356" t="s">
        <v>80</v>
      </c>
    </row>
    <row r="29" spans="1:31" x14ac:dyDescent="0.2">
      <c r="A29" s="714"/>
      <c r="B29" s="330" t="s">
        <v>69</v>
      </c>
      <c r="C29" s="353">
        <v>519800508</v>
      </c>
      <c r="D29" s="357">
        <f>0.25/($A$44)</f>
        <v>0.25</v>
      </c>
      <c r="E29" s="358">
        <f>0.25/($A$44)</f>
        <v>0.25</v>
      </c>
      <c r="F29" s="337" t="s">
        <v>80</v>
      </c>
      <c r="G29" s="340" t="s">
        <v>80</v>
      </c>
      <c r="H29" s="340" t="s">
        <v>80</v>
      </c>
      <c r="I29" s="340" t="s">
        <v>80</v>
      </c>
      <c r="J29" s="340" t="s">
        <v>80</v>
      </c>
      <c r="K29" s="340" t="s">
        <v>80</v>
      </c>
      <c r="L29" s="340" t="s">
        <v>80</v>
      </c>
      <c r="M29" s="340" t="s">
        <v>80</v>
      </c>
      <c r="N29" s="340" t="s">
        <v>80</v>
      </c>
      <c r="O29" s="356" t="s">
        <v>80</v>
      </c>
      <c r="Q29" s="714"/>
      <c r="R29" s="330" t="s">
        <v>69</v>
      </c>
      <c r="S29" s="353">
        <v>519800508</v>
      </c>
      <c r="T29" s="357">
        <f>0.25/($A$44)</f>
        <v>0.25</v>
      </c>
      <c r="U29" s="358">
        <f>0.25/($A$44)</f>
        <v>0.25</v>
      </c>
      <c r="V29" s="337" t="s">
        <v>80</v>
      </c>
      <c r="W29" s="340" t="s">
        <v>80</v>
      </c>
      <c r="X29" s="340" t="s">
        <v>80</v>
      </c>
      <c r="Y29" s="340" t="s">
        <v>80</v>
      </c>
      <c r="Z29" s="340" t="s">
        <v>80</v>
      </c>
      <c r="AA29" s="340" t="s">
        <v>80</v>
      </c>
      <c r="AB29" s="340" t="s">
        <v>80</v>
      </c>
      <c r="AC29" s="340" t="s">
        <v>80</v>
      </c>
      <c r="AD29" s="340" t="s">
        <v>80</v>
      </c>
      <c r="AE29" s="356" t="s">
        <v>80</v>
      </c>
    </row>
    <row r="30" spans="1:31" x14ac:dyDescent="0.2">
      <c r="A30" s="714"/>
      <c r="B30" s="330" t="s">
        <v>70</v>
      </c>
      <c r="C30" s="353">
        <v>518386962</v>
      </c>
      <c r="D30" s="357">
        <f>0.5/($A$44)</f>
        <v>0.5</v>
      </c>
      <c r="E30" s="358">
        <f>0.5/($A$44)</f>
        <v>0.5</v>
      </c>
      <c r="F30" s="358">
        <f>0.5/($A$44)</f>
        <v>0.5</v>
      </c>
      <c r="G30" s="337" t="s">
        <v>80</v>
      </c>
      <c r="H30" s="337" t="s">
        <v>80</v>
      </c>
      <c r="I30" s="337" t="s">
        <v>80</v>
      </c>
      <c r="J30" s="337" t="s">
        <v>80</v>
      </c>
      <c r="K30" s="337" t="s">
        <v>80</v>
      </c>
      <c r="L30" s="337" t="s">
        <v>80</v>
      </c>
      <c r="M30" s="337" t="s">
        <v>80</v>
      </c>
      <c r="N30" s="337" t="s">
        <v>80</v>
      </c>
      <c r="O30" s="356" t="s">
        <v>80</v>
      </c>
      <c r="Q30" s="714"/>
      <c r="R30" s="330" t="s">
        <v>70</v>
      </c>
      <c r="S30" s="353">
        <v>518386962</v>
      </c>
      <c r="T30" s="357">
        <f>0.5/($A$44)</f>
        <v>0.5</v>
      </c>
      <c r="U30" s="358">
        <f>0.5/($A$44)</f>
        <v>0.5</v>
      </c>
      <c r="V30" s="358">
        <f>0.5/($A$44)</f>
        <v>0.5</v>
      </c>
      <c r="W30" s="337" t="s">
        <v>80</v>
      </c>
      <c r="X30" s="337" t="s">
        <v>80</v>
      </c>
      <c r="Y30" s="337" t="s">
        <v>80</v>
      </c>
      <c r="Z30" s="337" t="s">
        <v>80</v>
      </c>
      <c r="AA30" s="337" t="s">
        <v>80</v>
      </c>
      <c r="AB30" s="337" t="s">
        <v>80</v>
      </c>
      <c r="AC30" s="337" t="s">
        <v>80</v>
      </c>
      <c r="AD30" s="337" t="s">
        <v>80</v>
      </c>
      <c r="AE30" s="356" t="s">
        <v>80</v>
      </c>
    </row>
    <row r="31" spans="1:31" x14ac:dyDescent="0.2">
      <c r="A31" s="714"/>
      <c r="B31" s="330" t="s">
        <v>71</v>
      </c>
      <c r="C31" s="359">
        <v>519798453</v>
      </c>
      <c r="D31" s="357">
        <f t="shared" ref="D31:G32" si="6">1/($A$44)</f>
        <v>1</v>
      </c>
      <c r="E31" s="358">
        <f t="shared" si="6"/>
        <v>1</v>
      </c>
      <c r="F31" s="358">
        <f t="shared" si="6"/>
        <v>1</v>
      </c>
      <c r="G31" s="358">
        <f t="shared" si="6"/>
        <v>1</v>
      </c>
      <c r="H31" s="337" t="s">
        <v>80</v>
      </c>
      <c r="I31" s="337" t="s">
        <v>80</v>
      </c>
      <c r="J31" s="337" t="s">
        <v>80</v>
      </c>
      <c r="K31" s="337" t="s">
        <v>80</v>
      </c>
      <c r="L31" s="337" t="s">
        <v>80</v>
      </c>
      <c r="M31" s="337" t="s">
        <v>80</v>
      </c>
      <c r="N31" s="337" t="s">
        <v>80</v>
      </c>
      <c r="O31" s="342" t="s">
        <v>80</v>
      </c>
      <c r="Q31" s="714"/>
      <c r="R31" s="330" t="s">
        <v>71</v>
      </c>
      <c r="S31" s="359">
        <v>519798453</v>
      </c>
      <c r="T31" s="357">
        <f t="shared" ref="T31:W32" si="7">1/($A$44)</f>
        <v>1</v>
      </c>
      <c r="U31" s="358">
        <f t="shared" si="7"/>
        <v>1</v>
      </c>
      <c r="V31" s="358">
        <f t="shared" si="7"/>
        <v>1</v>
      </c>
      <c r="W31" s="358">
        <f t="shared" si="7"/>
        <v>1</v>
      </c>
      <c r="X31" s="337" t="s">
        <v>80</v>
      </c>
      <c r="Y31" s="337" t="s">
        <v>80</v>
      </c>
      <c r="Z31" s="337" t="s">
        <v>80</v>
      </c>
      <c r="AA31" s="337" t="s">
        <v>80</v>
      </c>
      <c r="AB31" s="337" t="s">
        <v>80</v>
      </c>
      <c r="AC31" s="337" t="s">
        <v>80</v>
      </c>
      <c r="AD31" s="337" t="s">
        <v>80</v>
      </c>
      <c r="AE31" s="342" t="s">
        <v>80</v>
      </c>
    </row>
    <row r="32" spans="1:31" x14ac:dyDescent="0.2">
      <c r="A32" s="714"/>
      <c r="B32" s="330" t="s">
        <v>72</v>
      </c>
      <c r="C32" s="353">
        <v>518385875</v>
      </c>
      <c r="D32" s="357">
        <f t="shared" si="6"/>
        <v>1</v>
      </c>
      <c r="E32" s="358">
        <f t="shared" si="6"/>
        <v>1</v>
      </c>
      <c r="F32" s="358">
        <f>1/($A$44)</f>
        <v>1</v>
      </c>
      <c r="G32" s="358">
        <f t="shared" si="6"/>
        <v>1</v>
      </c>
      <c r="H32" s="337" t="s">
        <v>80</v>
      </c>
      <c r="I32" s="337" t="s">
        <v>80</v>
      </c>
      <c r="J32" s="337" t="s">
        <v>80</v>
      </c>
      <c r="K32" s="337" t="s">
        <v>80</v>
      </c>
      <c r="L32" s="337" t="s">
        <v>80</v>
      </c>
      <c r="M32" s="337" t="s">
        <v>80</v>
      </c>
      <c r="N32" s="337" t="s">
        <v>80</v>
      </c>
      <c r="O32" s="342" t="s">
        <v>80</v>
      </c>
      <c r="Q32" s="714"/>
      <c r="R32" s="330" t="s">
        <v>72</v>
      </c>
      <c r="S32" s="353">
        <v>518385875</v>
      </c>
      <c r="T32" s="357">
        <f t="shared" si="7"/>
        <v>1</v>
      </c>
      <c r="U32" s="358">
        <f t="shared" si="7"/>
        <v>1</v>
      </c>
      <c r="V32" s="358">
        <f t="shared" si="7"/>
        <v>1</v>
      </c>
      <c r="W32" s="358">
        <f t="shared" si="7"/>
        <v>1</v>
      </c>
      <c r="X32" s="337" t="s">
        <v>80</v>
      </c>
      <c r="Y32" s="337" t="s">
        <v>80</v>
      </c>
      <c r="Z32" s="337" t="s">
        <v>80</v>
      </c>
      <c r="AA32" s="337" t="s">
        <v>80</v>
      </c>
      <c r="AB32" s="337" t="s">
        <v>80</v>
      </c>
      <c r="AC32" s="337" t="s">
        <v>80</v>
      </c>
      <c r="AD32" s="337" t="s">
        <v>80</v>
      </c>
      <c r="AE32" s="342" t="s">
        <v>80</v>
      </c>
    </row>
    <row r="33" spans="1:31" x14ac:dyDescent="0.2">
      <c r="A33" s="714"/>
      <c r="B33" s="330" t="s">
        <v>73</v>
      </c>
      <c r="C33" s="353" t="s">
        <v>80</v>
      </c>
      <c r="D33" s="343" t="s">
        <v>80</v>
      </c>
      <c r="E33" s="337" t="s">
        <v>80</v>
      </c>
      <c r="F33" s="337" t="s">
        <v>80</v>
      </c>
      <c r="G33" s="337" t="s">
        <v>80</v>
      </c>
      <c r="H33" s="337" t="s">
        <v>80</v>
      </c>
      <c r="I33" s="337" t="s">
        <v>80</v>
      </c>
      <c r="J33" s="337" t="s">
        <v>80</v>
      </c>
      <c r="K33" s="340" t="s">
        <v>80</v>
      </c>
      <c r="L33" s="340" t="s">
        <v>80</v>
      </c>
      <c r="M33" s="340" t="s">
        <v>80</v>
      </c>
      <c r="N33" s="340" t="s">
        <v>80</v>
      </c>
      <c r="O33" s="356" t="s">
        <v>80</v>
      </c>
      <c r="Q33" s="714"/>
      <c r="R33" s="330" t="s">
        <v>73</v>
      </c>
      <c r="S33" s="353" t="s">
        <v>80</v>
      </c>
      <c r="T33" s="343" t="s">
        <v>80</v>
      </c>
      <c r="U33" s="337" t="s">
        <v>80</v>
      </c>
      <c r="V33" s="337" t="s">
        <v>80</v>
      </c>
      <c r="W33" s="337" t="s">
        <v>80</v>
      </c>
      <c r="X33" s="337" t="s">
        <v>80</v>
      </c>
      <c r="Y33" s="337" t="s">
        <v>80</v>
      </c>
      <c r="Z33" s="337" t="s">
        <v>80</v>
      </c>
      <c r="AA33" s="340" t="s">
        <v>80</v>
      </c>
      <c r="AB33" s="340" t="s">
        <v>80</v>
      </c>
      <c r="AC33" s="340" t="s">
        <v>80</v>
      </c>
      <c r="AD33" s="340" t="s">
        <v>80</v>
      </c>
      <c r="AE33" s="356" t="s">
        <v>80</v>
      </c>
    </row>
    <row r="34" spans="1:31" x14ac:dyDescent="0.2">
      <c r="A34" s="714"/>
      <c r="B34" s="330" t="s">
        <v>74</v>
      </c>
      <c r="C34" s="359">
        <v>520761662</v>
      </c>
      <c r="D34" s="357">
        <f t="shared" ref="D34:G35" si="8">1/($A$44)</f>
        <v>1</v>
      </c>
      <c r="E34" s="358">
        <f t="shared" si="8"/>
        <v>1</v>
      </c>
      <c r="F34" s="358">
        <f t="shared" si="8"/>
        <v>1</v>
      </c>
      <c r="G34" s="358">
        <f t="shared" si="8"/>
        <v>1</v>
      </c>
      <c r="H34" s="337" t="s">
        <v>80</v>
      </c>
      <c r="I34" s="337" t="s">
        <v>80</v>
      </c>
      <c r="J34" s="358">
        <f>0.5/($A$44)</f>
        <v>0.5</v>
      </c>
      <c r="K34" s="337" t="s">
        <v>80</v>
      </c>
      <c r="L34" s="340" t="s">
        <v>80</v>
      </c>
      <c r="M34" s="340" t="s">
        <v>80</v>
      </c>
      <c r="N34" s="340" t="s">
        <v>80</v>
      </c>
      <c r="O34" s="356" t="s">
        <v>80</v>
      </c>
      <c r="Q34" s="714"/>
      <c r="R34" s="330" t="s">
        <v>74</v>
      </c>
      <c r="S34" s="359">
        <v>520761662</v>
      </c>
      <c r="T34" s="357">
        <f t="shared" ref="T34:W35" si="9">1/($A$44)</f>
        <v>1</v>
      </c>
      <c r="U34" s="358">
        <f t="shared" si="9"/>
        <v>1</v>
      </c>
      <c r="V34" s="358">
        <f t="shared" si="9"/>
        <v>1</v>
      </c>
      <c r="W34" s="358">
        <f t="shared" si="9"/>
        <v>1</v>
      </c>
      <c r="X34" s="337" t="s">
        <v>80</v>
      </c>
      <c r="Y34" s="337" t="s">
        <v>80</v>
      </c>
      <c r="Z34" s="358">
        <f>0.5/($A$44)</f>
        <v>0.5</v>
      </c>
      <c r="AA34" s="337" t="s">
        <v>80</v>
      </c>
      <c r="AB34" s="340" t="s">
        <v>80</v>
      </c>
      <c r="AC34" s="340" t="s">
        <v>80</v>
      </c>
      <c r="AD34" s="340" t="s">
        <v>80</v>
      </c>
      <c r="AE34" s="356" t="s">
        <v>80</v>
      </c>
    </row>
    <row r="35" spans="1:31" x14ac:dyDescent="0.2">
      <c r="A35" s="714"/>
      <c r="B35" s="330" t="s">
        <v>75</v>
      </c>
      <c r="C35" s="353">
        <v>518384990</v>
      </c>
      <c r="D35" s="357">
        <f>1/($A$44)</f>
        <v>1</v>
      </c>
      <c r="E35" s="358">
        <f t="shared" si="8"/>
        <v>1</v>
      </c>
      <c r="F35" s="358">
        <f t="shared" si="8"/>
        <v>1</v>
      </c>
      <c r="G35" s="358">
        <f t="shared" si="8"/>
        <v>1</v>
      </c>
      <c r="H35" s="337" t="s">
        <v>80</v>
      </c>
      <c r="I35" s="337" t="s">
        <v>80</v>
      </c>
      <c r="J35" s="358">
        <f>0.5/($A$44)</f>
        <v>0.5</v>
      </c>
      <c r="K35" s="358">
        <f>0.25/($A$44)</f>
        <v>0.25</v>
      </c>
      <c r="L35" s="337" t="s">
        <v>80</v>
      </c>
      <c r="M35" s="340" t="s">
        <v>80</v>
      </c>
      <c r="N35" s="340" t="s">
        <v>80</v>
      </c>
      <c r="O35" s="356" t="s">
        <v>80</v>
      </c>
      <c r="Q35" s="714"/>
      <c r="R35" s="330" t="s">
        <v>75</v>
      </c>
      <c r="S35" s="353">
        <v>518384990</v>
      </c>
      <c r="T35" s="357">
        <f>1/($A$44)</f>
        <v>1</v>
      </c>
      <c r="U35" s="358">
        <f t="shared" si="9"/>
        <v>1</v>
      </c>
      <c r="V35" s="358">
        <f t="shared" si="9"/>
        <v>1</v>
      </c>
      <c r="W35" s="358">
        <f t="shared" si="9"/>
        <v>1</v>
      </c>
      <c r="X35" s="337" t="s">
        <v>80</v>
      </c>
      <c r="Y35" s="337" t="s">
        <v>80</v>
      </c>
      <c r="Z35" s="358">
        <f>0.5/($A$44)</f>
        <v>0.5</v>
      </c>
      <c r="AA35" s="358">
        <f>0.25/($A$44)</f>
        <v>0.25</v>
      </c>
      <c r="AB35" s="337" t="s">
        <v>80</v>
      </c>
      <c r="AC35" s="340" t="s">
        <v>80</v>
      </c>
      <c r="AD35" s="340" t="s">
        <v>80</v>
      </c>
      <c r="AE35" s="356" t="s">
        <v>80</v>
      </c>
    </row>
    <row r="36" spans="1:31" x14ac:dyDescent="0.2">
      <c r="A36" s="714"/>
      <c r="B36" s="330" t="s">
        <v>76</v>
      </c>
      <c r="C36" s="353">
        <v>518384651</v>
      </c>
      <c r="D36" s="357">
        <f t="shared" ref="D36:G38" si="10">1.75/($A$44)</f>
        <v>1.75</v>
      </c>
      <c r="E36" s="358">
        <f t="shared" si="10"/>
        <v>1.75</v>
      </c>
      <c r="F36" s="358">
        <f t="shared" si="10"/>
        <v>1.75</v>
      </c>
      <c r="G36" s="358">
        <f t="shared" si="10"/>
        <v>1.75</v>
      </c>
      <c r="H36" s="337" t="s">
        <v>80</v>
      </c>
      <c r="I36" s="337" t="s">
        <v>80</v>
      </c>
      <c r="J36" s="358">
        <f>1.25/($A$44)</f>
        <v>1.25</v>
      </c>
      <c r="K36" s="358">
        <f>1/($A$44)</f>
        <v>1</v>
      </c>
      <c r="L36" s="358">
        <f>0.75/($A$44)</f>
        <v>0.75</v>
      </c>
      <c r="M36" s="337" t="s">
        <v>80</v>
      </c>
      <c r="N36" s="340" t="s">
        <v>80</v>
      </c>
      <c r="O36" s="356" t="s">
        <v>80</v>
      </c>
      <c r="Q36" s="714"/>
      <c r="R36" s="330" t="s">
        <v>76</v>
      </c>
      <c r="S36" s="353">
        <v>518384651</v>
      </c>
      <c r="T36" s="357">
        <f t="shared" ref="T36:W38" si="11">1.75/($A$44)</f>
        <v>1.75</v>
      </c>
      <c r="U36" s="358">
        <f t="shared" si="11"/>
        <v>1.75</v>
      </c>
      <c r="V36" s="358">
        <f t="shared" si="11"/>
        <v>1.75</v>
      </c>
      <c r="W36" s="358">
        <f t="shared" si="11"/>
        <v>1.75</v>
      </c>
      <c r="X36" s="337" t="s">
        <v>80</v>
      </c>
      <c r="Y36" s="337" t="s">
        <v>80</v>
      </c>
      <c r="Z36" s="358">
        <f>1.25/($A$44)</f>
        <v>1.25</v>
      </c>
      <c r="AA36" s="358">
        <f>1/($A$44)</f>
        <v>1</v>
      </c>
      <c r="AB36" s="358">
        <f>0.75/($A$44)</f>
        <v>0.75</v>
      </c>
      <c r="AC36" s="337" t="s">
        <v>80</v>
      </c>
      <c r="AD36" s="340" t="s">
        <v>80</v>
      </c>
      <c r="AE36" s="356" t="s">
        <v>80</v>
      </c>
    </row>
    <row r="37" spans="1:31" x14ac:dyDescent="0.2">
      <c r="A37" s="714"/>
      <c r="B37" s="330" t="s">
        <v>77</v>
      </c>
      <c r="C37" s="359">
        <v>518384467</v>
      </c>
      <c r="D37" s="357">
        <f t="shared" si="10"/>
        <v>1.75</v>
      </c>
      <c r="E37" s="358">
        <f t="shared" si="10"/>
        <v>1.75</v>
      </c>
      <c r="F37" s="358">
        <f t="shared" si="10"/>
        <v>1.75</v>
      </c>
      <c r="G37" s="358">
        <f t="shared" si="10"/>
        <v>1.75</v>
      </c>
      <c r="H37" s="337" t="s">
        <v>80</v>
      </c>
      <c r="I37" s="337" t="s">
        <v>80</v>
      </c>
      <c r="J37" s="358">
        <f>1.25/($A$44)</f>
        <v>1.25</v>
      </c>
      <c r="K37" s="358">
        <f>1/($A$44)</f>
        <v>1</v>
      </c>
      <c r="L37" s="358">
        <f>0.75/($A$44)</f>
        <v>0.75</v>
      </c>
      <c r="M37" s="358">
        <f>0.5/($A$44)</f>
        <v>0.5</v>
      </c>
      <c r="N37" s="337" t="s">
        <v>80</v>
      </c>
      <c r="O37" s="342" t="s">
        <v>80</v>
      </c>
      <c r="Q37" s="714"/>
      <c r="R37" s="330" t="s">
        <v>77</v>
      </c>
      <c r="S37" s="359">
        <v>518384467</v>
      </c>
      <c r="T37" s="357">
        <f t="shared" si="11"/>
        <v>1.75</v>
      </c>
      <c r="U37" s="358">
        <f t="shared" si="11"/>
        <v>1.75</v>
      </c>
      <c r="V37" s="358">
        <f t="shared" si="11"/>
        <v>1.75</v>
      </c>
      <c r="W37" s="358">
        <f t="shared" si="11"/>
        <v>1.75</v>
      </c>
      <c r="X37" s="337" t="s">
        <v>80</v>
      </c>
      <c r="Y37" s="337" t="s">
        <v>80</v>
      </c>
      <c r="Z37" s="358">
        <f>1.25/($A$44)</f>
        <v>1.25</v>
      </c>
      <c r="AA37" s="358">
        <f>1/($A$44)</f>
        <v>1</v>
      </c>
      <c r="AB37" s="358">
        <f>0.75/($A$44)</f>
        <v>0.75</v>
      </c>
      <c r="AC37" s="358">
        <f>0.5/($A$44)</f>
        <v>0.5</v>
      </c>
      <c r="AD37" s="337" t="s">
        <v>80</v>
      </c>
      <c r="AE37" s="342" t="s">
        <v>80</v>
      </c>
    </row>
    <row r="38" spans="1:31" x14ac:dyDescent="0.2">
      <c r="A38" s="714"/>
      <c r="B38" s="330" t="s">
        <v>78</v>
      </c>
      <c r="C38" s="359">
        <v>518384232</v>
      </c>
      <c r="D38" s="360">
        <f t="shared" si="10"/>
        <v>1.75</v>
      </c>
      <c r="E38" s="358">
        <f t="shared" si="10"/>
        <v>1.75</v>
      </c>
      <c r="F38" s="358">
        <f t="shared" si="10"/>
        <v>1.75</v>
      </c>
      <c r="G38" s="358">
        <f t="shared" si="10"/>
        <v>1.75</v>
      </c>
      <c r="H38" s="337" t="s">
        <v>80</v>
      </c>
      <c r="I38" s="337" t="s">
        <v>80</v>
      </c>
      <c r="J38" s="358">
        <f>1.25/($A$44)</f>
        <v>1.25</v>
      </c>
      <c r="K38" s="358">
        <f>1/($A$44)</f>
        <v>1</v>
      </c>
      <c r="L38" s="358">
        <f>0.75/($A$44)</f>
        <v>0.75</v>
      </c>
      <c r="M38" s="358">
        <f>0.5/($A$44)</f>
        <v>0.5</v>
      </c>
      <c r="N38" s="340" t="s">
        <v>80</v>
      </c>
      <c r="O38" s="342" t="s">
        <v>80</v>
      </c>
      <c r="Q38" s="714"/>
      <c r="R38" s="330" t="s">
        <v>78</v>
      </c>
      <c r="S38" s="359">
        <v>518384232</v>
      </c>
      <c r="T38" s="360">
        <f t="shared" si="11"/>
        <v>1.75</v>
      </c>
      <c r="U38" s="358">
        <f t="shared" si="11"/>
        <v>1.75</v>
      </c>
      <c r="V38" s="358">
        <f t="shared" si="11"/>
        <v>1.75</v>
      </c>
      <c r="W38" s="358">
        <f t="shared" si="11"/>
        <v>1.75</v>
      </c>
      <c r="X38" s="337" t="s">
        <v>80</v>
      </c>
      <c r="Y38" s="337" t="s">
        <v>80</v>
      </c>
      <c r="Z38" s="358">
        <f>1.25/($A$44)</f>
        <v>1.25</v>
      </c>
      <c r="AA38" s="358">
        <f>1/($A$44)</f>
        <v>1</v>
      </c>
      <c r="AB38" s="358">
        <f>0.75/($A$44)</f>
        <v>0.75</v>
      </c>
      <c r="AC38" s="358">
        <f>0.5/($A$44)</f>
        <v>0.5</v>
      </c>
      <c r="AD38" s="340" t="s">
        <v>80</v>
      </c>
      <c r="AE38" s="342" t="s">
        <v>80</v>
      </c>
    </row>
    <row r="39" spans="1:31" x14ac:dyDescent="0.2">
      <c r="B39" s="344"/>
      <c r="C39" s="345"/>
      <c r="D39" s="361"/>
      <c r="E39" s="361"/>
      <c r="F39" s="361"/>
      <c r="G39" s="361"/>
      <c r="H39" s="361"/>
      <c r="I39" s="361"/>
      <c r="J39" s="361"/>
      <c r="K39" s="361"/>
      <c r="L39" s="361"/>
      <c r="M39" s="361"/>
      <c r="N39" s="361"/>
      <c r="O39" s="362"/>
      <c r="R39" s="344"/>
      <c r="S39" s="345"/>
      <c r="T39" s="361"/>
      <c r="U39" s="361"/>
      <c r="V39" s="361"/>
      <c r="W39" s="361"/>
      <c r="X39" s="361"/>
      <c r="Y39" s="361"/>
      <c r="Z39" s="361"/>
      <c r="AA39" s="361"/>
      <c r="AB39" s="361"/>
      <c r="AC39" s="361"/>
      <c r="AD39" s="361"/>
      <c r="AE39" s="362"/>
    </row>
    <row r="40" spans="1:31" x14ac:dyDescent="0.2">
      <c r="B40" s="349"/>
    </row>
    <row r="41" spans="1:31" x14ac:dyDescent="0.2">
      <c r="A41" s="317" t="s">
        <v>82</v>
      </c>
      <c r="B41" s="317" t="s">
        <v>83</v>
      </c>
      <c r="C41" s="317">
        <f>A46</f>
        <v>2015</v>
      </c>
    </row>
    <row r="43" spans="1:31" x14ac:dyDescent="0.2">
      <c r="A43" s="363" t="s">
        <v>84</v>
      </c>
      <c r="B43" s="364" t="s">
        <v>85</v>
      </c>
    </row>
    <row r="44" spans="1:31" x14ac:dyDescent="0.2">
      <c r="A44" s="365">
        <f>+A45^A47</f>
        <v>1</v>
      </c>
      <c r="B44" s="364" t="s">
        <v>86</v>
      </c>
    </row>
    <row r="45" spans="1:31" x14ac:dyDescent="0.2">
      <c r="A45" s="366">
        <v>1</v>
      </c>
      <c r="B45" s="364" t="s">
        <v>87</v>
      </c>
    </row>
    <row r="46" spans="1:31" x14ac:dyDescent="0.2">
      <c r="A46" s="366">
        <v>2015</v>
      </c>
      <c r="B46" s="364" t="s">
        <v>88</v>
      </c>
    </row>
    <row r="47" spans="1:31" x14ac:dyDescent="0.2">
      <c r="A47" s="366">
        <v>3</v>
      </c>
      <c r="B47" s="364" t="s">
        <v>89</v>
      </c>
    </row>
    <row r="49" spans="1:18" x14ac:dyDescent="0.2">
      <c r="A49" s="317" t="s">
        <v>91</v>
      </c>
      <c r="B49" s="317" t="s">
        <v>90</v>
      </c>
    </row>
    <row r="51" spans="1:18" ht="13.5" thickBot="1" x14ac:dyDescent="0.25">
      <c r="B51" s="320" t="s">
        <v>66</v>
      </c>
      <c r="C51" s="321"/>
      <c r="D51" s="322" t="s">
        <v>67</v>
      </c>
      <c r="E51" s="323" t="s">
        <v>68</v>
      </c>
      <c r="F51" s="322" t="s">
        <v>69</v>
      </c>
      <c r="G51" s="322" t="s">
        <v>70</v>
      </c>
      <c r="H51" s="322" t="s">
        <v>71</v>
      </c>
      <c r="I51" s="322" t="s">
        <v>72</v>
      </c>
      <c r="J51" s="322" t="s">
        <v>73</v>
      </c>
      <c r="K51" s="322" t="s">
        <v>74</v>
      </c>
      <c r="L51" s="322" t="s">
        <v>75</v>
      </c>
      <c r="M51" s="322" t="s">
        <v>76</v>
      </c>
      <c r="N51" s="322" t="s">
        <v>77</v>
      </c>
      <c r="O51" s="324" t="s">
        <v>78</v>
      </c>
    </row>
    <row r="52" spans="1:18" ht="13.5" thickTop="1" x14ac:dyDescent="0.2">
      <c r="B52" s="325"/>
      <c r="C52" s="326" t="s">
        <v>79</v>
      </c>
      <c r="D52" s="350">
        <v>518388006</v>
      </c>
      <c r="E52" s="350">
        <v>518387913</v>
      </c>
      <c r="F52" s="351">
        <v>518387444</v>
      </c>
      <c r="G52" s="351">
        <v>520769312</v>
      </c>
      <c r="H52" s="350" t="s">
        <v>80</v>
      </c>
      <c r="I52" s="350" t="s">
        <v>80</v>
      </c>
      <c r="J52" s="350">
        <v>520769308</v>
      </c>
      <c r="K52" s="350">
        <v>518385210</v>
      </c>
      <c r="L52" s="351">
        <v>518384843</v>
      </c>
      <c r="M52" s="351">
        <v>520769091</v>
      </c>
      <c r="N52" s="350" t="s">
        <v>80</v>
      </c>
      <c r="O52" s="352" t="s">
        <v>80</v>
      </c>
      <c r="Q52" s="383" t="s">
        <v>111</v>
      </c>
      <c r="R52" s="384" t="s">
        <v>66</v>
      </c>
    </row>
    <row r="53" spans="1:18" x14ac:dyDescent="0.2">
      <c r="A53" s="317">
        <v>11</v>
      </c>
      <c r="B53" s="330" t="s">
        <v>67</v>
      </c>
      <c r="C53" s="353" t="s">
        <v>80</v>
      </c>
      <c r="D53" s="332" t="s">
        <v>80</v>
      </c>
      <c r="E53" s="333" t="s">
        <v>80</v>
      </c>
      <c r="F53" s="334">
        <f>0.25/($A$44)</f>
        <v>0.25</v>
      </c>
      <c r="G53" s="334">
        <f>0.5/($A$44)</f>
        <v>0.5</v>
      </c>
      <c r="H53" s="334">
        <f t="shared" ref="H53:I55" si="12">1/($A$44)</f>
        <v>1</v>
      </c>
      <c r="I53" s="334">
        <f t="shared" si="12"/>
        <v>1</v>
      </c>
      <c r="J53" s="333" t="s">
        <v>80</v>
      </c>
      <c r="K53" s="334">
        <f t="shared" ref="K53:L55" si="13">1/($A$44)</f>
        <v>1</v>
      </c>
      <c r="L53" s="334">
        <f t="shared" si="13"/>
        <v>1</v>
      </c>
      <c r="M53" s="334">
        <f t="shared" ref="M53:O55" si="14">1.75/($A$44)</f>
        <v>1.75</v>
      </c>
      <c r="N53" s="334">
        <f t="shared" si="14"/>
        <v>1.75</v>
      </c>
      <c r="O53" s="397">
        <f t="shared" si="14"/>
        <v>1.75</v>
      </c>
      <c r="Q53" s="385">
        <v>1</v>
      </c>
      <c r="R53" s="386" t="s">
        <v>112</v>
      </c>
    </row>
    <row r="54" spans="1:18" x14ac:dyDescent="0.2">
      <c r="A54" s="317">
        <v>10</v>
      </c>
      <c r="B54" s="330" t="s">
        <v>68</v>
      </c>
      <c r="C54" s="353" t="s">
        <v>80</v>
      </c>
      <c r="D54" s="336" t="s">
        <v>80</v>
      </c>
      <c r="E54" s="337" t="s">
        <v>80</v>
      </c>
      <c r="F54" s="338">
        <f>0.25/($A$44)</f>
        <v>0.25</v>
      </c>
      <c r="G54" s="338">
        <f>0.5/($A$44)</f>
        <v>0.5</v>
      </c>
      <c r="H54" s="338">
        <f t="shared" si="12"/>
        <v>1</v>
      </c>
      <c r="I54" s="338">
        <f t="shared" si="12"/>
        <v>1</v>
      </c>
      <c r="J54" s="337" t="s">
        <v>80</v>
      </c>
      <c r="K54" s="338">
        <f t="shared" si="13"/>
        <v>1</v>
      </c>
      <c r="L54" s="338">
        <f t="shared" si="13"/>
        <v>1</v>
      </c>
      <c r="M54" s="338">
        <f t="shared" si="14"/>
        <v>1.75</v>
      </c>
      <c r="N54" s="338">
        <f t="shared" si="14"/>
        <v>1.75</v>
      </c>
      <c r="O54" s="398">
        <f t="shared" si="14"/>
        <v>1.75</v>
      </c>
      <c r="Q54" s="385">
        <f>+Q53+1</f>
        <v>2</v>
      </c>
      <c r="R54" s="386" t="s">
        <v>113</v>
      </c>
    </row>
    <row r="55" spans="1:18" x14ac:dyDescent="0.2">
      <c r="A55" s="317">
        <v>9</v>
      </c>
      <c r="B55" s="330" t="s">
        <v>69</v>
      </c>
      <c r="C55" s="353">
        <v>519800508</v>
      </c>
      <c r="D55" s="357">
        <f>0.25/($A$44)</f>
        <v>0.25</v>
      </c>
      <c r="E55" s="358">
        <f>0.25/($A$44)</f>
        <v>0.25</v>
      </c>
      <c r="F55" s="337" t="s">
        <v>80</v>
      </c>
      <c r="G55" s="338">
        <f>0.5/($A$44)</f>
        <v>0.5</v>
      </c>
      <c r="H55" s="338">
        <f t="shared" si="12"/>
        <v>1</v>
      </c>
      <c r="I55" s="338">
        <f t="shared" si="12"/>
        <v>1</v>
      </c>
      <c r="J55" s="337" t="s">
        <v>80</v>
      </c>
      <c r="K55" s="338">
        <f t="shared" si="13"/>
        <v>1</v>
      </c>
      <c r="L55" s="338">
        <f t="shared" si="13"/>
        <v>1</v>
      </c>
      <c r="M55" s="338">
        <f t="shared" si="14"/>
        <v>1.75</v>
      </c>
      <c r="N55" s="338">
        <f t="shared" si="14"/>
        <v>1.75</v>
      </c>
      <c r="O55" s="398">
        <f t="shared" si="14"/>
        <v>1.75</v>
      </c>
      <c r="Q55" s="385">
        <f t="shared" ref="Q55:Q63" si="15">+Q54+1</f>
        <v>3</v>
      </c>
      <c r="R55" s="386" t="s">
        <v>114</v>
      </c>
    </row>
    <row r="56" spans="1:18" x14ac:dyDescent="0.2">
      <c r="A56" s="317">
        <v>8</v>
      </c>
      <c r="B56" s="330" t="s">
        <v>70</v>
      </c>
      <c r="C56" s="353">
        <v>518386962</v>
      </c>
      <c r="D56" s="357">
        <f>0.5/($A$44)</f>
        <v>0.5</v>
      </c>
      <c r="E56" s="358">
        <f>0.5/($A$44)</f>
        <v>0.5</v>
      </c>
      <c r="F56" s="358">
        <f>0.5/($A$44)</f>
        <v>0.5</v>
      </c>
      <c r="G56" s="337" t="s">
        <v>80</v>
      </c>
      <c r="H56" s="338">
        <f>1/($A$44)</f>
        <v>1</v>
      </c>
      <c r="I56" s="338">
        <f>1/($A$44)</f>
        <v>1</v>
      </c>
      <c r="J56" s="337" t="s">
        <v>80</v>
      </c>
      <c r="K56" s="338">
        <f>1/($A$44)</f>
        <v>1</v>
      </c>
      <c r="L56" s="338">
        <f>1/($A$44)</f>
        <v>1</v>
      </c>
      <c r="M56" s="338">
        <f>1.75/($A$44)</f>
        <v>1.75</v>
      </c>
      <c r="N56" s="338">
        <f>1.75/($A$44)</f>
        <v>1.75</v>
      </c>
      <c r="O56" s="398">
        <f>1.75/($A$44)</f>
        <v>1.75</v>
      </c>
      <c r="Q56" s="385">
        <f t="shared" si="15"/>
        <v>4</v>
      </c>
      <c r="R56" s="386" t="s">
        <v>115</v>
      </c>
    </row>
    <row r="57" spans="1:18" x14ac:dyDescent="0.2">
      <c r="A57" s="317">
        <v>7</v>
      </c>
      <c r="B57" s="330" t="s">
        <v>71</v>
      </c>
      <c r="C57" s="359">
        <v>519798453</v>
      </c>
      <c r="D57" s="357">
        <f t="shared" ref="D57:G58" si="16">1/($A$44)</f>
        <v>1</v>
      </c>
      <c r="E57" s="358">
        <f t="shared" si="16"/>
        <v>1</v>
      </c>
      <c r="F57" s="358">
        <f t="shared" si="16"/>
        <v>1</v>
      </c>
      <c r="G57" s="358">
        <f t="shared" si="16"/>
        <v>1</v>
      </c>
      <c r="H57" s="337" t="s">
        <v>80</v>
      </c>
      <c r="I57" s="337" t="s">
        <v>80</v>
      </c>
      <c r="J57" s="337" t="s">
        <v>80</v>
      </c>
      <c r="K57" s="337" t="s">
        <v>80</v>
      </c>
      <c r="L57" s="337" t="s">
        <v>80</v>
      </c>
      <c r="M57" s="337" t="s">
        <v>80</v>
      </c>
      <c r="N57" s="337" t="s">
        <v>80</v>
      </c>
      <c r="O57" s="399" t="s">
        <v>80</v>
      </c>
      <c r="Q57" s="385">
        <f t="shared" si="15"/>
        <v>5</v>
      </c>
      <c r="R57" s="386" t="s">
        <v>116</v>
      </c>
    </row>
    <row r="58" spans="1:18" x14ac:dyDescent="0.2">
      <c r="A58" s="317">
        <v>6</v>
      </c>
      <c r="B58" s="330" t="s">
        <v>72</v>
      </c>
      <c r="C58" s="353">
        <v>518385875</v>
      </c>
      <c r="D58" s="357">
        <f t="shared" si="16"/>
        <v>1</v>
      </c>
      <c r="E58" s="358">
        <f t="shared" si="16"/>
        <v>1</v>
      </c>
      <c r="F58" s="358">
        <f t="shared" si="16"/>
        <v>1</v>
      </c>
      <c r="G58" s="358">
        <f t="shared" si="16"/>
        <v>1</v>
      </c>
      <c r="H58" s="337" t="s">
        <v>80</v>
      </c>
      <c r="I58" s="337" t="s">
        <v>80</v>
      </c>
      <c r="J58" s="337" t="s">
        <v>80</v>
      </c>
      <c r="K58" s="337" t="s">
        <v>80</v>
      </c>
      <c r="L58" s="337" t="s">
        <v>80</v>
      </c>
      <c r="M58" s="337" t="s">
        <v>80</v>
      </c>
      <c r="N58" s="337" t="s">
        <v>80</v>
      </c>
      <c r="O58" s="399" t="s">
        <v>80</v>
      </c>
      <c r="Q58" s="385">
        <f t="shared" si="15"/>
        <v>6</v>
      </c>
      <c r="R58" s="386" t="s">
        <v>117</v>
      </c>
    </row>
    <row r="59" spans="1:18" x14ac:dyDescent="0.2">
      <c r="A59" s="317">
        <v>5</v>
      </c>
      <c r="B59" s="330" t="s">
        <v>73</v>
      </c>
      <c r="C59" s="353" t="s">
        <v>80</v>
      </c>
      <c r="D59" s="343" t="s">
        <v>80</v>
      </c>
      <c r="E59" s="337" t="s">
        <v>80</v>
      </c>
      <c r="F59" s="337" t="s">
        <v>80</v>
      </c>
      <c r="G59" s="337" t="s">
        <v>80</v>
      </c>
      <c r="H59" s="337" t="s">
        <v>80</v>
      </c>
      <c r="I59" s="337" t="s">
        <v>80</v>
      </c>
      <c r="J59" s="337" t="s">
        <v>80</v>
      </c>
      <c r="K59" s="338">
        <f>0.5/($A$44)</f>
        <v>0.5</v>
      </c>
      <c r="L59" s="338">
        <f>0.5/($A$44)</f>
        <v>0.5</v>
      </c>
      <c r="M59" s="338">
        <f>1.25/($A$44)</f>
        <v>1.25</v>
      </c>
      <c r="N59" s="338">
        <f>1.25/($A$44)</f>
        <v>1.25</v>
      </c>
      <c r="O59" s="398">
        <f>1.25/($A$44)</f>
        <v>1.25</v>
      </c>
      <c r="Q59" s="385">
        <f t="shared" si="15"/>
        <v>7</v>
      </c>
      <c r="R59" s="386" t="s">
        <v>118</v>
      </c>
    </row>
    <row r="60" spans="1:18" x14ac:dyDescent="0.2">
      <c r="A60" s="317">
        <v>4</v>
      </c>
      <c r="B60" s="330" t="s">
        <v>74</v>
      </c>
      <c r="C60" s="359">
        <v>520761662</v>
      </c>
      <c r="D60" s="357">
        <f t="shared" ref="D60:G61" si="17">1/($A$44)</f>
        <v>1</v>
      </c>
      <c r="E60" s="358">
        <f t="shared" si="17"/>
        <v>1</v>
      </c>
      <c r="F60" s="358">
        <f t="shared" si="17"/>
        <v>1</v>
      </c>
      <c r="G60" s="358">
        <f t="shared" si="17"/>
        <v>1</v>
      </c>
      <c r="H60" s="337" t="s">
        <v>80</v>
      </c>
      <c r="I60" s="337" t="s">
        <v>80</v>
      </c>
      <c r="J60" s="358">
        <f>0.5/($A$44)</f>
        <v>0.5</v>
      </c>
      <c r="K60" s="337" t="s">
        <v>80</v>
      </c>
      <c r="L60" s="338">
        <f>0.25/($A$44)</f>
        <v>0.25</v>
      </c>
      <c r="M60" s="338">
        <f>1/($A$44)</f>
        <v>1</v>
      </c>
      <c r="N60" s="338">
        <f>1/($A$44)</f>
        <v>1</v>
      </c>
      <c r="O60" s="398">
        <f>1/($A$44)</f>
        <v>1</v>
      </c>
      <c r="Q60" s="385">
        <f t="shared" si="15"/>
        <v>8</v>
      </c>
      <c r="R60" s="386" t="s">
        <v>119</v>
      </c>
    </row>
    <row r="61" spans="1:18" x14ac:dyDescent="0.2">
      <c r="A61" s="317">
        <v>3</v>
      </c>
      <c r="B61" s="330" t="s">
        <v>75</v>
      </c>
      <c r="C61" s="353">
        <v>518384990</v>
      </c>
      <c r="D61" s="357">
        <f>1/($A$44)</f>
        <v>1</v>
      </c>
      <c r="E61" s="358">
        <f t="shared" si="17"/>
        <v>1</v>
      </c>
      <c r="F61" s="358">
        <f t="shared" si="17"/>
        <v>1</v>
      </c>
      <c r="G61" s="358">
        <f t="shared" si="17"/>
        <v>1</v>
      </c>
      <c r="H61" s="337" t="s">
        <v>80</v>
      </c>
      <c r="I61" s="337" t="s">
        <v>80</v>
      </c>
      <c r="J61" s="358">
        <f>0.5/($A$44)</f>
        <v>0.5</v>
      </c>
      <c r="K61" s="358">
        <f>0.25/($A$44)</f>
        <v>0.25</v>
      </c>
      <c r="L61" s="337" t="s">
        <v>80</v>
      </c>
      <c r="M61" s="338">
        <f>0.75/($A$44)</f>
        <v>0.75</v>
      </c>
      <c r="N61" s="338">
        <f>0.75/($A$44)</f>
        <v>0.75</v>
      </c>
      <c r="O61" s="398">
        <f>0.75/($A$44)</f>
        <v>0.75</v>
      </c>
      <c r="Q61" s="385">
        <f t="shared" si="15"/>
        <v>9</v>
      </c>
      <c r="R61" s="386" t="s">
        <v>69</v>
      </c>
    </row>
    <row r="62" spans="1:18" x14ac:dyDescent="0.2">
      <c r="A62" s="317">
        <v>2</v>
      </c>
      <c r="B62" s="330" t="s">
        <v>76</v>
      </c>
      <c r="C62" s="353">
        <v>518384651</v>
      </c>
      <c r="D62" s="357">
        <f t="shared" ref="D62:G64" si="18">1.75/($A$44)</f>
        <v>1.75</v>
      </c>
      <c r="E62" s="358">
        <f t="shared" si="18"/>
        <v>1.75</v>
      </c>
      <c r="F62" s="358">
        <f t="shared" si="18"/>
        <v>1.75</v>
      </c>
      <c r="G62" s="358">
        <f t="shared" si="18"/>
        <v>1.75</v>
      </c>
      <c r="H62" s="337" t="s">
        <v>80</v>
      </c>
      <c r="I62" s="337" t="s">
        <v>80</v>
      </c>
      <c r="J62" s="358">
        <f>1.25/($A$44)</f>
        <v>1.25</v>
      </c>
      <c r="K62" s="358">
        <f>1/($A$44)</f>
        <v>1</v>
      </c>
      <c r="L62" s="358">
        <f>0.75/($A$44)</f>
        <v>0.75</v>
      </c>
      <c r="M62" s="337" t="s">
        <v>80</v>
      </c>
      <c r="N62" s="338">
        <f>0.5/($A$44)</f>
        <v>0.5</v>
      </c>
      <c r="O62" s="398">
        <f>0.5/($A$44)</f>
        <v>0.5</v>
      </c>
      <c r="Q62" s="385">
        <f t="shared" si="15"/>
        <v>10</v>
      </c>
      <c r="R62" s="386" t="s">
        <v>120</v>
      </c>
    </row>
    <row r="63" spans="1:18" x14ac:dyDescent="0.2">
      <c r="A63" s="317">
        <v>1</v>
      </c>
      <c r="B63" s="330" t="s">
        <v>77</v>
      </c>
      <c r="C63" s="359">
        <v>518384467</v>
      </c>
      <c r="D63" s="357">
        <f t="shared" si="18"/>
        <v>1.75</v>
      </c>
      <c r="E63" s="358">
        <f t="shared" si="18"/>
        <v>1.75</v>
      </c>
      <c r="F63" s="358">
        <f t="shared" si="18"/>
        <v>1.75</v>
      </c>
      <c r="G63" s="358">
        <f t="shared" si="18"/>
        <v>1.75</v>
      </c>
      <c r="H63" s="337" t="s">
        <v>80</v>
      </c>
      <c r="I63" s="337" t="s">
        <v>80</v>
      </c>
      <c r="J63" s="358">
        <f>1.25/($A$44)</f>
        <v>1.25</v>
      </c>
      <c r="K63" s="358">
        <f>1/($A$44)</f>
        <v>1</v>
      </c>
      <c r="L63" s="358">
        <f>0.75/($A$44)</f>
        <v>0.75</v>
      </c>
      <c r="M63" s="358">
        <f>0.5/($A$44)</f>
        <v>0.5</v>
      </c>
      <c r="N63" s="337" t="s">
        <v>80</v>
      </c>
      <c r="O63" s="399" t="s">
        <v>80</v>
      </c>
      <c r="Q63" s="385">
        <f t="shared" si="15"/>
        <v>11</v>
      </c>
      <c r="R63" s="386" t="s">
        <v>121</v>
      </c>
    </row>
    <row r="64" spans="1:18" x14ac:dyDescent="0.2">
      <c r="B64" s="330" t="s">
        <v>78</v>
      </c>
      <c r="C64" s="359">
        <v>518384232</v>
      </c>
      <c r="D64" s="400">
        <f t="shared" si="18"/>
        <v>1.75</v>
      </c>
      <c r="E64" s="401">
        <f t="shared" si="18"/>
        <v>1.75</v>
      </c>
      <c r="F64" s="401">
        <f t="shared" si="18"/>
        <v>1.75</v>
      </c>
      <c r="G64" s="401">
        <f t="shared" si="18"/>
        <v>1.75</v>
      </c>
      <c r="H64" s="402" t="s">
        <v>80</v>
      </c>
      <c r="I64" s="402" t="s">
        <v>80</v>
      </c>
      <c r="J64" s="401">
        <f>1.25/($A$44)</f>
        <v>1.25</v>
      </c>
      <c r="K64" s="401">
        <f>1/($A$44)</f>
        <v>1</v>
      </c>
      <c r="L64" s="401">
        <f>0.75/($A$44)</f>
        <v>0.75</v>
      </c>
      <c r="M64" s="401">
        <f>0.5/($A$44)</f>
        <v>0.5</v>
      </c>
      <c r="N64" s="403" t="s">
        <v>80</v>
      </c>
      <c r="O64" s="391" t="s">
        <v>80</v>
      </c>
    </row>
    <row r="65" spans="2:33" x14ac:dyDescent="0.2">
      <c r="B65" s="344"/>
      <c r="C65" s="345"/>
      <c r="D65" s="361"/>
      <c r="E65" s="361"/>
      <c r="F65" s="361"/>
      <c r="G65" s="361"/>
      <c r="H65" s="361"/>
      <c r="I65" s="361"/>
      <c r="J65" s="361"/>
      <c r="K65" s="361"/>
      <c r="L65" s="361"/>
      <c r="M65" s="361"/>
      <c r="N65" s="361"/>
      <c r="O65" s="362"/>
    </row>
    <row r="67" spans="2:33" x14ac:dyDescent="0.2">
      <c r="D67" s="387">
        <v>1</v>
      </c>
      <c r="E67" s="387">
        <v>2</v>
      </c>
      <c r="F67" s="387">
        <v>3</v>
      </c>
      <c r="G67" s="387">
        <v>4</v>
      </c>
      <c r="H67" s="387">
        <v>5</v>
      </c>
      <c r="I67" s="387">
        <v>6</v>
      </c>
      <c r="J67" s="387">
        <v>7</v>
      </c>
      <c r="K67" s="387">
        <v>8</v>
      </c>
      <c r="L67" s="387">
        <v>9</v>
      </c>
      <c r="M67" s="387">
        <v>10</v>
      </c>
      <c r="N67" s="387">
        <v>11</v>
      </c>
      <c r="O67" s="387">
        <v>12</v>
      </c>
      <c r="P67" s="408" t="s">
        <v>122</v>
      </c>
      <c r="S67" s="317" t="s">
        <v>131</v>
      </c>
      <c r="U67" s="387">
        <v>1</v>
      </c>
      <c r="V67" s="387">
        <v>2</v>
      </c>
      <c r="W67" s="387">
        <v>3</v>
      </c>
      <c r="X67" s="387">
        <v>4</v>
      </c>
      <c r="Y67" s="387">
        <v>5</v>
      </c>
      <c r="Z67" s="387">
        <v>6</v>
      </c>
      <c r="AA67" s="387">
        <v>7</v>
      </c>
      <c r="AB67" s="387">
        <v>8</v>
      </c>
      <c r="AC67" s="387">
        <v>9</v>
      </c>
      <c r="AD67" s="387">
        <v>10</v>
      </c>
      <c r="AE67" s="387">
        <v>11</v>
      </c>
      <c r="AF67" s="387">
        <v>12</v>
      </c>
      <c r="AG67" s="408" t="s">
        <v>122</v>
      </c>
    </row>
    <row r="68" spans="2:33" x14ac:dyDescent="0.2">
      <c r="B68" s="320" t="s">
        <v>66</v>
      </c>
      <c r="C68" s="321"/>
      <c r="D68" s="322" t="s">
        <v>77</v>
      </c>
      <c r="E68" s="323" t="s">
        <v>76</v>
      </c>
      <c r="F68" s="322" t="s">
        <v>75</v>
      </c>
      <c r="G68" s="322" t="s">
        <v>74</v>
      </c>
      <c r="H68" s="322" t="s">
        <v>73</v>
      </c>
      <c r="I68" s="322" t="s">
        <v>72</v>
      </c>
      <c r="J68" s="322" t="s">
        <v>71</v>
      </c>
      <c r="K68" s="322" t="s">
        <v>70</v>
      </c>
      <c r="L68" s="322" t="s">
        <v>69</v>
      </c>
      <c r="M68" s="322" t="s">
        <v>68</v>
      </c>
      <c r="N68" s="388" t="s">
        <v>123</v>
      </c>
      <c r="O68" s="324"/>
      <c r="S68" s="320" t="s">
        <v>66</v>
      </c>
      <c r="T68" s="321"/>
      <c r="U68" s="322" t="s">
        <v>77</v>
      </c>
      <c r="V68" s="323" t="s">
        <v>76</v>
      </c>
      <c r="W68" s="322" t="s">
        <v>75</v>
      </c>
      <c r="X68" s="322" t="s">
        <v>74</v>
      </c>
      <c r="Y68" s="322" t="s">
        <v>73</v>
      </c>
      <c r="Z68" s="322" t="s">
        <v>72</v>
      </c>
      <c r="AA68" s="322" t="s">
        <v>71</v>
      </c>
      <c r="AB68" s="322" t="s">
        <v>70</v>
      </c>
      <c r="AC68" s="322" t="s">
        <v>69</v>
      </c>
      <c r="AD68" s="322" t="s">
        <v>68</v>
      </c>
      <c r="AE68" s="388" t="s">
        <v>123</v>
      </c>
      <c r="AF68" s="324"/>
    </row>
    <row r="69" spans="2:33" x14ac:dyDescent="0.2">
      <c r="B69" s="325"/>
      <c r="C69" s="326" t="s">
        <v>79</v>
      </c>
      <c r="D69" s="459">
        <v>518388006</v>
      </c>
      <c r="E69" s="459">
        <v>518387913</v>
      </c>
      <c r="F69" s="460">
        <v>518387444</v>
      </c>
      <c r="G69" s="460">
        <v>520769312</v>
      </c>
      <c r="H69" s="459" t="s">
        <v>80</v>
      </c>
      <c r="I69" s="459" t="s">
        <v>80</v>
      </c>
      <c r="J69" s="459">
        <v>520769308</v>
      </c>
      <c r="K69" s="459">
        <v>518385210</v>
      </c>
      <c r="L69" s="460">
        <v>518384843</v>
      </c>
      <c r="M69" s="460">
        <v>520769091</v>
      </c>
      <c r="N69" s="459" t="s">
        <v>80</v>
      </c>
      <c r="O69" s="461" t="s">
        <v>80</v>
      </c>
      <c r="S69" s="325"/>
      <c r="T69" s="326" t="s">
        <v>79</v>
      </c>
      <c r="U69" s="459">
        <v>518388006</v>
      </c>
      <c r="V69" s="459">
        <v>518387913</v>
      </c>
      <c r="W69" s="460">
        <v>518387444</v>
      </c>
      <c r="X69" s="460">
        <v>520769312</v>
      </c>
      <c r="Y69" s="459" t="s">
        <v>80</v>
      </c>
      <c r="Z69" s="459" t="s">
        <v>80</v>
      </c>
      <c r="AA69" s="459">
        <v>520769308</v>
      </c>
      <c r="AB69" s="459">
        <v>518385210</v>
      </c>
      <c r="AC69" s="460">
        <v>518384843</v>
      </c>
      <c r="AD69" s="460">
        <v>520769091</v>
      </c>
      <c r="AE69" s="459" t="s">
        <v>80</v>
      </c>
      <c r="AF69" s="461" t="s">
        <v>80</v>
      </c>
    </row>
    <row r="70" spans="2:33" x14ac:dyDescent="0.2">
      <c r="B70" s="330" t="s">
        <v>77</v>
      </c>
      <c r="C70" s="353" t="s">
        <v>80</v>
      </c>
      <c r="D70" s="396" t="str">
        <f>N63</f>
        <v>-</v>
      </c>
      <c r="E70" s="340">
        <f>M63</f>
        <v>0.5</v>
      </c>
      <c r="F70" s="340">
        <f>L63</f>
        <v>0.75</v>
      </c>
      <c r="G70" s="340">
        <f>K63</f>
        <v>1</v>
      </c>
      <c r="H70" s="340">
        <f>J63</f>
        <v>1.25</v>
      </c>
      <c r="I70" s="393" t="str">
        <f>I63</f>
        <v>-</v>
      </c>
      <c r="J70" s="340" t="str">
        <f t="shared" ref="J70:J76" si="19">I70</f>
        <v>-</v>
      </c>
      <c r="K70" s="340">
        <f>G63</f>
        <v>1.75</v>
      </c>
      <c r="L70" s="340">
        <f>F63</f>
        <v>1.75</v>
      </c>
      <c r="M70" s="340">
        <f>E63</f>
        <v>1.75</v>
      </c>
      <c r="N70" s="340">
        <f>D63</f>
        <v>1.75</v>
      </c>
      <c r="O70" s="404"/>
      <c r="P70" s="387">
        <v>1</v>
      </c>
      <c r="S70" s="330" t="s">
        <v>77</v>
      </c>
      <c r="T70" s="353" t="s">
        <v>80</v>
      </c>
      <c r="U70" s="462">
        <f>AE63</f>
        <v>0</v>
      </c>
      <c r="V70" s="463">
        <v>1.7</v>
      </c>
      <c r="W70" s="463">
        <f>V70+1.93</f>
        <v>3.63</v>
      </c>
      <c r="X70" s="463">
        <f>W70+1</f>
        <v>4.63</v>
      </c>
      <c r="Y70" s="463">
        <f>X70+1.7-(1000/5280)-0.12</f>
        <v>6.0206060606060605</v>
      </c>
      <c r="Z70" s="463">
        <f>Z63</f>
        <v>0</v>
      </c>
      <c r="AA70" s="463">
        <f t="shared" ref="AA70:AA76" si="20">Z70</f>
        <v>0</v>
      </c>
      <c r="AB70" s="463">
        <f>Y70+1.5+0.45+0.12+(1000/5280)</f>
        <v>8.2799999999999994</v>
      </c>
      <c r="AC70" s="463">
        <f>AB70+2.1</f>
        <v>10.379999999999999</v>
      </c>
      <c r="AD70" s="463">
        <f>AC70+0.89</f>
        <v>11.27</v>
      </c>
      <c r="AE70" s="463">
        <f>AD70</f>
        <v>11.27</v>
      </c>
      <c r="AF70" s="404"/>
      <c r="AG70" s="387">
        <v>1</v>
      </c>
    </row>
    <row r="71" spans="2:33" x14ac:dyDescent="0.2">
      <c r="B71" s="330" t="s">
        <v>76</v>
      </c>
      <c r="C71" s="353" t="s">
        <v>80</v>
      </c>
      <c r="D71" s="336">
        <f>N62</f>
        <v>0.5</v>
      </c>
      <c r="E71" s="340" t="str">
        <f>M62</f>
        <v>-</v>
      </c>
      <c r="F71" s="340">
        <f>L62</f>
        <v>0.75</v>
      </c>
      <c r="G71" s="340">
        <f>K62</f>
        <v>1</v>
      </c>
      <c r="H71" s="340">
        <f>J62</f>
        <v>1.25</v>
      </c>
      <c r="I71" s="393" t="str">
        <f>I62</f>
        <v>-</v>
      </c>
      <c r="J71" s="340" t="str">
        <f t="shared" si="19"/>
        <v>-</v>
      </c>
      <c r="K71" s="340">
        <f>G62</f>
        <v>1.75</v>
      </c>
      <c r="L71" s="340">
        <f>F62</f>
        <v>1.75</v>
      </c>
      <c r="M71" s="340">
        <f>E62</f>
        <v>1.75</v>
      </c>
      <c r="N71" s="340">
        <f>D62</f>
        <v>1.75</v>
      </c>
      <c r="O71" s="405"/>
      <c r="P71" s="387">
        <v>2</v>
      </c>
      <c r="S71" s="330" t="s">
        <v>76</v>
      </c>
      <c r="T71" s="353" t="s">
        <v>80</v>
      </c>
      <c r="U71" s="464">
        <f>AE62</f>
        <v>0</v>
      </c>
      <c r="V71" s="463">
        <f>AD62</f>
        <v>0</v>
      </c>
      <c r="W71" s="463">
        <f>W70-$V70</f>
        <v>1.93</v>
      </c>
      <c r="X71" s="463">
        <f>X70-$V70</f>
        <v>2.9299999999999997</v>
      </c>
      <c r="Y71" s="463">
        <f>Y70-$V70</f>
        <v>4.3206060606060603</v>
      </c>
      <c r="Z71" s="463">
        <f>Z62</f>
        <v>0</v>
      </c>
      <c r="AA71" s="463">
        <f t="shared" si="20"/>
        <v>0</v>
      </c>
      <c r="AB71" s="463">
        <f>AB70-$V70</f>
        <v>6.5799999999999992</v>
      </c>
      <c r="AC71" s="463">
        <f>AC70-$V70</f>
        <v>8.68</v>
      </c>
      <c r="AD71" s="463">
        <f>AD70-$V70</f>
        <v>9.57</v>
      </c>
      <c r="AE71" s="463">
        <f>AE70-$V70</f>
        <v>9.57</v>
      </c>
      <c r="AF71" s="405"/>
      <c r="AG71" s="387">
        <v>2</v>
      </c>
    </row>
    <row r="72" spans="2:33" x14ac:dyDescent="0.2">
      <c r="B72" s="330" t="s">
        <v>75</v>
      </c>
      <c r="C72" s="353">
        <v>519800508</v>
      </c>
      <c r="D72" s="336">
        <f>N61</f>
        <v>0.75</v>
      </c>
      <c r="E72" s="340">
        <f>M61</f>
        <v>0.75</v>
      </c>
      <c r="F72" s="393" t="str">
        <f>L61</f>
        <v>-</v>
      </c>
      <c r="G72" s="340">
        <f>K61</f>
        <v>0.25</v>
      </c>
      <c r="H72" s="340">
        <f>J61</f>
        <v>0.5</v>
      </c>
      <c r="I72" s="340" t="str">
        <f>I61</f>
        <v>-</v>
      </c>
      <c r="J72" s="340" t="str">
        <f t="shared" si="19"/>
        <v>-</v>
      </c>
      <c r="K72" s="340">
        <f>G61</f>
        <v>1</v>
      </c>
      <c r="L72" s="340">
        <f>F61</f>
        <v>1</v>
      </c>
      <c r="M72" s="340">
        <f>E61</f>
        <v>1</v>
      </c>
      <c r="N72" s="340">
        <f>D61</f>
        <v>1</v>
      </c>
      <c r="O72" s="405"/>
      <c r="P72" s="387">
        <v>3</v>
      </c>
      <c r="S72" s="330" t="s">
        <v>75</v>
      </c>
      <c r="T72" s="353">
        <v>519800508</v>
      </c>
      <c r="U72" s="464">
        <f>AE61</f>
        <v>0</v>
      </c>
      <c r="V72" s="463">
        <f>AD61</f>
        <v>0</v>
      </c>
      <c r="W72" s="463">
        <f>AC61</f>
        <v>0</v>
      </c>
      <c r="X72" s="463">
        <f>X71-$W71</f>
        <v>0.99999999999999978</v>
      </c>
      <c r="Y72" s="463">
        <f>Y71-$W71</f>
        <v>2.3906060606060606</v>
      </c>
      <c r="Z72" s="463"/>
      <c r="AA72" s="463"/>
      <c r="AB72" s="463">
        <f t="shared" ref="AB72:AD72" si="21">AB71-$W71</f>
        <v>4.6499999999999995</v>
      </c>
      <c r="AC72" s="463">
        <f t="shared" si="21"/>
        <v>6.75</v>
      </c>
      <c r="AD72" s="463">
        <f t="shared" si="21"/>
        <v>7.6400000000000006</v>
      </c>
      <c r="AE72" s="463">
        <f>AE71-$W71</f>
        <v>7.6400000000000006</v>
      </c>
      <c r="AF72" s="405"/>
      <c r="AG72" s="387">
        <v>3</v>
      </c>
    </row>
    <row r="73" spans="2:33" x14ac:dyDescent="0.2">
      <c r="B73" s="330" t="s">
        <v>74</v>
      </c>
      <c r="C73" s="353">
        <v>518386962</v>
      </c>
      <c r="D73" s="336">
        <f>N60</f>
        <v>1</v>
      </c>
      <c r="E73" s="340">
        <f>M60</f>
        <v>1</v>
      </c>
      <c r="F73" s="340">
        <f>L60</f>
        <v>0.25</v>
      </c>
      <c r="G73" s="393" t="str">
        <f>K60</f>
        <v>-</v>
      </c>
      <c r="H73" s="340">
        <f>J60</f>
        <v>0.5</v>
      </c>
      <c r="I73" s="340" t="str">
        <f>I60</f>
        <v>-</v>
      </c>
      <c r="J73" s="340" t="str">
        <f t="shared" si="19"/>
        <v>-</v>
      </c>
      <c r="K73" s="340">
        <f>G60</f>
        <v>1</v>
      </c>
      <c r="L73" s="340">
        <f>F60</f>
        <v>1</v>
      </c>
      <c r="M73" s="340">
        <f>E60</f>
        <v>1</v>
      </c>
      <c r="N73" s="340">
        <f>D60</f>
        <v>1</v>
      </c>
      <c r="O73" s="405"/>
      <c r="P73" s="387">
        <v>4</v>
      </c>
      <c r="S73" s="330" t="s">
        <v>74</v>
      </c>
      <c r="T73" s="353">
        <v>518386962</v>
      </c>
      <c r="U73" s="464">
        <f>AE60</f>
        <v>0</v>
      </c>
      <c r="V73" s="463">
        <f>AD60</f>
        <v>0</v>
      </c>
      <c r="W73" s="463">
        <f>AC60</f>
        <v>0</v>
      </c>
      <c r="X73" s="463">
        <f>AB60</f>
        <v>0</v>
      </c>
      <c r="Y73" s="463">
        <f>Y72-$X72</f>
        <v>1.3906060606060608</v>
      </c>
      <c r="Z73" s="463">
        <f>Z60</f>
        <v>0</v>
      </c>
      <c r="AA73" s="463">
        <f t="shared" si="20"/>
        <v>0</v>
      </c>
      <c r="AB73" s="463">
        <f t="shared" ref="AB73:AE73" si="22">AB72-$X72</f>
        <v>3.6499999999999995</v>
      </c>
      <c r="AC73" s="463">
        <f t="shared" si="22"/>
        <v>5.75</v>
      </c>
      <c r="AD73" s="463">
        <f t="shared" si="22"/>
        <v>6.6400000000000006</v>
      </c>
      <c r="AE73" s="463">
        <f t="shared" si="22"/>
        <v>6.6400000000000006</v>
      </c>
      <c r="AF73" s="405"/>
      <c r="AG73" s="387">
        <v>4</v>
      </c>
    </row>
    <row r="74" spans="2:33" x14ac:dyDescent="0.2">
      <c r="B74" s="330" t="s">
        <v>73</v>
      </c>
      <c r="C74" s="359">
        <v>519798453</v>
      </c>
      <c r="D74" s="336">
        <f>N59</f>
        <v>1.25</v>
      </c>
      <c r="E74" s="340">
        <f>M59</f>
        <v>1.25</v>
      </c>
      <c r="F74" s="340">
        <f>L59</f>
        <v>0.5</v>
      </c>
      <c r="G74" s="340">
        <f>K59</f>
        <v>0.5</v>
      </c>
      <c r="H74" s="393" t="str">
        <f>J59</f>
        <v>-</v>
      </c>
      <c r="I74" s="393" t="str">
        <f>I59</f>
        <v>-</v>
      </c>
      <c r="J74" s="340" t="str">
        <f t="shared" si="19"/>
        <v>-</v>
      </c>
      <c r="K74" s="393" t="str">
        <f>G59</f>
        <v>-</v>
      </c>
      <c r="L74" s="393" t="str">
        <f>F59</f>
        <v>-</v>
      </c>
      <c r="M74" s="393" t="str">
        <f>E59</f>
        <v>-</v>
      </c>
      <c r="N74" s="393" t="str">
        <f>D59</f>
        <v>-</v>
      </c>
      <c r="O74" s="406"/>
      <c r="P74" s="387">
        <v>5</v>
      </c>
      <c r="S74" s="330" t="s">
        <v>73</v>
      </c>
      <c r="T74" s="359">
        <v>519798453</v>
      </c>
      <c r="U74" s="464">
        <f>AE59</f>
        <v>0</v>
      </c>
      <c r="V74" s="463">
        <f>AD59</f>
        <v>0</v>
      </c>
      <c r="W74" s="463">
        <f>AC59</f>
        <v>0</v>
      </c>
      <c r="X74" s="463">
        <f>AB59</f>
        <v>0</v>
      </c>
      <c r="Y74" s="463">
        <f>AA59</f>
        <v>0</v>
      </c>
      <c r="Z74" s="463">
        <f>Z59</f>
        <v>0</v>
      </c>
      <c r="AA74" s="463">
        <f t="shared" si="20"/>
        <v>0</v>
      </c>
      <c r="AB74" s="463">
        <f>X59</f>
        <v>0</v>
      </c>
      <c r="AC74" s="463">
        <f>W59</f>
        <v>0</v>
      </c>
      <c r="AD74" s="463">
        <f>V59</f>
        <v>0</v>
      </c>
      <c r="AE74" s="463">
        <f>U59</f>
        <v>0</v>
      </c>
      <c r="AF74" s="406"/>
      <c r="AG74" s="387">
        <v>5</v>
      </c>
    </row>
    <row r="75" spans="2:33" x14ac:dyDescent="0.2">
      <c r="B75" s="330" t="s">
        <v>72</v>
      </c>
      <c r="C75" s="353">
        <v>518385875</v>
      </c>
      <c r="D75" s="336" t="str">
        <f t="shared" ref="D75:D76" si="23">E75</f>
        <v>-</v>
      </c>
      <c r="E75" s="340" t="str">
        <f>M58</f>
        <v>-</v>
      </c>
      <c r="F75" s="340" t="str">
        <f>L58</f>
        <v>-</v>
      </c>
      <c r="G75" s="340" t="str">
        <f t="shared" ref="G75:G76" si="24">F75</f>
        <v>-</v>
      </c>
      <c r="H75" s="393" t="str">
        <f>J58</f>
        <v>-</v>
      </c>
      <c r="I75" s="393" t="str">
        <f>I58</f>
        <v>-</v>
      </c>
      <c r="J75" s="340" t="str">
        <f t="shared" si="19"/>
        <v>-</v>
      </c>
      <c r="K75" s="340">
        <f>G58</f>
        <v>1</v>
      </c>
      <c r="L75" s="340">
        <f>F58</f>
        <v>1</v>
      </c>
      <c r="M75" s="340">
        <f>E58</f>
        <v>1</v>
      </c>
      <c r="N75" s="340">
        <f>D58</f>
        <v>1</v>
      </c>
      <c r="O75" s="406"/>
      <c r="P75" s="387">
        <v>6</v>
      </c>
      <c r="S75" s="330" t="s">
        <v>72</v>
      </c>
      <c r="T75" s="353">
        <v>518385875</v>
      </c>
      <c r="U75" s="464">
        <f t="shared" ref="U75:U76" si="25">V75</f>
        <v>0</v>
      </c>
      <c r="V75" s="463">
        <f>AD58</f>
        <v>0</v>
      </c>
      <c r="W75" s="463">
        <f>AC58</f>
        <v>0</v>
      </c>
      <c r="X75" s="463">
        <f t="shared" ref="X75:X76" si="26">W75</f>
        <v>0</v>
      </c>
      <c r="Y75" s="463">
        <f>AA58</f>
        <v>0</v>
      </c>
      <c r="Z75" s="463">
        <f>Z58</f>
        <v>0</v>
      </c>
      <c r="AA75" s="463">
        <f t="shared" si="20"/>
        <v>0</v>
      </c>
      <c r="AB75" s="463">
        <f>1.5+0.45</f>
        <v>1.95</v>
      </c>
      <c r="AC75" s="463">
        <f>AB75+2.1</f>
        <v>4.05</v>
      </c>
      <c r="AD75" s="463">
        <f>AC75+0.89</f>
        <v>4.9399999999999995</v>
      </c>
      <c r="AE75" s="463">
        <f>AD75</f>
        <v>4.9399999999999995</v>
      </c>
      <c r="AF75" s="406"/>
      <c r="AG75" s="387">
        <v>6</v>
      </c>
    </row>
    <row r="76" spans="2:33" x14ac:dyDescent="0.2">
      <c r="B76" s="330" t="s">
        <v>71</v>
      </c>
      <c r="C76" s="353" t="s">
        <v>80</v>
      </c>
      <c r="D76" s="336" t="str">
        <f t="shared" si="23"/>
        <v>-</v>
      </c>
      <c r="E76" s="393" t="str">
        <f>M57</f>
        <v>-</v>
      </c>
      <c r="F76" s="393" t="str">
        <f>L57</f>
        <v>-</v>
      </c>
      <c r="G76" s="340" t="str">
        <f t="shared" si="24"/>
        <v>-</v>
      </c>
      <c r="H76" s="393" t="str">
        <f>J57</f>
        <v>-</v>
      </c>
      <c r="I76" s="393" t="str">
        <f>I57</f>
        <v>-</v>
      </c>
      <c r="J76" s="340" t="str">
        <f t="shared" si="19"/>
        <v>-</v>
      </c>
      <c r="K76" s="340">
        <f>G57</f>
        <v>1</v>
      </c>
      <c r="L76" s="340">
        <f>F57</f>
        <v>1</v>
      </c>
      <c r="M76" s="340">
        <f>E57</f>
        <v>1</v>
      </c>
      <c r="N76" s="340">
        <f>D57</f>
        <v>1</v>
      </c>
      <c r="O76" s="405"/>
      <c r="P76" s="387">
        <v>7</v>
      </c>
      <c r="S76" s="330" t="s">
        <v>71</v>
      </c>
      <c r="T76" s="353" t="s">
        <v>80</v>
      </c>
      <c r="U76" s="464">
        <f t="shared" si="25"/>
        <v>0</v>
      </c>
      <c r="V76" s="463">
        <f>AD57</f>
        <v>0</v>
      </c>
      <c r="W76" s="463">
        <f>AC57</f>
        <v>0</v>
      </c>
      <c r="X76" s="463">
        <f t="shared" si="26"/>
        <v>0</v>
      </c>
      <c r="Y76" s="463">
        <f>AA57</f>
        <v>0</v>
      </c>
      <c r="Z76" s="463">
        <f>Z57</f>
        <v>0</v>
      </c>
      <c r="AA76" s="463">
        <f t="shared" si="20"/>
        <v>0</v>
      </c>
      <c r="AB76" s="463">
        <v>0.45</v>
      </c>
      <c r="AC76" s="463">
        <f>AB76+2.1</f>
        <v>2.5500000000000003</v>
      </c>
      <c r="AD76" s="463">
        <f>AC76+0.89</f>
        <v>3.4400000000000004</v>
      </c>
      <c r="AE76" s="463">
        <f>AD76</f>
        <v>3.4400000000000004</v>
      </c>
      <c r="AF76" s="405"/>
      <c r="AG76" s="387">
        <v>7</v>
      </c>
    </row>
    <row r="77" spans="2:33" x14ac:dyDescent="0.2">
      <c r="B77" s="330" t="s">
        <v>70</v>
      </c>
      <c r="C77" s="359">
        <v>520761662</v>
      </c>
      <c r="D77" s="336">
        <f>E77</f>
        <v>1.75</v>
      </c>
      <c r="E77" s="340">
        <f>M56</f>
        <v>1.75</v>
      </c>
      <c r="F77" s="340">
        <f>L56</f>
        <v>1</v>
      </c>
      <c r="G77" s="340">
        <f>F77</f>
        <v>1</v>
      </c>
      <c r="H77" s="393" t="str">
        <f>J56</f>
        <v>-</v>
      </c>
      <c r="I77" s="340">
        <f>G77</f>
        <v>1</v>
      </c>
      <c r="J77" s="340">
        <f>I77</f>
        <v>1</v>
      </c>
      <c r="K77" s="393" t="str">
        <f>G56</f>
        <v>-</v>
      </c>
      <c r="L77" s="340">
        <f>F56</f>
        <v>0.5</v>
      </c>
      <c r="M77" s="340">
        <f>E56</f>
        <v>0.5</v>
      </c>
      <c r="N77" s="340">
        <f>D56</f>
        <v>0.5</v>
      </c>
      <c r="O77" s="405"/>
      <c r="P77" s="387">
        <v>8</v>
      </c>
      <c r="S77" s="330" t="s">
        <v>70</v>
      </c>
      <c r="T77" s="359">
        <v>520761662</v>
      </c>
      <c r="U77" s="464">
        <f>V77</f>
        <v>0</v>
      </c>
      <c r="V77" s="463">
        <f>AD56</f>
        <v>0</v>
      </c>
      <c r="W77" s="463">
        <f>AC56</f>
        <v>0</v>
      </c>
      <c r="X77" s="463">
        <f>W77</f>
        <v>0</v>
      </c>
      <c r="Y77" s="463">
        <f>AA56</f>
        <v>0</v>
      </c>
      <c r="Z77" s="463">
        <f>X77</f>
        <v>0</v>
      </c>
      <c r="AA77" s="463">
        <f>Z77</f>
        <v>0</v>
      </c>
      <c r="AB77" s="463">
        <f>X56</f>
        <v>0</v>
      </c>
      <c r="AC77" s="463">
        <v>2.1</v>
      </c>
      <c r="AD77" s="463">
        <f>AC77+0.89</f>
        <v>2.99</v>
      </c>
      <c r="AE77" s="463">
        <f>AD77</f>
        <v>2.99</v>
      </c>
      <c r="AF77" s="405"/>
      <c r="AG77" s="387">
        <v>8</v>
      </c>
    </row>
    <row r="78" spans="2:33" x14ac:dyDescent="0.2">
      <c r="B78" s="330" t="s">
        <v>69</v>
      </c>
      <c r="C78" s="353">
        <v>518384990</v>
      </c>
      <c r="D78" s="336">
        <f t="shared" ref="D78:D80" si="27">E78</f>
        <v>1.75</v>
      </c>
      <c r="E78" s="340">
        <f>M55</f>
        <v>1.75</v>
      </c>
      <c r="F78" s="340">
        <f>L55</f>
        <v>1</v>
      </c>
      <c r="G78" s="340">
        <f t="shared" ref="G78:G80" si="28">F78</f>
        <v>1</v>
      </c>
      <c r="H78" s="393" t="str">
        <f>J55</f>
        <v>-</v>
      </c>
      <c r="I78" s="340">
        <f t="shared" ref="I78:I80" si="29">G78</f>
        <v>1</v>
      </c>
      <c r="J78" s="340">
        <f t="shared" ref="J78:J80" si="30">I78</f>
        <v>1</v>
      </c>
      <c r="K78" s="340">
        <f>G55</f>
        <v>0.5</v>
      </c>
      <c r="L78" s="393" t="str">
        <f>F55</f>
        <v>-</v>
      </c>
      <c r="M78" s="340">
        <f>E55</f>
        <v>0.25</v>
      </c>
      <c r="N78" s="340">
        <f>D55</f>
        <v>0.25</v>
      </c>
      <c r="O78" s="405"/>
      <c r="P78" s="387">
        <v>9</v>
      </c>
      <c r="S78" s="330" t="s">
        <v>69</v>
      </c>
      <c r="T78" s="353">
        <v>518384990</v>
      </c>
      <c r="U78" s="464">
        <f t="shared" ref="U78:U80" si="31">V78</f>
        <v>0</v>
      </c>
      <c r="V78" s="463">
        <f>AD55</f>
        <v>0</v>
      </c>
      <c r="W78" s="463">
        <f>AC55</f>
        <v>0</v>
      </c>
      <c r="X78" s="463">
        <f t="shared" ref="X78:X80" si="32">W78</f>
        <v>0</v>
      </c>
      <c r="Y78" s="463">
        <f>AA55</f>
        <v>0</v>
      </c>
      <c r="Z78" s="463">
        <f t="shared" ref="Z78:Z80" si="33">X78</f>
        <v>0</v>
      </c>
      <c r="AA78" s="463">
        <f t="shared" ref="AA78:AA80" si="34">Z78</f>
        <v>0</v>
      </c>
      <c r="AB78" s="463">
        <f>X55</f>
        <v>0</v>
      </c>
      <c r="AC78" s="463">
        <f>W55</f>
        <v>0</v>
      </c>
      <c r="AD78" s="463">
        <f>AC78+0.89</f>
        <v>0.89</v>
      </c>
      <c r="AE78" s="463">
        <f>AD78</f>
        <v>0.89</v>
      </c>
      <c r="AF78" s="405"/>
      <c r="AG78" s="387">
        <v>9</v>
      </c>
    </row>
    <row r="79" spans="2:33" x14ac:dyDescent="0.2">
      <c r="B79" s="330" t="s">
        <v>68</v>
      </c>
      <c r="C79" s="353">
        <v>518384651</v>
      </c>
      <c r="D79" s="336">
        <f t="shared" si="27"/>
        <v>1.75</v>
      </c>
      <c r="E79" s="340">
        <f>M54</f>
        <v>1.75</v>
      </c>
      <c r="F79" s="340">
        <f>L54</f>
        <v>1</v>
      </c>
      <c r="G79" s="340">
        <f t="shared" si="28"/>
        <v>1</v>
      </c>
      <c r="H79" s="393" t="str">
        <f>J54</f>
        <v>-</v>
      </c>
      <c r="I79" s="340">
        <f t="shared" si="29"/>
        <v>1</v>
      </c>
      <c r="J79" s="340">
        <f t="shared" si="30"/>
        <v>1</v>
      </c>
      <c r="K79" s="340">
        <f>G54</f>
        <v>0.5</v>
      </c>
      <c r="L79" s="340">
        <f>F54</f>
        <v>0.25</v>
      </c>
      <c r="M79" s="393" t="str">
        <f>E54</f>
        <v>-</v>
      </c>
      <c r="N79" s="340" t="str">
        <f>D54</f>
        <v>-</v>
      </c>
      <c r="O79" s="405"/>
      <c r="P79" s="387">
        <v>10</v>
      </c>
      <c r="S79" s="330" t="s">
        <v>68</v>
      </c>
      <c r="T79" s="353">
        <v>518384651</v>
      </c>
      <c r="U79" s="464">
        <f t="shared" si="31"/>
        <v>0</v>
      </c>
      <c r="V79" s="463">
        <f>AD54</f>
        <v>0</v>
      </c>
      <c r="W79" s="463">
        <f>AC54</f>
        <v>0</v>
      </c>
      <c r="X79" s="463">
        <f t="shared" si="32"/>
        <v>0</v>
      </c>
      <c r="Y79" s="463">
        <f>AA54</f>
        <v>0</v>
      </c>
      <c r="Z79" s="463">
        <f t="shared" si="33"/>
        <v>0</v>
      </c>
      <c r="AA79" s="463">
        <f t="shared" si="34"/>
        <v>0</v>
      </c>
      <c r="AB79" s="463">
        <f>X54</f>
        <v>0</v>
      </c>
      <c r="AC79" s="463">
        <f>W54</f>
        <v>0</v>
      </c>
      <c r="AD79" s="463">
        <f>V54</f>
        <v>0</v>
      </c>
      <c r="AE79" s="463">
        <f>U54</f>
        <v>0</v>
      </c>
      <c r="AF79" s="405"/>
      <c r="AG79" s="387">
        <v>10</v>
      </c>
    </row>
    <row r="80" spans="2:33" x14ac:dyDescent="0.2">
      <c r="B80" s="389" t="s">
        <v>123</v>
      </c>
      <c r="C80" s="390">
        <v>518384467</v>
      </c>
      <c r="D80" s="392">
        <f t="shared" si="27"/>
        <v>1.75</v>
      </c>
      <c r="E80" s="394">
        <f>M53</f>
        <v>1.75</v>
      </c>
      <c r="F80" s="394">
        <f>L53</f>
        <v>1</v>
      </c>
      <c r="G80" s="394">
        <f t="shared" si="28"/>
        <v>1</v>
      </c>
      <c r="H80" s="395" t="str">
        <f>J53</f>
        <v>-</v>
      </c>
      <c r="I80" s="394">
        <f t="shared" si="29"/>
        <v>1</v>
      </c>
      <c r="J80" s="394">
        <f t="shared" si="30"/>
        <v>1</v>
      </c>
      <c r="K80" s="394">
        <f>G53</f>
        <v>0.5</v>
      </c>
      <c r="L80" s="394">
        <f>F53</f>
        <v>0.25</v>
      </c>
      <c r="M80" s="394" t="str">
        <f>E53</f>
        <v>-</v>
      </c>
      <c r="N80" s="395" t="str">
        <f>D53</f>
        <v>-</v>
      </c>
      <c r="O80" s="407"/>
      <c r="P80" s="387">
        <v>11</v>
      </c>
      <c r="S80" s="389" t="s">
        <v>123</v>
      </c>
      <c r="T80" s="390">
        <v>518384467</v>
      </c>
      <c r="U80" s="465">
        <f t="shared" si="31"/>
        <v>0</v>
      </c>
      <c r="V80" s="466">
        <f>AD53</f>
        <v>0</v>
      </c>
      <c r="W80" s="466">
        <f>AC53</f>
        <v>0</v>
      </c>
      <c r="X80" s="466">
        <f t="shared" si="32"/>
        <v>0</v>
      </c>
      <c r="Y80" s="466">
        <f>AA53</f>
        <v>0</v>
      </c>
      <c r="Z80" s="466">
        <f t="shared" si="33"/>
        <v>0</v>
      </c>
      <c r="AA80" s="466">
        <f t="shared" si="34"/>
        <v>0</v>
      </c>
      <c r="AB80" s="466">
        <f>X53</f>
        <v>0</v>
      </c>
      <c r="AC80" s="466">
        <f>W53</f>
        <v>0</v>
      </c>
      <c r="AD80" s="466">
        <f>V53</f>
        <v>0</v>
      </c>
      <c r="AE80" s="466">
        <f>U53</f>
        <v>0</v>
      </c>
      <c r="AF80" s="407"/>
      <c r="AG80" s="387">
        <v>11</v>
      </c>
    </row>
    <row r="81" spans="2:33" x14ac:dyDescent="0.2">
      <c r="P81" s="387">
        <v>12</v>
      </c>
      <c r="AG81" s="387">
        <v>12</v>
      </c>
    </row>
    <row r="83" spans="2:33" x14ac:dyDescent="0.2">
      <c r="B83" s="366" t="s">
        <v>133</v>
      </c>
      <c r="D83" s="387">
        <v>1</v>
      </c>
      <c r="E83" s="387">
        <v>2</v>
      </c>
      <c r="F83" s="387">
        <v>3</v>
      </c>
      <c r="G83" s="387">
        <v>4</v>
      </c>
      <c r="H83" s="387">
        <v>5</v>
      </c>
      <c r="I83" s="387">
        <v>6</v>
      </c>
      <c r="J83" s="387">
        <v>7</v>
      </c>
      <c r="K83" s="387">
        <v>8</v>
      </c>
      <c r="L83" s="387">
        <v>9</v>
      </c>
      <c r="M83" s="387">
        <v>10</v>
      </c>
      <c r="N83" s="387">
        <v>11</v>
      </c>
      <c r="O83" s="387">
        <v>12</v>
      </c>
      <c r="P83" s="408" t="s">
        <v>122</v>
      </c>
    </row>
    <row r="84" spans="2:33" x14ac:dyDescent="0.2">
      <c r="B84" s="320" t="s">
        <v>66</v>
      </c>
      <c r="C84" s="321"/>
      <c r="D84" s="322" t="s">
        <v>77</v>
      </c>
      <c r="E84" s="323" t="s">
        <v>76</v>
      </c>
      <c r="F84" s="322" t="s">
        <v>75</v>
      </c>
      <c r="G84" s="322" t="s">
        <v>74</v>
      </c>
      <c r="H84" s="322" t="s">
        <v>73</v>
      </c>
      <c r="I84" s="322" t="s">
        <v>72</v>
      </c>
      <c r="J84" s="322" t="s">
        <v>71</v>
      </c>
      <c r="K84" s="322" t="s">
        <v>70</v>
      </c>
      <c r="L84" s="322" t="s">
        <v>69</v>
      </c>
      <c r="M84" s="322" t="s">
        <v>68</v>
      </c>
      <c r="N84" s="388" t="s">
        <v>123</v>
      </c>
      <c r="O84" s="324"/>
    </row>
    <row r="85" spans="2:33" x14ac:dyDescent="0.2">
      <c r="B85" s="325"/>
      <c r="C85" s="326" t="s">
        <v>79</v>
      </c>
      <c r="D85" s="459">
        <v>518388006</v>
      </c>
      <c r="E85" s="459">
        <v>518387913</v>
      </c>
      <c r="F85" s="460">
        <v>518387444</v>
      </c>
      <c r="G85" s="460">
        <v>520769312</v>
      </c>
      <c r="H85" s="459" t="s">
        <v>80</v>
      </c>
      <c r="I85" s="459" t="s">
        <v>80</v>
      </c>
      <c r="J85" s="459">
        <v>520769308</v>
      </c>
      <c r="K85" s="459">
        <v>518385210</v>
      </c>
      <c r="L85" s="460">
        <v>518384843</v>
      </c>
      <c r="M85" s="460">
        <v>520769091</v>
      </c>
      <c r="N85" s="459" t="s">
        <v>80</v>
      </c>
      <c r="O85" s="461" t="s">
        <v>80</v>
      </c>
    </row>
    <row r="86" spans="2:33" x14ac:dyDescent="0.2">
      <c r="B86" s="330" t="s">
        <v>77</v>
      </c>
      <c r="C86" s="353" t="s">
        <v>80</v>
      </c>
      <c r="D86" s="468">
        <f>IF(U70=0,0,(D70/U70))</f>
        <v>0</v>
      </c>
      <c r="E86" s="469">
        <f t="shared" ref="E86:N86" si="35">IF(V70=0,0,(E70/V70))</f>
        <v>0.29411764705882354</v>
      </c>
      <c r="F86" s="469">
        <f t="shared" si="35"/>
        <v>0.20661157024793389</v>
      </c>
      <c r="G86" s="469">
        <f t="shared" si="35"/>
        <v>0.21598272138228941</v>
      </c>
      <c r="H86" s="469">
        <f t="shared" si="35"/>
        <v>0.20762029394000403</v>
      </c>
      <c r="I86" s="469">
        <f t="shared" si="35"/>
        <v>0</v>
      </c>
      <c r="J86" s="469">
        <f t="shared" si="35"/>
        <v>0</v>
      </c>
      <c r="K86" s="469">
        <f t="shared" si="35"/>
        <v>0.21135265700483094</v>
      </c>
      <c r="L86" s="469">
        <f t="shared" si="35"/>
        <v>0.16859344894026976</v>
      </c>
      <c r="M86" s="469">
        <f t="shared" si="35"/>
        <v>0.15527950310559008</v>
      </c>
      <c r="N86" s="469">
        <f t="shared" si="35"/>
        <v>0.15527950310559008</v>
      </c>
      <c r="O86" s="404"/>
      <c r="P86" s="387">
        <v>1</v>
      </c>
    </row>
    <row r="87" spans="2:33" x14ac:dyDescent="0.2">
      <c r="B87" s="330" t="s">
        <v>76</v>
      </c>
      <c r="C87" s="353" t="s">
        <v>80</v>
      </c>
      <c r="D87" s="470">
        <f t="shared" ref="D87:N87" si="36">IF(U71=0,0,(D71/U71))</f>
        <v>0</v>
      </c>
      <c r="E87" s="469">
        <f t="shared" si="36"/>
        <v>0</v>
      </c>
      <c r="F87" s="469">
        <f t="shared" si="36"/>
        <v>0.38860103626943004</v>
      </c>
      <c r="G87" s="469">
        <f t="shared" si="36"/>
        <v>0.34129692832764508</v>
      </c>
      <c r="H87" s="469">
        <f t="shared" si="36"/>
        <v>0.28931126385187267</v>
      </c>
      <c r="I87" s="469">
        <f t="shared" si="36"/>
        <v>0</v>
      </c>
      <c r="J87" s="469">
        <f t="shared" si="36"/>
        <v>0</v>
      </c>
      <c r="K87" s="469">
        <f t="shared" si="36"/>
        <v>0.26595744680851069</v>
      </c>
      <c r="L87" s="469">
        <f t="shared" si="36"/>
        <v>0.20161290322580647</v>
      </c>
      <c r="M87" s="469">
        <f t="shared" si="36"/>
        <v>0.18286311389759666</v>
      </c>
      <c r="N87" s="469">
        <f t="shared" si="36"/>
        <v>0.18286311389759666</v>
      </c>
      <c r="O87" s="405"/>
      <c r="P87" s="387">
        <v>2</v>
      </c>
    </row>
    <row r="88" spans="2:33" x14ac:dyDescent="0.2">
      <c r="B88" s="330" t="s">
        <v>75</v>
      </c>
      <c r="C88" s="353">
        <v>519800508</v>
      </c>
      <c r="D88" s="470">
        <f t="shared" ref="D88:N88" si="37">IF(U72=0,0,(D72/U72))</f>
        <v>0</v>
      </c>
      <c r="E88" s="469">
        <f t="shared" si="37"/>
        <v>0</v>
      </c>
      <c r="F88" s="469">
        <f t="shared" si="37"/>
        <v>0</v>
      </c>
      <c r="G88" s="469">
        <f t="shared" si="37"/>
        <v>0.25000000000000006</v>
      </c>
      <c r="H88" s="469">
        <f t="shared" si="37"/>
        <v>0.2091519837748764</v>
      </c>
      <c r="I88" s="469">
        <f t="shared" si="37"/>
        <v>0</v>
      </c>
      <c r="J88" s="469">
        <f t="shared" si="37"/>
        <v>0</v>
      </c>
      <c r="K88" s="469">
        <f t="shared" si="37"/>
        <v>0.21505376344086025</v>
      </c>
      <c r="L88" s="469">
        <f t="shared" si="37"/>
        <v>0.14814814814814814</v>
      </c>
      <c r="M88" s="469">
        <f t="shared" si="37"/>
        <v>0.13089005235602094</v>
      </c>
      <c r="N88" s="469">
        <f t="shared" si="37"/>
        <v>0.13089005235602094</v>
      </c>
      <c r="O88" s="405"/>
      <c r="P88" s="387">
        <v>3</v>
      </c>
    </row>
    <row r="89" spans="2:33" x14ac:dyDescent="0.2">
      <c r="B89" s="330" t="s">
        <v>74</v>
      </c>
      <c r="C89" s="353">
        <v>518386962</v>
      </c>
      <c r="D89" s="470">
        <f t="shared" ref="D89:N89" si="38">IF(U73=0,0,(D73/U73))</f>
        <v>0</v>
      </c>
      <c r="E89" s="469">
        <f t="shared" si="38"/>
        <v>0</v>
      </c>
      <c r="F89" s="469">
        <f t="shared" si="38"/>
        <v>0</v>
      </c>
      <c r="G89" s="469">
        <f t="shared" si="38"/>
        <v>0</v>
      </c>
      <c r="H89" s="469">
        <f t="shared" si="38"/>
        <v>0.35955545870560029</v>
      </c>
      <c r="I89" s="469">
        <f t="shared" si="38"/>
        <v>0</v>
      </c>
      <c r="J89" s="469">
        <f t="shared" si="38"/>
        <v>0</v>
      </c>
      <c r="K89" s="469">
        <f t="shared" si="38"/>
        <v>0.27397260273972607</v>
      </c>
      <c r="L89" s="469">
        <f t="shared" si="38"/>
        <v>0.17391304347826086</v>
      </c>
      <c r="M89" s="469">
        <f t="shared" si="38"/>
        <v>0.1506024096385542</v>
      </c>
      <c r="N89" s="469">
        <f t="shared" si="38"/>
        <v>0.1506024096385542</v>
      </c>
      <c r="O89" s="405"/>
      <c r="P89" s="387">
        <v>4</v>
      </c>
    </row>
    <row r="90" spans="2:33" x14ac:dyDescent="0.2">
      <c r="B90" s="330" t="s">
        <v>73</v>
      </c>
      <c r="C90" s="359">
        <v>519798453</v>
      </c>
      <c r="D90" s="470">
        <f t="shared" ref="D90:N90" si="39">IF(U74=0,0,(D74/U74))</f>
        <v>0</v>
      </c>
      <c r="E90" s="469">
        <f t="shared" si="39"/>
        <v>0</v>
      </c>
      <c r="F90" s="469">
        <f t="shared" si="39"/>
        <v>0</v>
      </c>
      <c r="G90" s="469">
        <f t="shared" si="39"/>
        <v>0</v>
      </c>
      <c r="H90" s="469">
        <f t="shared" si="39"/>
        <v>0</v>
      </c>
      <c r="I90" s="469">
        <f t="shared" si="39"/>
        <v>0</v>
      </c>
      <c r="J90" s="469">
        <f t="shared" si="39"/>
        <v>0</v>
      </c>
      <c r="K90" s="469">
        <f t="shared" si="39"/>
        <v>0</v>
      </c>
      <c r="L90" s="469">
        <f t="shared" si="39"/>
        <v>0</v>
      </c>
      <c r="M90" s="469">
        <f t="shared" si="39"/>
        <v>0</v>
      </c>
      <c r="N90" s="469">
        <f t="shared" si="39"/>
        <v>0</v>
      </c>
      <c r="O90" s="406"/>
      <c r="P90" s="387">
        <v>5</v>
      </c>
    </row>
    <row r="91" spans="2:33" x14ac:dyDescent="0.2">
      <c r="B91" s="330" t="s">
        <v>72</v>
      </c>
      <c r="C91" s="353">
        <v>518385875</v>
      </c>
      <c r="D91" s="470">
        <f t="shared" ref="D91:N91" si="40">IF(U75=0,0,(D75/U75))</f>
        <v>0</v>
      </c>
      <c r="E91" s="469">
        <f t="shared" si="40"/>
        <v>0</v>
      </c>
      <c r="F91" s="469">
        <f t="shared" si="40"/>
        <v>0</v>
      </c>
      <c r="G91" s="469">
        <f t="shared" si="40"/>
        <v>0</v>
      </c>
      <c r="H91" s="469">
        <f t="shared" si="40"/>
        <v>0</v>
      </c>
      <c r="I91" s="469">
        <f t="shared" si="40"/>
        <v>0</v>
      </c>
      <c r="J91" s="469">
        <f t="shared" si="40"/>
        <v>0</v>
      </c>
      <c r="K91" s="469">
        <f t="shared" si="40"/>
        <v>0.51282051282051289</v>
      </c>
      <c r="L91" s="469">
        <f t="shared" si="40"/>
        <v>0.24691358024691359</v>
      </c>
      <c r="M91" s="469">
        <f t="shared" si="40"/>
        <v>0.20242914979757087</v>
      </c>
      <c r="N91" s="469">
        <f t="shared" si="40"/>
        <v>0.20242914979757087</v>
      </c>
      <c r="O91" s="406"/>
      <c r="P91" s="387">
        <v>6</v>
      </c>
    </row>
    <row r="92" spans="2:33" x14ac:dyDescent="0.2">
      <c r="B92" s="330" t="s">
        <v>71</v>
      </c>
      <c r="C92" s="353" t="s">
        <v>80</v>
      </c>
      <c r="D92" s="470">
        <f t="shared" ref="D92:N92" si="41">IF(U76=0,0,(D76/U76))</f>
        <v>0</v>
      </c>
      <c r="E92" s="469">
        <f t="shared" si="41"/>
        <v>0</v>
      </c>
      <c r="F92" s="469">
        <f t="shared" si="41"/>
        <v>0</v>
      </c>
      <c r="G92" s="469">
        <f t="shared" si="41"/>
        <v>0</v>
      </c>
      <c r="H92" s="469">
        <f t="shared" si="41"/>
        <v>0</v>
      </c>
      <c r="I92" s="469">
        <f t="shared" si="41"/>
        <v>0</v>
      </c>
      <c r="J92" s="469">
        <f t="shared" si="41"/>
        <v>0</v>
      </c>
      <c r="K92" s="469">
        <f t="shared" si="41"/>
        <v>2.2222222222222223</v>
      </c>
      <c r="L92" s="469">
        <f t="shared" si="41"/>
        <v>0.39215686274509798</v>
      </c>
      <c r="M92" s="469">
        <f t="shared" si="41"/>
        <v>0.29069767441860461</v>
      </c>
      <c r="N92" s="469">
        <f t="shared" si="41"/>
        <v>0.29069767441860461</v>
      </c>
      <c r="O92" s="405"/>
      <c r="P92" s="387">
        <v>7</v>
      </c>
    </row>
    <row r="93" spans="2:33" x14ac:dyDescent="0.2">
      <c r="B93" s="330" t="s">
        <v>70</v>
      </c>
      <c r="C93" s="359">
        <v>520761662</v>
      </c>
      <c r="D93" s="470">
        <f t="shared" ref="D93:N93" si="42">IF(U77=0,0,(D77/U77))</f>
        <v>0</v>
      </c>
      <c r="E93" s="469">
        <f t="shared" si="42"/>
        <v>0</v>
      </c>
      <c r="F93" s="469">
        <f t="shared" si="42"/>
        <v>0</v>
      </c>
      <c r="G93" s="469">
        <f t="shared" si="42"/>
        <v>0</v>
      </c>
      <c r="H93" s="469">
        <f t="shared" si="42"/>
        <v>0</v>
      </c>
      <c r="I93" s="469">
        <f t="shared" si="42"/>
        <v>0</v>
      </c>
      <c r="J93" s="469">
        <f t="shared" si="42"/>
        <v>0</v>
      </c>
      <c r="K93" s="469">
        <f t="shared" si="42"/>
        <v>0</v>
      </c>
      <c r="L93" s="469">
        <f t="shared" si="42"/>
        <v>0.23809523809523808</v>
      </c>
      <c r="M93" s="469">
        <f t="shared" si="42"/>
        <v>0.16722408026755853</v>
      </c>
      <c r="N93" s="469">
        <f t="shared" si="42"/>
        <v>0.16722408026755853</v>
      </c>
      <c r="O93" s="405"/>
      <c r="P93" s="387">
        <v>8</v>
      </c>
    </row>
    <row r="94" spans="2:33" x14ac:dyDescent="0.2">
      <c r="B94" s="330" t="s">
        <v>69</v>
      </c>
      <c r="C94" s="353">
        <v>518384990</v>
      </c>
      <c r="D94" s="470">
        <f t="shared" ref="D94:N94" si="43">IF(U78=0,0,(D78/U78))</f>
        <v>0</v>
      </c>
      <c r="E94" s="469">
        <f t="shared" si="43"/>
        <v>0</v>
      </c>
      <c r="F94" s="469">
        <f t="shared" si="43"/>
        <v>0</v>
      </c>
      <c r="G94" s="469">
        <f t="shared" si="43"/>
        <v>0</v>
      </c>
      <c r="H94" s="469">
        <f t="shared" si="43"/>
        <v>0</v>
      </c>
      <c r="I94" s="469">
        <f t="shared" si="43"/>
        <v>0</v>
      </c>
      <c r="J94" s="469">
        <f t="shared" si="43"/>
        <v>0</v>
      </c>
      <c r="K94" s="469">
        <f t="shared" si="43"/>
        <v>0</v>
      </c>
      <c r="L94" s="469">
        <f t="shared" si="43"/>
        <v>0</v>
      </c>
      <c r="M94" s="469">
        <f t="shared" si="43"/>
        <v>0.2808988764044944</v>
      </c>
      <c r="N94" s="469">
        <f t="shared" si="43"/>
        <v>0.2808988764044944</v>
      </c>
      <c r="O94" s="405"/>
      <c r="P94" s="387">
        <v>9</v>
      </c>
    </row>
    <row r="95" spans="2:33" x14ac:dyDescent="0.2">
      <c r="B95" s="330" t="s">
        <v>68</v>
      </c>
      <c r="C95" s="353">
        <v>518384651</v>
      </c>
      <c r="D95" s="470">
        <f t="shared" ref="D95:N95" si="44">IF(U79=0,0,(D79/U79))</f>
        <v>0</v>
      </c>
      <c r="E95" s="469">
        <f t="shared" si="44"/>
        <v>0</v>
      </c>
      <c r="F95" s="469">
        <f t="shared" si="44"/>
        <v>0</v>
      </c>
      <c r="G95" s="469">
        <f t="shared" si="44"/>
        <v>0</v>
      </c>
      <c r="H95" s="469">
        <f t="shared" si="44"/>
        <v>0</v>
      </c>
      <c r="I95" s="469">
        <f t="shared" si="44"/>
        <v>0</v>
      </c>
      <c r="J95" s="469">
        <f t="shared" si="44"/>
        <v>0</v>
      </c>
      <c r="K95" s="469">
        <f t="shared" si="44"/>
        <v>0</v>
      </c>
      <c r="L95" s="469">
        <f t="shared" si="44"/>
        <v>0</v>
      </c>
      <c r="M95" s="469">
        <f t="shared" si="44"/>
        <v>0</v>
      </c>
      <c r="N95" s="469">
        <f t="shared" si="44"/>
        <v>0</v>
      </c>
      <c r="O95" s="405"/>
      <c r="P95" s="387">
        <v>10</v>
      </c>
    </row>
    <row r="96" spans="2:33" x14ac:dyDescent="0.2">
      <c r="B96" s="389" t="s">
        <v>123</v>
      </c>
      <c r="C96" s="390">
        <v>518384467</v>
      </c>
      <c r="D96" s="471">
        <f t="shared" ref="D96:N96" si="45">IF(U80=0,0,(D80/U80))</f>
        <v>0</v>
      </c>
      <c r="E96" s="472">
        <f t="shared" si="45"/>
        <v>0</v>
      </c>
      <c r="F96" s="472">
        <f t="shared" si="45"/>
        <v>0</v>
      </c>
      <c r="G96" s="472">
        <f t="shared" si="45"/>
        <v>0</v>
      </c>
      <c r="H96" s="472">
        <f t="shared" si="45"/>
        <v>0</v>
      </c>
      <c r="I96" s="472">
        <f t="shared" si="45"/>
        <v>0</v>
      </c>
      <c r="J96" s="472">
        <f t="shared" si="45"/>
        <v>0</v>
      </c>
      <c r="K96" s="472">
        <f t="shared" si="45"/>
        <v>0</v>
      </c>
      <c r="L96" s="472">
        <f t="shared" si="45"/>
        <v>0</v>
      </c>
      <c r="M96" s="472">
        <f t="shared" si="45"/>
        <v>0</v>
      </c>
      <c r="N96" s="472">
        <f t="shared" si="45"/>
        <v>0</v>
      </c>
      <c r="O96" s="407"/>
      <c r="P96" s="387">
        <v>11</v>
      </c>
    </row>
    <row r="97" spans="16:16" x14ac:dyDescent="0.2">
      <c r="P97" s="387">
        <v>12</v>
      </c>
    </row>
  </sheetData>
  <mergeCells count="4">
    <mergeCell ref="A7:A18"/>
    <mergeCell ref="A27:A38"/>
    <mergeCell ref="Q7:Q18"/>
    <mergeCell ref="Q27:Q38"/>
  </mergeCells>
  <conditionalFormatting sqref="D86:N96">
    <cfRule type="cellIs" dxfId="0" priority="1" operator="greaterThan">
      <formula>0</formula>
    </cfRule>
  </conditionalFormatting>
  <pageMargins left="0.28000000000000003" right="0.27" top="0.5" bottom="0.5" header="0.5" footer="0.5"/>
  <pageSetup paperSize="17" scale="59" orientation="landscape" r:id="rId1"/>
  <headerFooter alignWithMargins="0">
    <oddHeader>&amp;C&amp;A</oddHeader>
    <oddFooter>&amp;L&amp;D, &amp;T&amp;R&amp;Z&amp;F</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10"/>
  <sheetViews>
    <sheetView workbookViewId="0">
      <selection activeCell="C7" sqref="C7"/>
    </sheetView>
  </sheetViews>
  <sheetFormatPr defaultRowHeight="15" x14ac:dyDescent="0.2"/>
  <sheetData>
    <row r="2" spans="1:6" ht="60" x14ac:dyDescent="0.25">
      <c r="A2" s="3"/>
      <c r="B2" s="372" t="s">
        <v>92</v>
      </c>
      <c r="F2" s="372" t="s">
        <v>93</v>
      </c>
    </row>
    <row r="3" spans="1:6" ht="15.75" x14ac:dyDescent="0.25">
      <c r="A3" s="368" t="s">
        <v>94</v>
      </c>
      <c r="B3" s="369" t="s">
        <v>95</v>
      </c>
      <c r="C3" s="369" t="s">
        <v>96</v>
      </c>
      <c r="D3" s="370" t="s">
        <v>97</v>
      </c>
      <c r="E3" s="370" t="s">
        <v>98</v>
      </c>
      <c r="F3" s="373"/>
    </row>
    <row r="4" spans="1:6" ht="16.5" x14ac:dyDescent="0.3">
      <c r="A4" s="368" t="s">
        <v>99</v>
      </c>
      <c r="B4" s="371" t="s">
        <v>100</v>
      </c>
      <c r="C4" s="371" t="s">
        <v>101</v>
      </c>
      <c r="D4" s="371" t="s">
        <v>102</v>
      </c>
      <c r="E4" s="371" t="s">
        <v>103</v>
      </c>
      <c r="F4" s="373"/>
    </row>
    <row r="5" spans="1:6" x14ac:dyDescent="0.2">
      <c r="B5" s="374">
        <v>0.15</v>
      </c>
      <c r="C5" s="375">
        <v>0.15</v>
      </c>
      <c r="D5" s="375">
        <v>0.15</v>
      </c>
      <c r="E5" s="376">
        <v>0.15</v>
      </c>
      <c r="F5" t="s">
        <v>104</v>
      </c>
    </row>
    <row r="6" spans="1:6" x14ac:dyDescent="0.2">
      <c r="B6" s="377">
        <v>0.19</v>
      </c>
      <c r="C6" s="378">
        <v>0.19</v>
      </c>
      <c r="D6" s="378">
        <v>0.19</v>
      </c>
      <c r="E6" s="379">
        <v>0.19</v>
      </c>
      <c r="F6" t="s">
        <v>105</v>
      </c>
    </row>
    <row r="7" spans="1:6" x14ac:dyDescent="0.2">
      <c r="B7" s="377">
        <v>0.19</v>
      </c>
      <c r="C7" s="378">
        <v>0.19</v>
      </c>
      <c r="D7" s="378">
        <v>0.19</v>
      </c>
      <c r="E7" s="379">
        <v>0.19</v>
      </c>
      <c r="F7" t="s">
        <v>106</v>
      </c>
    </row>
    <row r="8" spans="1:6" x14ac:dyDescent="0.2">
      <c r="B8" s="377">
        <v>0</v>
      </c>
      <c r="C8" s="378">
        <v>0</v>
      </c>
      <c r="D8" s="378">
        <v>0</v>
      </c>
      <c r="E8" s="379">
        <v>0</v>
      </c>
      <c r="F8" t="s">
        <v>107</v>
      </c>
    </row>
    <row r="9" spans="1:6" x14ac:dyDescent="0.2">
      <c r="B9" s="377">
        <v>0.3</v>
      </c>
      <c r="C9" s="378">
        <v>0.3</v>
      </c>
      <c r="D9" s="378">
        <v>0.3</v>
      </c>
      <c r="E9" s="379">
        <v>0.3</v>
      </c>
      <c r="F9" t="s">
        <v>108</v>
      </c>
    </row>
    <row r="10" spans="1:6" x14ac:dyDescent="0.2">
      <c r="B10" s="380">
        <v>0.15</v>
      </c>
      <c r="C10" s="381">
        <v>0.15</v>
      </c>
      <c r="D10" s="381">
        <v>0.15</v>
      </c>
      <c r="E10" s="382">
        <v>0.15</v>
      </c>
      <c r="F10" t="s">
        <v>109</v>
      </c>
    </row>
  </sheetData>
  <dataValidations count="4">
    <dataValidation type="list" allowBlank="1" showInputMessage="1" showErrorMessage="1" errorTitle="Use pulldown box" error="Entry must be &quot;PM&quot;_x000a_" sqref="C4">
      <formula1>"PM"</formula1>
    </dataValidation>
    <dataValidation type="list" allowBlank="1" showInputMessage="1" showErrorMessage="1" errorTitle="Use pulldown box" error="Entry must be &quot;AM&quot;_x000a_" sqref="B4">
      <formula1>"AM"</formula1>
    </dataValidation>
    <dataValidation type="list" allowBlank="1" showInputMessage="1" showErrorMessage="1" errorTitle="Use pulldown box" error="Entry must be &quot;MD&quot;,&quot;OP&quot;" sqref="E4">
      <formula1>"Night,Null"</formula1>
    </dataValidation>
    <dataValidation type="list" allowBlank="1" showInputMessage="1" showErrorMessage="1" errorTitle="Use pulldown box" error="Entry must be &quot;MD&quot;,&quot;OP&quot;" sqref="D4">
      <formula1>"MD,OP"</formula1>
    </dataValidation>
  </dataValidation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O47"/>
  <sheetViews>
    <sheetView tabSelected="1" topLeftCell="A16" workbookViewId="0">
      <selection activeCell="F50" sqref="F50"/>
    </sheetView>
  </sheetViews>
  <sheetFormatPr defaultRowHeight="12.75" x14ac:dyDescent="0.2"/>
  <cols>
    <col min="1" max="1" width="11" style="317" customWidth="1"/>
    <col min="2" max="2" width="12.5546875" style="317" customWidth="1"/>
    <col min="3" max="3" width="9.44140625" style="317" customWidth="1"/>
    <col min="4" max="4" width="7.77734375" style="317" bestFit="1" customWidth="1"/>
    <col min="5" max="5" width="8.109375" style="317" customWidth="1"/>
    <col min="6" max="6" width="7.77734375" style="317" bestFit="1" customWidth="1"/>
    <col min="7" max="15" width="7.77734375" style="317" customWidth="1"/>
    <col min="16" max="16384" width="8.88671875" style="317"/>
  </cols>
  <sheetData>
    <row r="1" spans="1:15" x14ac:dyDescent="0.2">
      <c r="A1" s="317" t="s">
        <v>62</v>
      </c>
    </row>
    <row r="2" spans="1:15" x14ac:dyDescent="0.2">
      <c r="A2" s="317" t="s">
        <v>63</v>
      </c>
      <c r="B2" s="318">
        <v>13</v>
      </c>
    </row>
    <row r="3" spans="1:15" x14ac:dyDescent="0.2">
      <c r="A3" s="317" t="s">
        <v>64</v>
      </c>
      <c r="B3" s="318" t="s">
        <v>53</v>
      </c>
    </row>
    <row r="4" spans="1:15" x14ac:dyDescent="0.2">
      <c r="D4" s="319" t="s">
        <v>65</v>
      </c>
      <c r="E4" s="319"/>
      <c r="F4" s="319"/>
      <c r="G4" s="319"/>
      <c r="H4" s="319"/>
      <c r="I4" s="319"/>
      <c r="J4" s="319"/>
      <c r="K4" s="319"/>
      <c r="L4" s="319"/>
      <c r="M4" s="319"/>
      <c r="N4" s="319"/>
      <c r="O4" s="319"/>
    </row>
    <row r="5" spans="1:15" x14ac:dyDescent="0.2">
      <c r="B5" s="320" t="s">
        <v>66</v>
      </c>
      <c r="C5" s="321"/>
      <c r="D5" s="322" t="s">
        <v>67</v>
      </c>
      <c r="E5" s="323" t="s">
        <v>68</v>
      </c>
      <c r="F5" s="322" t="s">
        <v>69</v>
      </c>
      <c r="G5" s="322" t="s">
        <v>70</v>
      </c>
      <c r="H5" s="322" t="s">
        <v>71</v>
      </c>
      <c r="I5" s="322" t="s">
        <v>72</v>
      </c>
      <c r="J5" s="322" t="s">
        <v>73</v>
      </c>
      <c r="K5" s="322" t="s">
        <v>74</v>
      </c>
      <c r="L5" s="322" t="s">
        <v>75</v>
      </c>
      <c r="M5" s="322" t="s">
        <v>76</v>
      </c>
      <c r="N5" s="322" t="s">
        <v>77</v>
      </c>
      <c r="O5" s="324" t="s">
        <v>78</v>
      </c>
    </row>
    <row r="6" spans="1:15" x14ac:dyDescent="0.2">
      <c r="B6" s="325"/>
      <c r="C6" s="326" t="s">
        <v>79</v>
      </c>
      <c r="D6" s="327" t="s">
        <v>80</v>
      </c>
      <c r="E6" s="327" t="s">
        <v>80</v>
      </c>
      <c r="F6" s="327">
        <v>519800507</v>
      </c>
      <c r="G6" s="327">
        <v>518386958</v>
      </c>
      <c r="H6" s="328">
        <v>519801046</v>
      </c>
      <c r="I6" s="327">
        <v>518385776</v>
      </c>
      <c r="J6" s="327" t="s">
        <v>80</v>
      </c>
      <c r="K6" s="328">
        <v>520761664</v>
      </c>
      <c r="L6" s="327">
        <v>518384960</v>
      </c>
      <c r="M6" s="327">
        <v>518384655</v>
      </c>
      <c r="N6" s="328">
        <v>518384471</v>
      </c>
      <c r="O6" s="329">
        <v>518384241</v>
      </c>
    </row>
    <row r="7" spans="1:15" x14ac:dyDescent="0.2">
      <c r="A7" s="714" t="s">
        <v>81</v>
      </c>
      <c r="B7" s="330" t="s">
        <v>67</v>
      </c>
      <c r="C7" s="331">
        <v>518388007</v>
      </c>
      <c r="D7" s="332" t="s">
        <v>80</v>
      </c>
      <c r="E7" s="333" t="s">
        <v>80</v>
      </c>
      <c r="F7" s="334">
        <f>0.25/($A$44)</f>
        <v>0.23420023217524327</v>
      </c>
      <c r="G7" s="334">
        <f>0.5/($A$44)</f>
        <v>0.46840046435048655</v>
      </c>
      <c r="H7" s="334">
        <f>0.81/($A$44)</f>
        <v>0.75880875224778832</v>
      </c>
      <c r="I7" s="334">
        <f>1/($A$44)</f>
        <v>0.93680092870097309</v>
      </c>
      <c r="J7" s="333" t="s">
        <v>80</v>
      </c>
      <c r="K7" s="334">
        <f>1/($A$44)</f>
        <v>0.93680092870097309</v>
      </c>
      <c r="L7" s="334">
        <f>1/($A$44)</f>
        <v>0.93680092870097309</v>
      </c>
      <c r="M7" s="334">
        <f>1.75/($A$44)</f>
        <v>1.639401625226703</v>
      </c>
      <c r="N7" s="334">
        <f>1.75/($A$44)</f>
        <v>1.639401625226703</v>
      </c>
      <c r="O7" s="335">
        <f>1.75/($A$44)</f>
        <v>1.639401625226703</v>
      </c>
    </row>
    <row r="8" spans="1:15" x14ac:dyDescent="0.2">
      <c r="A8" s="714"/>
      <c r="B8" s="330" t="s">
        <v>68</v>
      </c>
      <c r="C8" s="331">
        <v>518387923</v>
      </c>
      <c r="D8" s="336" t="s">
        <v>80</v>
      </c>
      <c r="E8" s="337" t="s">
        <v>80</v>
      </c>
      <c r="F8" s="338">
        <f>0.25/($A$44)</f>
        <v>0.23420023217524327</v>
      </c>
      <c r="G8" s="338">
        <f>0.5/($A$44)</f>
        <v>0.46840046435048655</v>
      </c>
      <c r="H8" s="338">
        <f>0.81/($A$44)</f>
        <v>0.75880875224778832</v>
      </c>
      <c r="I8" s="338">
        <f>1/($A$44)</f>
        <v>0.93680092870097309</v>
      </c>
      <c r="J8" s="337" t="s">
        <v>80</v>
      </c>
      <c r="K8" s="338">
        <f>1/($A$44)</f>
        <v>0.93680092870097309</v>
      </c>
      <c r="L8" s="338">
        <f>1/($A$44)</f>
        <v>0.93680092870097309</v>
      </c>
      <c r="M8" s="338">
        <f>1.75/($A$44)</f>
        <v>1.639401625226703</v>
      </c>
      <c r="N8" s="338">
        <f>1.75/($A$44)</f>
        <v>1.639401625226703</v>
      </c>
      <c r="O8" s="339">
        <f>1.75/($A$44)</f>
        <v>1.639401625226703</v>
      </c>
    </row>
    <row r="9" spans="1:15" x14ac:dyDescent="0.2">
      <c r="A9" s="714"/>
      <c r="B9" s="330" t="s">
        <v>69</v>
      </c>
      <c r="C9" s="331">
        <v>520769099</v>
      </c>
      <c r="D9" s="336" t="s">
        <v>80</v>
      </c>
      <c r="E9" s="340" t="s">
        <v>80</v>
      </c>
      <c r="F9" s="337" t="s">
        <v>80</v>
      </c>
      <c r="G9" s="338">
        <f>0.5/($A$44)</f>
        <v>0.46840046435048655</v>
      </c>
      <c r="H9" s="338">
        <f>0.81/($A$44)</f>
        <v>0.75880875224778832</v>
      </c>
      <c r="I9" s="338">
        <f>1/($A$44)</f>
        <v>0.93680092870097309</v>
      </c>
      <c r="J9" s="337" t="s">
        <v>80</v>
      </c>
      <c r="K9" s="338">
        <f>1/($A$44)</f>
        <v>0.93680092870097309</v>
      </c>
      <c r="L9" s="338">
        <f>1/($A$44)</f>
        <v>0.93680092870097309</v>
      </c>
      <c r="M9" s="338">
        <f>1.75/($A$44)</f>
        <v>1.639401625226703</v>
      </c>
      <c r="N9" s="338">
        <f>1.75/($A$44)</f>
        <v>1.639401625226703</v>
      </c>
      <c r="O9" s="339">
        <f>1.75/($A$44)</f>
        <v>1.639401625226703</v>
      </c>
    </row>
    <row r="10" spans="1:15" x14ac:dyDescent="0.2">
      <c r="A10" s="714"/>
      <c r="B10" s="330" t="s">
        <v>70</v>
      </c>
      <c r="C10" s="331">
        <v>519793296</v>
      </c>
      <c r="D10" s="336" t="s">
        <v>80</v>
      </c>
      <c r="E10" s="340" t="s">
        <v>80</v>
      </c>
      <c r="F10" s="340" t="s">
        <v>80</v>
      </c>
      <c r="G10" s="337" t="s">
        <v>80</v>
      </c>
      <c r="H10" s="338">
        <f>0.81/($A$44)</f>
        <v>0.75880875224778832</v>
      </c>
      <c r="I10" s="338">
        <f>1/($A$44)</f>
        <v>0.93680092870097309</v>
      </c>
      <c r="J10" s="337" t="s">
        <v>80</v>
      </c>
      <c r="K10" s="338">
        <f>1/($A$44)</f>
        <v>0.93680092870097309</v>
      </c>
      <c r="L10" s="338">
        <f>1/($A$44)</f>
        <v>0.93680092870097309</v>
      </c>
      <c r="M10" s="338">
        <f>1.75/($A$44)</f>
        <v>1.639401625226703</v>
      </c>
      <c r="N10" s="338">
        <f>1.75/($A$44)</f>
        <v>1.639401625226703</v>
      </c>
      <c r="O10" s="339">
        <f>1.75/($A$44)</f>
        <v>1.639401625226703</v>
      </c>
    </row>
    <row r="11" spans="1:15" x14ac:dyDescent="0.2">
      <c r="A11" s="714"/>
      <c r="B11" s="330" t="s">
        <v>71</v>
      </c>
      <c r="C11" s="341" t="s">
        <v>80</v>
      </c>
      <c r="D11" s="336" t="s">
        <v>80</v>
      </c>
      <c r="E11" s="340" t="s">
        <v>80</v>
      </c>
      <c r="F11" s="340" t="s">
        <v>80</v>
      </c>
      <c r="G11" s="340" t="s">
        <v>80</v>
      </c>
      <c r="H11" s="337" t="s">
        <v>80</v>
      </c>
      <c r="I11" s="337" t="s">
        <v>80</v>
      </c>
      <c r="J11" s="337" t="s">
        <v>80</v>
      </c>
      <c r="K11" s="337" t="s">
        <v>80</v>
      </c>
      <c r="L11" s="337" t="s">
        <v>80</v>
      </c>
      <c r="M11" s="337" t="s">
        <v>80</v>
      </c>
      <c r="N11" s="337" t="s">
        <v>80</v>
      </c>
      <c r="O11" s="342" t="s">
        <v>80</v>
      </c>
    </row>
    <row r="12" spans="1:15" x14ac:dyDescent="0.2">
      <c r="A12" s="714"/>
      <c r="B12" s="330" t="s">
        <v>72</v>
      </c>
      <c r="C12" s="341" t="s">
        <v>80</v>
      </c>
      <c r="D12" s="336" t="s">
        <v>80</v>
      </c>
      <c r="E12" s="340" t="s">
        <v>80</v>
      </c>
      <c r="F12" s="340" t="s">
        <v>80</v>
      </c>
      <c r="G12" s="340" t="s">
        <v>80</v>
      </c>
      <c r="H12" s="337" t="s">
        <v>80</v>
      </c>
      <c r="I12" s="337" t="s">
        <v>80</v>
      </c>
      <c r="J12" s="337" t="s">
        <v>80</v>
      </c>
      <c r="K12" s="337" t="s">
        <v>80</v>
      </c>
      <c r="L12" s="337" t="s">
        <v>80</v>
      </c>
      <c r="M12" s="337" t="s">
        <v>80</v>
      </c>
      <c r="N12" s="337" t="s">
        <v>80</v>
      </c>
      <c r="O12" s="342" t="s">
        <v>80</v>
      </c>
    </row>
    <row r="13" spans="1:15" x14ac:dyDescent="0.2">
      <c r="A13" s="714"/>
      <c r="B13" s="330" t="s">
        <v>73</v>
      </c>
      <c r="C13" s="341">
        <v>518385734</v>
      </c>
      <c r="D13" s="343" t="s">
        <v>80</v>
      </c>
      <c r="E13" s="337" t="s">
        <v>80</v>
      </c>
      <c r="F13" s="337" t="s">
        <v>80</v>
      </c>
      <c r="G13" s="337" t="s">
        <v>80</v>
      </c>
      <c r="H13" s="337" t="s">
        <v>80</v>
      </c>
      <c r="I13" s="337" t="s">
        <v>80</v>
      </c>
      <c r="J13" s="337" t="s">
        <v>80</v>
      </c>
      <c r="K13" s="338">
        <f>0.5/($A$44)</f>
        <v>0.46840046435048655</v>
      </c>
      <c r="L13" s="338">
        <f>0.5/($A$44)</f>
        <v>0.46840046435048655</v>
      </c>
      <c r="M13" s="338">
        <f>1.25/($A$44)</f>
        <v>1.1710011608762165</v>
      </c>
      <c r="N13" s="338">
        <f>1.25/($A$44)</f>
        <v>1.1710011608762165</v>
      </c>
      <c r="O13" s="339">
        <f>1.25/($A$44)</f>
        <v>1.1710011608762165</v>
      </c>
    </row>
    <row r="14" spans="1:15" x14ac:dyDescent="0.2">
      <c r="A14" s="714"/>
      <c r="B14" s="330" t="s">
        <v>74</v>
      </c>
      <c r="C14" s="341">
        <v>518385215</v>
      </c>
      <c r="D14" s="336" t="s">
        <v>80</v>
      </c>
      <c r="E14" s="340" t="s">
        <v>80</v>
      </c>
      <c r="F14" s="340" t="s">
        <v>80</v>
      </c>
      <c r="G14" s="340" t="s">
        <v>80</v>
      </c>
      <c r="H14" s="337" t="s">
        <v>80</v>
      </c>
      <c r="I14" s="337" t="s">
        <v>80</v>
      </c>
      <c r="J14" s="340" t="s">
        <v>80</v>
      </c>
      <c r="K14" s="337" t="s">
        <v>80</v>
      </c>
      <c r="L14" s="338">
        <f>0.25/($A$44)</f>
        <v>0.23420023217524327</v>
      </c>
      <c r="M14" s="338">
        <f>1/($A$44)</f>
        <v>0.93680092870097309</v>
      </c>
      <c r="N14" s="338">
        <f>1/($A$44)</f>
        <v>0.93680092870097309</v>
      </c>
      <c r="O14" s="339">
        <f>1/($A$44)</f>
        <v>0.93680092870097309</v>
      </c>
    </row>
    <row r="15" spans="1:15" x14ac:dyDescent="0.2">
      <c r="A15" s="714"/>
      <c r="B15" s="330" t="s">
        <v>75</v>
      </c>
      <c r="C15" s="331">
        <v>518384850</v>
      </c>
      <c r="D15" s="336" t="s">
        <v>80</v>
      </c>
      <c r="E15" s="340" t="s">
        <v>80</v>
      </c>
      <c r="F15" s="340" t="s">
        <v>80</v>
      </c>
      <c r="G15" s="340" t="s">
        <v>80</v>
      </c>
      <c r="H15" s="337" t="s">
        <v>80</v>
      </c>
      <c r="I15" s="337" t="s">
        <v>80</v>
      </c>
      <c r="J15" s="340" t="s">
        <v>80</v>
      </c>
      <c r="K15" s="340" t="s">
        <v>80</v>
      </c>
      <c r="L15" s="337" t="s">
        <v>80</v>
      </c>
      <c r="M15" s="338">
        <f>0.75/($A$44)</f>
        <v>0.70260069652572987</v>
      </c>
      <c r="N15" s="338">
        <f>0.75/($A$44)</f>
        <v>0.70260069652572987</v>
      </c>
      <c r="O15" s="339">
        <f>0.75/($A$44)</f>
        <v>0.70260069652572987</v>
      </c>
    </row>
    <row r="16" spans="1:15" x14ac:dyDescent="0.2">
      <c r="A16" s="714"/>
      <c r="B16" s="330" t="s">
        <v>76</v>
      </c>
      <c r="C16" s="331">
        <v>520769078</v>
      </c>
      <c r="D16" s="336" t="s">
        <v>80</v>
      </c>
      <c r="E16" s="340" t="s">
        <v>80</v>
      </c>
      <c r="F16" s="340" t="s">
        <v>80</v>
      </c>
      <c r="G16" s="340" t="s">
        <v>80</v>
      </c>
      <c r="H16" s="337" t="s">
        <v>80</v>
      </c>
      <c r="I16" s="337" t="s">
        <v>80</v>
      </c>
      <c r="J16" s="340" t="s">
        <v>80</v>
      </c>
      <c r="K16" s="340" t="s">
        <v>80</v>
      </c>
      <c r="L16" s="340" t="s">
        <v>80</v>
      </c>
      <c r="M16" s="337" t="s">
        <v>80</v>
      </c>
      <c r="N16" s="338">
        <f>0.5/($A$44)</f>
        <v>0.46840046435048655</v>
      </c>
      <c r="O16" s="339">
        <f>0.5/($A$44)</f>
        <v>0.46840046435048655</v>
      </c>
    </row>
    <row r="17" spans="1:15" x14ac:dyDescent="0.2">
      <c r="A17" s="714"/>
      <c r="B17" s="330" t="s">
        <v>77</v>
      </c>
      <c r="C17" s="341" t="s">
        <v>80</v>
      </c>
      <c r="D17" s="336" t="s">
        <v>80</v>
      </c>
      <c r="E17" s="340" t="s">
        <v>80</v>
      </c>
      <c r="F17" s="340" t="s">
        <v>80</v>
      </c>
      <c r="G17" s="340" t="s">
        <v>80</v>
      </c>
      <c r="H17" s="337" t="s">
        <v>80</v>
      </c>
      <c r="I17" s="337" t="s">
        <v>80</v>
      </c>
      <c r="J17" s="340" t="s">
        <v>80</v>
      </c>
      <c r="K17" s="340" t="s">
        <v>80</v>
      </c>
      <c r="L17" s="340" t="s">
        <v>80</v>
      </c>
      <c r="M17" s="340" t="s">
        <v>80</v>
      </c>
      <c r="N17" s="337" t="s">
        <v>80</v>
      </c>
      <c r="O17" s="342" t="s">
        <v>80</v>
      </c>
    </row>
    <row r="18" spans="1:15" x14ac:dyDescent="0.2">
      <c r="A18" s="714"/>
      <c r="B18" s="330" t="s">
        <v>78</v>
      </c>
      <c r="C18" s="341" t="s">
        <v>80</v>
      </c>
      <c r="D18" s="336" t="s">
        <v>80</v>
      </c>
      <c r="E18" s="340" t="s">
        <v>80</v>
      </c>
      <c r="F18" s="340" t="s">
        <v>80</v>
      </c>
      <c r="G18" s="340" t="s">
        <v>80</v>
      </c>
      <c r="H18" s="340" t="s">
        <v>80</v>
      </c>
      <c r="I18" s="340" t="s">
        <v>80</v>
      </c>
      <c r="J18" s="340" t="s">
        <v>80</v>
      </c>
      <c r="K18" s="340" t="s">
        <v>80</v>
      </c>
      <c r="L18" s="340" t="s">
        <v>80</v>
      </c>
      <c r="M18" s="340" t="s">
        <v>80</v>
      </c>
      <c r="N18" s="340" t="s">
        <v>80</v>
      </c>
      <c r="O18" s="342" t="s">
        <v>80</v>
      </c>
    </row>
    <row r="19" spans="1:15" x14ac:dyDescent="0.2">
      <c r="B19" s="344"/>
      <c r="C19" s="345"/>
      <c r="D19" s="346"/>
      <c r="E19" s="346"/>
      <c r="F19" s="347"/>
      <c r="G19" s="347"/>
      <c r="H19" s="346"/>
      <c r="I19" s="346"/>
      <c r="J19" s="346"/>
      <c r="K19" s="346"/>
      <c r="L19" s="347"/>
      <c r="M19" s="347"/>
      <c r="N19" s="346"/>
      <c r="O19" s="348"/>
    </row>
    <row r="20" spans="1:15" x14ac:dyDescent="0.2">
      <c r="B20" s="349"/>
    </row>
    <row r="21" spans="1:15" x14ac:dyDescent="0.2">
      <c r="A21" s="317" t="s">
        <v>82</v>
      </c>
      <c r="B21" s="317" t="s">
        <v>83</v>
      </c>
      <c r="C21" s="317">
        <f>A46</f>
        <v>2020</v>
      </c>
    </row>
    <row r="23" spans="1:15" x14ac:dyDescent="0.2">
      <c r="A23" s="317" t="s">
        <v>64</v>
      </c>
      <c r="B23" s="317" t="s">
        <v>54</v>
      </c>
    </row>
    <row r="24" spans="1:15" x14ac:dyDescent="0.2">
      <c r="D24" s="319" t="s">
        <v>65</v>
      </c>
      <c r="E24" s="319"/>
      <c r="F24" s="319"/>
      <c r="G24" s="319"/>
      <c r="H24" s="319"/>
      <c r="I24" s="319"/>
      <c r="J24" s="319"/>
      <c r="K24" s="319"/>
      <c r="L24" s="319"/>
      <c r="M24" s="319"/>
      <c r="N24" s="319"/>
      <c r="O24" s="319"/>
    </row>
    <row r="25" spans="1:15" x14ac:dyDescent="0.2">
      <c r="B25" s="320" t="s">
        <v>66</v>
      </c>
      <c r="C25" s="321"/>
      <c r="D25" s="322" t="s">
        <v>67</v>
      </c>
      <c r="E25" s="323" t="s">
        <v>68</v>
      </c>
      <c r="F25" s="322" t="s">
        <v>69</v>
      </c>
      <c r="G25" s="322" t="s">
        <v>70</v>
      </c>
      <c r="H25" s="322" t="s">
        <v>71</v>
      </c>
      <c r="I25" s="322" t="s">
        <v>72</v>
      </c>
      <c r="J25" s="322" t="s">
        <v>73</v>
      </c>
      <c r="K25" s="322" t="s">
        <v>74</v>
      </c>
      <c r="L25" s="322" t="s">
        <v>75</v>
      </c>
      <c r="M25" s="322" t="s">
        <v>76</v>
      </c>
      <c r="N25" s="322" t="s">
        <v>77</v>
      </c>
      <c r="O25" s="324" t="s">
        <v>78</v>
      </c>
    </row>
    <row r="26" spans="1:15" x14ac:dyDescent="0.2">
      <c r="B26" s="325"/>
      <c r="C26" s="326" t="s">
        <v>79</v>
      </c>
      <c r="D26" s="350">
        <v>518388006</v>
      </c>
      <c r="E26" s="350">
        <v>518387913</v>
      </c>
      <c r="F26" s="351">
        <v>518387444</v>
      </c>
      <c r="G26" s="351">
        <v>520769312</v>
      </c>
      <c r="H26" s="350" t="s">
        <v>80</v>
      </c>
      <c r="I26" s="350" t="s">
        <v>80</v>
      </c>
      <c r="J26" s="350">
        <v>520769308</v>
      </c>
      <c r="K26" s="350">
        <v>518385210</v>
      </c>
      <c r="L26" s="351">
        <v>518384843</v>
      </c>
      <c r="M26" s="351">
        <v>520769091</v>
      </c>
      <c r="N26" s="350" t="s">
        <v>80</v>
      </c>
      <c r="O26" s="352" t="s">
        <v>80</v>
      </c>
    </row>
    <row r="27" spans="1:15" x14ac:dyDescent="0.2">
      <c r="A27" s="714" t="s">
        <v>81</v>
      </c>
      <c r="B27" s="330" t="s">
        <v>67</v>
      </c>
      <c r="C27" s="353" t="s">
        <v>80</v>
      </c>
      <c r="D27" s="332" t="s">
        <v>80</v>
      </c>
      <c r="E27" s="333" t="s">
        <v>80</v>
      </c>
      <c r="F27" s="354" t="s">
        <v>80</v>
      </c>
      <c r="G27" s="354" t="s">
        <v>80</v>
      </c>
      <c r="H27" s="354" t="s">
        <v>80</v>
      </c>
      <c r="I27" s="354" t="s">
        <v>80</v>
      </c>
      <c r="J27" s="354" t="s">
        <v>80</v>
      </c>
      <c r="K27" s="354" t="s">
        <v>80</v>
      </c>
      <c r="L27" s="354" t="s">
        <v>80</v>
      </c>
      <c r="M27" s="354" t="s">
        <v>80</v>
      </c>
      <c r="N27" s="354" t="s">
        <v>80</v>
      </c>
      <c r="O27" s="355" t="s">
        <v>80</v>
      </c>
    </row>
    <row r="28" spans="1:15" x14ac:dyDescent="0.2">
      <c r="A28" s="714"/>
      <c r="B28" s="330" t="s">
        <v>68</v>
      </c>
      <c r="C28" s="353" t="s">
        <v>80</v>
      </c>
      <c r="D28" s="336" t="s">
        <v>80</v>
      </c>
      <c r="E28" s="337" t="s">
        <v>80</v>
      </c>
      <c r="F28" s="340" t="s">
        <v>80</v>
      </c>
      <c r="G28" s="340" t="s">
        <v>80</v>
      </c>
      <c r="H28" s="340" t="s">
        <v>80</v>
      </c>
      <c r="I28" s="340" t="s">
        <v>80</v>
      </c>
      <c r="J28" s="340" t="s">
        <v>80</v>
      </c>
      <c r="K28" s="340" t="s">
        <v>80</v>
      </c>
      <c r="L28" s="340" t="s">
        <v>80</v>
      </c>
      <c r="M28" s="340" t="s">
        <v>80</v>
      </c>
      <c r="N28" s="340" t="s">
        <v>80</v>
      </c>
      <c r="O28" s="356" t="s">
        <v>80</v>
      </c>
    </row>
    <row r="29" spans="1:15" x14ac:dyDescent="0.2">
      <c r="A29" s="714"/>
      <c r="B29" s="330" t="s">
        <v>69</v>
      </c>
      <c r="C29" s="353">
        <v>519800508</v>
      </c>
      <c r="D29" s="357">
        <f>0.25/($A$44)</f>
        <v>0.23420023217524327</v>
      </c>
      <c r="E29" s="358">
        <f>0.25/($A$44)</f>
        <v>0.23420023217524327</v>
      </c>
      <c r="F29" s="337" t="s">
        <v>80</v>
      </c>
      <c r="G29" s="340" t="s">
        <v>80</v>
      </c>
      <c r="H29" s="340" t="s">
        <v>80</v>
      </c>
      <c r="I29" s="340" t="s">
        <v>80</v>
      </c>
      <c r="J29" s="340" t="s">
        <v>80</v>
      </c>
      <c r="K29" s="340" t="s">
        <v>80</v>
      </c>
      <c r="L29" s="340" t="s">
        <v>80</v>
      </c>
      <c r="M29" s="340" t="s">
        <v>80</v>
      </c>
      <c r="N29" s="340" t="s">
        <v>80</v>
      </c>
      <c r="O29" s="356" t="s">
        <v>80</v>
      </c>
    </row>
    <row r="30" spans="1:15" x14ac:dyDescent="0.2">
      <c r="A30" s="714"/>
      <c r="B30" s="330" t="s">
        <v>70</v>
      </c>
      <c r="C30" s="353">
        <v>518386962</v>
      </c>
      <c r="D30" s="357">
        <f>0.5/($A$44)</f>
        <v>0.46840046435048655</v>
      </c>
      <c r="E30" s="358">
        <f>0.5/($A$44)</f>
        <v>0.46840046435048655</v>
      </c>
      <c r="F30" s="358">
        <f>0.5/($A$44)</f>
        <v>0.46840046435048655</v>
      </c>
      <c r="G30" s="337" t="s">
        <v>80</v>
      </c>
      <c r="H30" s="337" t="s">
        <v>80</v>
      </c>
      <c r="I30" s="337" t="s">
        <v>80</v>
      </c>
      <c r="J30" s="337" t="s">
        <v>80</v>
      </c>
      <c r="K30" s="337" t="s">
        <v>80</v>
      </c>
      <c r="L30" s="337" t="s">
        <v>80</v>
      </c>
      <c r="M30" s="337" t="s">
        <v>80</v>
      </c>
      <c r="N30" s="337" t="s">
        <v>80</v>
      </c>
      <c r="O30" s="356" t="s">
        <v>80</v>
      </c>
    </row>
    <row r="31" spans="1:15" x14ac:dyDescent="0.2">
      <c r="A31" s="714"/>
      <c r="B31" s="330" t="s">
        <v>71</v>
      </c>
      <c r="C31" s="359">
        <v>519798453</v>
      </c>
      <c r="D31" s="357">
        <f>0.81/($A$44)</f>
        <v>0.75880875224778832</v>
      </c>
      <c r="E31" s="358">
        <f>0.81/($A$44)</f>
        <v>0.75880875224778832</v>
      </c>
      <c r="F31" s="358">
        <f>0.81/($A$44)</f>
        <v>0.75880875224778832</v>
      </c>
      <c r="G31" s="358">
        <f>0.81/($A$44)</f>
        <v>0.75880875224778832</v>
      </c>
      <c r="H31" s="337" t="s">
        <v>80</v>
      </c>
      <c r="I31" s="337" t="s">
        <v>80</v>
      </c>
      <c r="J31" s="337" t="s">
        <v>80</v>
      </c>
      <c r="K31" s="337" t="s">
        <v>80</v>
      </c>
      <c r="L31" s="337" t="s">
        <v>80</v>
      </c>
      <c r="M31" s="337" t="s">
        <v>80</v>
      </c>
      <c r="N31" s="337" t="s">
        <v>80</v>
      </c>
      <c r="O31" s="342" t="s">
        <v>80</v>
      </c>
    </row>
    <row r="32" spans="1:15" x14ac:dyDescent="0.2">
      <c r="A32" s="714"/>
      <c r="B32" s="330" t="s">
        <v>72</v>
      </c>
      <c r="C32" s="353">
        <v>518385875</v>
      </c>
      <c r="D32" s="357">
        <f>1/($A$44)</f>
        <v>0.93680092870097309</v>
      </c>
      <c r="E32" s="358">
        <f>1/($A$44)</f>
        <v>0.93680092870097309</v>
      </c>
      <c r="F32" s="358">
        <f>1/($A$44)</f>
        <v>0.93680092870097309</v>
      </c>
      <c r="G32" s="358">
        <f>1/($A$44)</f>
        <v>0.93680092870097309</v>
      </c>
      <c r="H32" s="337" t="s">
        <v>80</v>
      </c>
      <c r="I32" s="337" t="s">
        <v>80</v>
      </c>
      <c r="J32" s="337" t="s">
        <v>80</v>
      </c>
      <c r="K32" s="337" t="s">
        <v>80</v>
      </c>
      <c r="L32" s="337" t="s">
        <v>80</v>
      </c>
      <c r="M32" s="337" t="s">
        <v>80</v>
      </c>
      <c r="N32" s="337" t="s">
        <v>80</v>
      </c>
      <c r="O32" s="342" t="s">
        <v>80</v>
      </c>
    </row>
    <row r="33" spans="1:15" x14ac:dyDescent="0.2">
      <c r="A33" s="714"/>
      <c r="B33" s="330" t="s">
        <v>73</v>
      </c>
      <c r="C33" s="353" t="s">
        <v>80</v>
      </c>
      <c r="D33" s="343" t="s">
        <v>80</v>
      </c>
      <c r="E33" s="337" t="s">
        <v>80</v>
      </c>
      <c r="F33" s="337" t="s">
        <v>80</v>
      </c>
      <c r="G33" s="337" t="s">
        <v>80</v>
      </c>
      <c r="H33" s="337" t="s">
        <v>80</v>
      </c>
      <c r="I33" s="337" t="s">
        <v>80</v>
      </c>
      <c r="J33" s="337" t="s">
        <v>80</v>
      </c>
      <c r="K33" s="340" t="s">
        <v>80</v>
      </c>
      <c r="L33" s="340" t="s">
        <v>80</v>
      </c>
      <c r="M33" s="340" t="s">
        <v>80</v>
      </c>
      <c r="N33" s="340" t="s">
        <v>80</v>
      </c>
      <c r="O33" s="356" t="s">
        <v>80</v>
      </c>
    </row>
    <row r="34" spans="1:15" x14ac:dyDescent="0.2">
      <c r="A34" s="714"/>
      <c r="B34" s="330" t="s">
        <v>74</v>
      </c>
      <c r="C34" s="359">
        <v>520761662</v>
      </c>
      <c r="D34" s="357">
        <f>1/($A$44)</f>
        <v>0.93680092870097309</v>
      </c>
      <c r="E34" s="358">
        <f>1/($A$44)</f>
        <v>0.93680092870097309</v>
      </c>
      <c r="F34" s="358">
        <f>1/($A$44)</f>
        <v>0.93680092870097309</v>
      </c>
      <c r="G34" s="358">
        <f>1/($A$44)</f>
        <v>0.93680092870097309</v>
      </c>
      <c r="H34" s="337" t="s">
        <v>80</v>
      </c>
      <c r="I34" s="337" t="s">
        <v>80</v>
      </c>
      <c r="J34" s="358">
        <f>0.5/($A$44)</f>
        <v>0.46840046435048655</v>
      </c>
      <c r="K34" s="337" t="s">
        <v>80</v>
      </c>
      <c r="L34" s="340" t="s">
        <v>80</v>
      </c>
      <c r="M34" s="340" t="s">
        <v>80</v>
      </c>
      <c r="N34" s="340" t="s">
        <v>80</v>
      </c>
      <c r="O34" s="356" t="s">
        <v>80</v>
      </c>
    </row>
    <row r="35" spans="1:15" x14ac:dyDescent="0.2">
      <c r="A35" s="714"/>
      <c r="B35" s="330" t="s">
        <v>75</v>
      </c>
      <c r="C35" s="353">
        <v>518384990</v>
      </c>
      <c r="D35" s="357">
        <f>1/($A$44)</f>
        <v>0.93680092870097309</v>
      </c>
      <c r="E35" s="358">
        <f>1/($A$44)</f>
        <v>0.93680092870097309</v>
      </c>
      <c r="F35" s="358">
        <f>1/($A$44)</f>
        <v>0.93680092870097309</v>
      </c>
      <c r="G35" s="358">
        <f>1/($A$44)</f>
        <v>0.93680092870097309</v>
      </c>
      <c r="H35" s="337" t="s">
        <v>80</v>
      </c>
      <c r="I35" s="337" t="s">
        <v>80</v>
      </c>
      <c r="J35" s="358">
        <f>0.5/($A$44)</f>
        <v>0.46840046435048655</v>
      </c>
      <c r="K35" s="358">
        <f>0.25/($A$44)</f>
        <v>0.23420023217524327</v>
      </c>
      <c r="L35" s="337" t="s">
        <v>80</v>
      </c>
      <c r="M35" s="340" t="s">
        <v>80</v>
      </c>
      <c r="N35" s="340" t="s">
        <v>80</v>
      </c>
      <c r="O35" s="356" t="s">
        <v>80</v>
      </c>
    </row>
    <row r="36" spans="1:15" x14ac:dyDescent="0.2">
      <c r="A36" s="714"/>
      <c r="B36" s="330" t="s">
        <v>76</v>
      </c>
      <c r="C36" s="353">
        <v>518384651</v>
      </c>
      <c r="D36" s="357">
        <f>1.75/($A$44)</f>
        <v>1.639401625226703</v>
      </c>
      <c r="E36" s="358">
        <f>1.75/($A$44)</f>
        <v>1.639401625226703</v>
      </c>
      <c r="F36" s="358">
        <f>1.75/($A$44)</f>
        <v>1.639401625226703</v>
      </c>
      <c r="G36" s="358">
        <f>1.75/($A$44)</f>
        <v>1.639401625226703</v>
      </c>
      <c r="H36" s="337" t="s">
        <v>80</v>
      </c>
      <c r="I36" s="337" t="s">
        <v>80</v>
      </c>
      <c r="J36" s="358">
        <f>1.25/($A$44)</f>
        <v>1.1710011608762165</v>
      </c>
      <c r="K36" s="358">
        <f>1/($A$44)</f>
        <v>0.93680092870097309</v>
      </c>
      <c r="L36" s="358">
        <f>0.75/($A$44)</f>
        <v>0.70260069652572987</v>
      </c>
      <c r="M36" s="337" t="s">
        <v>80</v>
      </c>
      <c r="N36" s="340" t="s">
        <v>80</v>
      </c>
      <c r="O36" s="356" t="s">
        <v>80</v>
      </c>
    </row>
    <row r="37" spans="1:15" x14ac:dyDescent="0.2">
      <c r="A37" s="714"/>
      <c r="B37" s="330" t="s">
        <v>77</v>
      </c>
      <c r="C37" s="359">
        <v>518384467</v>
      </c>
      <c r="D37" s="357">
        <f>1.75/($A$44)</f>
        <v>1.639401625226703</v>
      </c>
      <c r="E37" s="358">
        <f>1.75/($A$44)</f>
        <v>1.639401625226703</v>
      </c>
      <c r="F37" s="358">
        <f>1.75/($A$44)</f>
        <v>1.639401625226703</v>
      </c>
      <c r="G37" s="358">
        <f>1.75/($A$44)</f>
        <v>1.639401625226703</v>
      </c>
      <c r="H37" s="337" t="s">
        <v>80</v>
      </c>
      <c r="I37" s="337" t="s">
        <v>80</v>
      </c>
      <c r="J37" s="358">
        <f>1.25/($A$44)</f>
        <v>1.1710011608762165</v>
      </c>
      <c r="K37" s="358">
        <f>1/($A$44)</f>
        <v>0.93680092870097309</v>
      </c>
      <c r="L37" s="358">
        <f>0.75/($A$44)</f>
        <v>0.70260069652572987</v>
      </c>
      <c r="M37" s="358">
        <f>0.5/($A$44)</f>
        <v>0.46840046435048655</v>
      </c>
      <c r="N37" s="337" t="s">
        <v>80</v>
      </c>
      <c r="O37" s="342" t="s">
        <v>80</v>
      </c>
    </row>
    <row r="38" spans="1:15" x14ac:dyDescent="0.2">
      <c r="A38" s="714"/>
      <c r="B38" s="330" t="s">
        <v>78</v>
      </c>
      <c r="C38" s="359">
        <v>518384232</v>
      </c>
      <c r="D38" s="360">
        <f>1.75/($A$44)</f>
        <v>1.639401625226703</v>
      </c>
      <c r="E38" s="358">
        <f>1.75/($A$44)</f>
        <v>1.639401625226703</v>
      </c>
      <c r="F38" s="358">
        <f>1.75/($A$44)</f>
        <v>1.639401625226703</v>
      </c>
      <c r="G38" s="358">
        <f>1.75/($A$44)</f>
        <v>1.639401625226703</v>
      </c>
      <c r="H38" s="337" t="s">
        <v>80</v>
      </c>
      <c r="I38" s="337" t="s">
        <v>80</v>
      </c>
      <c r="J38" s="358">
        <f>1.25/($A$44)</f>
        <v>1.1710011608762165</v>
      </c>
      <c r="K38" s="358">
        <f>1/($A$44)</f>
        <v>0.93680092870097309</v>
      </c>
      <c r="L38" s="358">
        <f>0.75/($A$44)</f>
        <v>0.70260069652572987</v>
      </c>
      <c r="M38" s="358">
        <f>0.5/($A$44)</f>
        <v>0.46840046435048655</v>
      </c>
      <c r="N38" s="340" t="s">
        <v>80</v>
      </c>
      <c r="O38" s="342" t="s">
        <v>80</v>
      </c>
    </row>
    <row r="39" spans="1:15" x14ac:dyDescent="0.2">
      <c r="B39" s="344"/>
      <c r="C39" s="345"/>
      <c r="D39" s="361"/>
      <c r="E39" s="361"/>
      <c r="F39" s="361"/>
      <c r="G39" s="361"/>
      <c r="H39" s="361"/>
      <c r="I39" s="361"/>
      <c r="J39" s="361"/>
      <c r="K39" s="361"/>
      <c r="L39" s="361"/>
      <c r="M39" s="361"/>
      <c r="N39" s="361"/>
      <c r="O39" s="362"/>
    </row>
    <row r="40" spans="1:15" x14ac:dyDescent="0.2">
      <c r="B40" s="349"/>
    </row>
    <row r="41" spans="1:15" x14ac:dyDescent="0.2">
      <c r="A41" s="317" t="s">
        <v>82</v>
      </c>
      <c r="B41" s="317" t="s">
        <v>83</v>
      </c>
      <c r="C41" s="317">
        <f>A46</f>
        <v>2020</v>
      </c>
    </row>
    <row r="43" spans="1:15" x14ac:dyDescent="0.2">
      <c r="A43" s="363" t="s">
        <v>84</v>
      </c>
      <c r="B43" s="364" t="s">
        <v>85</v>
      </c>
    </row>
    <row r="44" spans="1:15" x14ac:dyDescent="0.2">
      <c r="A44" s="365">
        <f>+A45^A47</f>
        <v>1.067462648</v>
      </c>
      <c r="B44" s="364" t="s">
        <v>86</v>
      </c>
    </row>
    <row r="45" spans="1:15" x14ac:dyDescent="0.2">
      <c r="A45" s="366">
        <v>1.022</v>
      </c>
      <c r="B45" s="364" t="s">
        <v>87</v>
      </c>
    </row>
    <row r="46" spans="1:15" x14ac:dyDescent="0.2">
      <c r="A46" s="366">
        <v>2020</v>
      </c>
      <c r="B46" s="364" t="s">
        <v>88</v>
      </c>
    </row>
    <row r="47" spans="1:15" x14ac:dyDescent="0.2">
      <c r="A47" s="366">
        <v>3</v>
      </c>
      <c r="B47" s="364" t="s">
        <v>89</v>
      </c>
    </row>
  </sheetData>
  <mergeCells count="2">
    <mergeCell ref="A7:A18"/>
    <mergeCell ref="A27:A38"/>
  </mergeCells>
  <pageMargins left="0.28000000000000003" right="0.27" top="0.5" bottom="0.5" header="0.5" footer="0.5"/>
  <pageSetup scale="83"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Veterans Expwy (MP 3-13)</vt:lpstr>
      <vt:lpstr>Veterans Expwy. (OD example)</vt:lpstr>
      <vt:lpstr>Veterans Exwy-ELToD</vt:lpstr>
      <vt:lpstr>override tolls</vt:lpstr>
      <vt:lpstr>Veterans Exwy (SC2IG tolls)</vt:lpstr>
      <vt:lpstr>'Veterans Expwy (MP 3-13)'!Print_Area</vt:lpstr>
      <vt:lpstr>'Veterans Expwy. (OD example)'!Print_Area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Velasquez, Andrew</dc:creator>
  <cp:lastModifiedBy>Klodzinski, Jack</cp:lastModifiedBy>
  <cp:lastPrinted>2014-09-16T15:14:28Z</cp:lastPrinted>
  <dcterms:created xsi:type="dcterms:W3CDTF">2001-05-09T21:17:28Z</dcterms:created>
  <dcterms:modified xsi:type="dcterms:W3CDTF">2015-05-18T21:30:57Z</dcterms:modified>
</cp:coreProperties>
</file>