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M:\Projects\Veterans ELToDv2.3 2017-0628\Model Data\Traffic Data\"/>
    </mc:Choice>
  </mc:AlternateContent>
  <bookViews>
    <workbookView xWindow="0" yWindow="0" windowWidth="14970" windowHeight="5985" tabRatio="872" activeTab="5" xr2:uid="{00000000-000D-0000-FFFF-FFFF00000000}"/>
  </bookViews>
  <sheets>
    <sheet name="Instructions" sheetId="7" r:id="rId1"/>
    <sheet name="About" sheetId="12" r:id="rId2"/>
    <sheet name="(Input) Time Cost Coefs" sheetId="1" r:id="rId3"/>
    <sheet name="(Input) Reliability" sheetId="4" r:id="rId4"/>
    <sheet name="(Input) Perceived Time" sheetId="9" r:id="rId5"/>
    <sheet name="(Input) Toll Constants" sheetId="3" r:id="rId6"/>
    <sheet name="(Input) Distance Penalty" sheetId="11" r:id="rId7"/>
    <sheet name="Output" sheetId="6" r:id="rId8"/>
    <sheet name="Ref - Toll mode choice model" sheetId="2" r:id="rId9"/>
    <sheet name="Ref - Express on Turnpike" sheetId="8" r:id="rId10"/>
  </sheets>
  <definedNames>
    <definedName name="CostCoef">Output!$D$4</definedName>
    <definedName name="I95_TollDist">'(Input) Reliability'!$X$3</definedName>
    <definedName name="MaxReliabilityRatio">'(Input) Reliability'!$C$6</definedName>
    <definedName name="MidnightShare">'(Input) Toll Constants'!$C$5</definedName>
    <definedName name="MinToll">'(Input) Toll Constants'!$C$6</definedName>
    <definedName name="ReliabilityCoef_Min">'(Input) Reliability'!$C$5</definedName>
    <definedName name="ReliabilityExponent">'(Input) Reliability'!$C$4</definedName>
    <definedName name="ReliabilityRatio">'(Input) Reliability'!$C$3</definedName>
    <definedName name="TimeCoef">Output!$D$5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3" l="1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13" i="3"/>
  <c r="V6" i="3" l="1"/>
  <c r="U6" i="3"/>
  <c r="Y8" i="3" l="1"/>
  <c r="B30" i="2"/>
  <c r="N12" i="3" l="1"/>
  <c r="C8" i="3" l="1"/>
  <c r="D21" i="3" l="1"/>
  <c r="D20" i="3"/>
  <c r="D19" i="3"/>
  <c r="B39" i="1" l="1"/>
  <c r="C44" i="1"/>
  <c r="B33" i="1"/>
  <c r="B31" i="1"/>
  <c r="AA5" i="9" l="1"/>
  <c r="D12" i="6" l="1"/>
  <c r="D11" i="6"/>
  <c r="D13" i="6"/>
  <c r="E14" i="1"/>
  <c r="E16" i="1"/>
  <c r="X4" i="4" l="1"/>
  <c r="Y3" i="4"/>
  <c r="C8" i="4" l="1"/>
  <c r="D8" i="6" s="1"/>
  <c r="Y4" i="4"/>
  <c r="D18" i="6" l="1"/>
  <c r="D17" i="6"/>
  <c r="D16" i="6"/>
  <c r="B29" i="1"/>
  <c r="B37" i="1"/>
  <c r="B35" i="1"/>
  <c r="B16" i="1"/>
  <c r="B25" i="1" l="1"/>
  <c r="B23" i="1"/>
  <c r="B21" i="1"/>
  <c r="E12" i="1"/>
  <c r="B12" i="1"/>
  <c r="Y12" i="1"/>
  <c r="P5" i="11" l="1"/>
  <c r="O6" i="11"/>
  <c r="O7" i="11" s="1"/>
  <c r="P6" i="11" l="1"/>
  <c r="O8" i="11"/>
  <c r="P7" i="11"/>
  <c r="O9" i="11" l="1"/>
  <c r="P8" i="11"/>
  <c r="O10" i="11" l="1"/>
  <c r="P9" i="11"/>
  <c r="V6" i="9"/>
  <c r="V7" i="9" s="1"/>
  <c r="V8" i="9" s="1"/>
  <c r="V9" i="9" s="1"/>
  <c r="V10" i="9" s="1"/>
  <c r="O11" i="11" l="1"/>
  <c r="P10" i="11"/>
  <c r="Z6" i="9"/>
  <c r="AA6" i="9" s="1"/>
  <c r="W6" i="9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X5" i="9"/>
  <c r="Y5" i="9" s="1"/>
  <c r="O12" i="11" l="1"/>
  <c r="P11" i="11"/>
  <c r="Z7" i="9"/>
  <c r="AA7" i="9" s="1"/>
  <c r="X6" i="9"/>
  <c r="Y6" i="9" s="1"/>
  <c r="O13" i="11" l="1"/>
  <c r="P12" i="11"/>
  <c r="Z8" i="9"/>
  <c r="AA8" i="9" s="1"/>
  <c r="X7" i="9"/>
  <c r="Y7" i="9" s="1"/>
  <c r="O14" i="11" l="1"/>
  <c r="P13" i="11"/>
  <c r="Z9" i="9"/>
  <c r="AA9" i="9" s="1"/>
  <c r="X8" i="9"/>
  <c r="Y8" i="9" s="1"/>
  <c r="O15" i="11" l="1"/>
  <c r="P14" i="11"/>
  <c r="Z10" i="9"/>
  <c r="AA10" i="9" s="1"/>
  <c r="X9" i="9"/>
  <c r="Y9" i="9" s="1"/>
  <c r="O16" i="11" l="1"/>
  <c r="P15" i="11"/>
  <c r="Z11" i="9"/>
  <c r="AA11" i="9" s="1"/>
  <c r="V11" i="9"/>
  <c r="X10" i="9"/>
  <c r="Y10" i="9" s="1"/>
  <c r="O17" i="11" l="1"/>
  <c r="P16" i="11"/>
  <c r="Z12" i="9"/>
  <c r="AA12" i="9" s="1"/>
  <c r="V12" i="9"/>
  <c r="X11" i="9"/>
  <c r="Y11" i="9" s="1"/>
  <c r="O18" i="11" l="1"/>
  <c r="P17" i="11"/>
  <c r="Z13" i="9"/>
  <c r="AA13" i="9" s="1"/>
  <c r="X12" i="9"/>
  <c r="Y12" i="9" s="1"/>
  <c r="V13" i="9"/>
  <c r="O19" i="11" l="1"/>
  <c r="P18" i="11"/>
  <c r="Z14" i="9"/>
  <c r="AA14" i="9" s="1"/>
  <c r="X13" i="9"/>
  <c r="Y13" i="9" s="1"/>
  <c r="V14" i="9"/>
  <c r="O20" i="11" l="1"/>
  <c r="P19" i="11"/>
  <c r="Z15" i="9"/>
  <c r="AA15" i="9" s="1"/>
  <c r="V15" i="9"/>
  <c r="X14" i="9"/>
  <c r="Y14" i="9" s="1"/>
  <c r="O21" i="11" l="1"/>
  <c r="P20" i="11"/>
  <c r="Z16" i="9"/>
  <c r="AA16" i="9" s="1"/>
  <c r="X15" i="9"/>
  <c r="Y15" i="9" s="1"/>
  <c r="V16" i="9"/>
  <c r="O22" i="11" l="1"/>
  <c r="P21" i="11"/>
  <c r="Z17" i="9"/>
  <c r="AA17" i="9" s="1"/>
  <c r="X16" i="9"/>
  <c r="Y16" i="9" s="1"/>
  <c r="V17" i="9"/>
  <c r="P22" i="11" l="1"/>
  <c r="O23" i="11"/>
  <c r="Z18" i="9"/>
  <c r="AA18" i="9" s="1"/>
  <c r="V18" i="9"/>
  <c r="X17" i="9"/>
  <c r="Y17" i="9" s="1"/>
  <c r="P23" i="11" l="1"/>
  <c r="O24" i="11"/>
  <c r="Z19" i="9"/>
  <c r="AA19" i="9" s="1"/>
  <c r="V19" i="9"/>
  <c r="X18" i="9"/>
  <c r="Y18" i="9" s="1"/>
  <c r="O25" i="11" l="1"/>
  <c r="P24" i="11"/>
  <c r="Z20" i="9"/>
  <c r="AA20" i="9" s="1"/>
  <c r="V20" i="9"/>
  <c r="X19" i="9"/>
  <c r="Y19" i="9" s="1"/>
  <c r="O26" i="11" l="1"/>
  <c r="P25" i="11"/>
  <c r="Z21" i="9"/>
  <c r="AA21" i="9" s="1"/>
  <c r="X20" i="9"/>
  <c r="Y20" i="9" s="1"/>
  <c r="V21" i="9"/>
  <c r="O27" i="11" l="1"/>
  <c r="P26" i="11"/>
  <c r="Z22" i="9"/>
  <c r="AA22" i="9" s="1"/>
  <c r="V22" i="9"/>
  <c r="X21" i="9"/>
  <c r="Y21" i="9" s="1"/>
  <c r="O28" i="11" l="1"/>
  <c r="P27" i="11"/>
  <c r="Z23" i="9"/>
  <c r="AA23" i="9" s="1"/>
  <c r="V23" i="9"/>
  <c r="X22" i="9"/>
  <c r="Y22" i="9" s="1"/>
  <c r="O29" i="11" l="1"/>
  <c r="P28" i="11"/>
  <c r="Z24" i="9"/>
  <c r="AA24" i="9" s="1"/>
  <c r="X23" i="9"/>
  <c r="Y23" i="9" s="1"/>
  <c r="V24" i="9"/>
  <c r="O30" i="11" l="1"/>
  <c r="P29" i="11"/>
  <c r="Z25" i="9"/>
  <c r="AA25" i="9" s="1"/>
  <c r="X24" i="9"/>
  <c r="Y24" i="9" s="1"/>
  <c r="V25" i="9"/>
  <c r="O31" i="11" l="1"/>
  <c r="P30" i="11"/>
  <c r="Z26" i="9"/>
  <c r="AA26" i="9" s="1"/>
  <c r="V26" i="9"/>
  <c r="X25" i="9"/>
  <c r="Y25" i="9" s="1"/>
  <c r="O32" i="11" l="1"/>
  <c r="P31" i="11"/>
  <c r="Z27" i="9"/>
  <c r="AA27" i="9" s="1"/>
  <c r="V27" i="9"/>
  <c r="X26" i="9"/>
  <c r="Y26" i="9" s="1"/>
  <c r="O33" i="11" l="1"/>
  <c r="P32" i="11"/>
  <c r="Z28" i="9"/>
  <c r="AA28" i="9" s="1"/>
  <c r="X27" i="9"/>
  <c r="Y27" i="9" s="1"/>
  <c r="V28" i="9"/>
  <c r="O34" i="11" l="1"/>
  <c r="P33" i="11"/>
  <c r="Z29" i="9"/>
  <c r="AA29" i="9" s="1"/>
  <c r="X28" i="9"/>
  <c r="Y28" i="9" s="1"/>
  <c r="V29" i="9"/>
  <c r="P34" i="11" l="1"/>
  <c r="O35" i="11"/>
  <c r="Z30" i="9"/>
  <c r="AA30" i="9" s="1"/>
  <c r="V30" i="9"/>
  <c r="X29" i="9"/>
  <c r="Y29" i="9" s="1"/>
  <c r="O36" i="11" l="1"/>
  <c r="P35" i="11"/>
  <c r="Z31" i="9"/>
  <c r="AA31" i="9" s="1"/>
  <c r="V31" i="9"/>
  <c r="X30" i="9"/>
  <c r="Y30" i="9" s="1"/>
  <c r="Z32" i="9" l="1"/>
  <c r="AA32" i="9" s="1"/>
  <c r="O37" i="11"/>
  <c r="P36" i="11"/>
  <c r="Z33" i="9"/>
  <c r="AA33" i="9" s="1"/>
  <c r="X31" i="9"/>
  <c r="Y31" i="9" s="1"/>
  <c r="V32" i="9"/>
  <c r="O38" i="11" l="1"/>
  <c r="P37" i="11"/>
  <c r="X32" i="9"/>
  <c r="Y32" i="9" s="1"/>
  <c r="V33" i="9"/>
  <c r="Z34" i="9"/>
  <c r="AA34" i="9" s="1"/>
  <c r="O39" i="11" l="1"/>
  <c r="P38" i="11"/>
  <c r="Z35" i="9"/>
  <c r="AA35" i="9" s="1"/>
  <c r="V34" i="9"/>
  <c r="X33" i="9"/>
  <c r="Y33" i="9" s="1"/>
  <c r="O40" i="11" l="1"/>
  <c r="P39" i="11"/>
  <c r="Z36" i="9"/>
  <c r="AA36" i="9" s="1"/>
  <c r="V35" i="9"/>
  <c r="X34" i="9"/>
  <c r="Y34" i="9" s="1"/>
  <c r="O41" i="11" l="1"/>
  <c r="P40" i="11"/>
  <c r="Z37" i="9"/>
  <c r="AA37" i="9" s="1"/>
  <c r="X35" i="9"/>
  <c r="Y35" i="9" s="1"/>
  <c r="V36" i="9"/>
  <c r="O42" i="11" l="1"/>
  <c r="P41" i="11"/>
  <c r="V37" i="9"/>
  <c r="X36" i="9"/>
  <c r="Y36" i="9" s="1"/>
  <c r="Z38" i="9"/>
  <c r="AA38" i="9" s="1"/>
  <c r="O43" i="11" l="1"/>
  <c r="P42" i="11"/>
  <c r="X37" i="9"/>
  <c r="Y37" i="9" s="1"/>
  <c r="V38" i="9"/>
  <c r="Z39" i="9"/>
  <c r="AA39" i="9" s="1"/>
  <c r="O44" i="11" l="1"/>
  <c r="P43" i="11"/>
  <c r="V39" i="9"/>
  <c r="X38" i="9"/>
  <c r="Y38" i="9" s="1"/>
  <c r="Z40" i="9"/>
  <c r="AA40" i="9" s="1"/>
  <c r="O45" i="11" l="1"/>
  <c r="P44" i="11"/>
  <c r="V40" i="9"/>
  <c r="X39" i="9"/>
  <c r="Y39" i="9" s="1"/>
  <c r="Z41" i="9"/>
  <c r="AA41" i="9" s="1"/>
  <c r="O46" i="11" l="1"/>
  <c r="P45" i="11"/>
  <c r="V41" i="9"/>
  <c r="X40" i="9"/>
  <c r="Y40" i="9" s="1"/>
  <c r="Z42" i="9"/>
  <c r="AA42" i="9" s="1"/>
  <c r="O47" i="11" l="1"/>
  <c r="P46" i="11"/>
  <c r="X41" i="9"/>
  <c r="Y41" i="9" s="1"/>
  <c r="V42" i="9"/>
  <c r="Z43" i="9"/>
  <c r="AA43" i="9" s="1"/>
  <c r="O48" i="11" l="1"/>
  <c r="P47" i="11"/>
  <c r="Z44" i="9"/>
  <c r="AA44" i="9" s="1"/>
  <c r="X42" i="9"/>
  <c r="Y42" i="9" s="1"/>
  <c r="V43" i="9"/>
  <c r="O49" i="11" l="1"/>
  <c r="P48" i="11"/>
  <c r="X43" i="9"/>
  <c r="Y43" i="9" s="1"/>
  <c r="V44" i="9"/>
  <c r="Z45" i="9"/>
  <c r="AA45" i="9" s="1"/>
  <c r="O50" i="11" l="1"/>
  <c r="P49" i="11"/>
  <c r="Z46" i="9"/>
  <c r="AA46" i="9" s="1"/>
  <c r="V45" i="9"/>
  <c r="X44" i="9"/>
  <c r="Y44" i="9" s="1"/>
  <c r="O51" i="11" l="1"/>
  <c r="P50" i="11"/>
  <c r="Z47" i="9"/>
  <c r="AA47" i="9" s="1"/>
  <c r="X45" i="9"/>
  <c r="Y45" i="9" s="1"/>
  <c r="V46" i="9"/>
  <c r="O52" i="11" l="1"/>
  <c r="P51" i="11"/>
  <c r="V47" i="9"/>
  <c r="X46" i="9"/>
  <c r="Y46" i="9" s="1"/>
  <c r="Z48" i="9"/>
  <c r="AA48" i="9" s="1"/>
  <c r="O53" i="11" l="1"/>
  <c r="P52" i="11"/>
  <c r="Z49" i="9"/>
  <c r="AA49" i="9" s="1"/>
  <c r="X47" i="9"/>
  <c r="Y47" i="9" s="1"/>
  <c r="V48" i="9"/>
  <c r="O54" i="11" l="1"/>
  <c r="P53" i="11"/>
  <c r="V49" i="9"/>
  <c r="X48" i="9"/>
  <c r="Y48" i="9" s="1"/>
  <c r="Z50" i="9"/>
  <c r="AA50" i="9" s="1"/>
  <c r="O55" i="11" l="1"/>
  <c r="P54" i="11"/>
  <c r="Z51" i="9"/>
  <c r="AA51" i="9" s="1"/>
  <c r="V50" i="9"/>
  <c r="X49" i="9"/>
  <c r="Y49" i="9" s="1"/>
  <c r="O56" i="11" l="1"/>
  <c r="P55" i="11"/>
  <c r="Z52" i="9"/>
  <c r="AA52" i="9" s="1"/>
  <c r="V51" i="9"/>
  <c r="X50" i="9"/>
  <c r="Y50" i="9" s="1"/>
  <c r="O57" i="11" l="1"/>
  <c r="P56" i="11"/>
  <c r="X51" i="9"/>
  <c r="Y51" i="9" s="1"/>
  <c r="V52" i="9"/>
  <c r="Z53" i="9"/>
  <c r="AA53" i="9" s="1"/>
  <c r="O58" i="11" l="1"/>
  <c r="P57" i="11"/>
  <c r="Z54" i="9"/>
  <c r="AA54" i="9" s="1"/>
  <c r="V53" i="9"/>
  <c r="X52" i="9"/>
  <c r="Y52" i="9" s="1"/>
  <c r="O59" i="11" l="1"/>
  <c r="P58" i="11"/>
  <c r="X53" i="9"/>
  <c r="Y53" i="9" s="1"/>
  <c r="V54" i="9"/>
  <c r="Z55" i="9"/>
  <c r="AA55" i="9" s="1"/>
  <c r="O60" i="11" l="1"/>
  <c r="P59" i="11"/>
  <c r="Z56" i="9"/>
  <c r="AA56" i="9" s="1"/>
  <c r="V55" i="9"/>
  <c r="X54" i="9"/>
  <c r="Y54" i="9" s="1"/>
  <c r="O61" i="11" l="1"/>
  <c r="P60" i="11"/>
  <c r="X55" i="9"/>
  <c r="Y55" i="9" s="1"/>
  <c r="V56" i="9"/>
  <c r="Z57" i="9"/>
  <c r="AA57" i="9" s="1"/>
  <c r="O62" i="11" l="1"/>
  <c r="P61" i="11"/>
  <c r="Z58" i="9"/>
  <c r="AA58" i="9" s="1"/>
  <c r="V57" i="9"/>
  <c r="X56" i="9"/>
  <c r="Y56" i="9" s="1"/>
  <c r="O63" i="11" l="1"/>
  <c r="P62" i="11"/>
  <c r="X57" i="9"/>
  <c r="Y57" i="9" s="1"/>
  <c r="V58" i="9"/>
  <c r="Z59" i="9"/>
  <c r="AA59" i="9" s="1"/>
  <c r="O64" i="11" l="1"/>
  <c r="P63" i="11"/>
  <c r="Z60" i="9"/>
  <c r="AA60" i="9" s="1"/>
  <c r="V59" i="9"/>
  <c r="X58" i="9"/>
  <c r="Y58" i="9" s="1"/>
  <c r="O65" i="11" l="1"/>
  <c r="P64" i="11"/>
  <c r="X59" i="9"/>
  <c r="Y59" i="9" s="1"/>
  <c r="V60" i="9"/>
  <c r="Z61" i="9"/>
  <c r="AA61" i="9" s="1"/>
  <c r="O66" i="11" l="1"/>
  <c r="P65" i="11"/>
  <c r="Z62" i="9"/>
  <c r="AA62" i="9" s="1"/>
  <c r="V61" i="9"/>
  <c r="X60" i="9"/>
  <c r="Y60" i="9" s="1"/>
  <c r="O67" i="11" l="1"/>
  <c r="P66" i="11"/>
  <c r="X61" i="9"/>
  <c r="Y61" i="9" s="1"/>
  <c r="V62" i="9"/>
  <c r="Z63" i="9"/>
  <c r="AA63" i="9" s="1"/>
  <c r="O68" i="11" l="1"/>
  <c r="P67" i="11"/>
  <c r="Z64" i="9"/>
  <c r="AA64" i="9" s="1"/>
  <c r="V63" i="9"/>
  <c r="X62" i="9"/>
  <c r="Y62" i="9" s="1"/>
  <c r="O69" i="11" l="1"/>
  <c r="P68" i="11"/>
  <c r="X63" i="9"/>
  <c r="Y63" i="9" s="1"/>
  <c r="V64" i="9"/>
  <c r="Z65" i="9"/>
  <c r="AA65" i="9" s="1"/>
  <c r="O70" i="11" l="1"/>
  <c r="P69" i="11"/>
  <c r="Z66" i="9"/>
  <c r="AA66" i="9" s="1"/>
  <c r="V65" i="9"/>
  <c r="X64" i="9"/>
  <c r="Y64" i="9" s="1"/>
  <c r="O71" i="11" l="1"/>
  <c r="P70" i="11"/>
  <c r="X65" i="9"/>
  <c r="Y65" i="9" s="1"/>
  <c r="V66" i="9"/>
  <c r="Z67" i="9"/>
  <c r="AA67" i="9" s="1"/>
  <c r="O72" i="11" l="1"/>
  <c r="P71" i="11"/>
  <c r="Z68" i="9"/>
  <c r="AA68" i="9" s="1"/>
  <c r="X66" i="9"/>
  <c r="Y66" i="9" s="1"/>
  <c r="V67" i="9"/>
  <c r="O73" i="11" l="1"/>
  <c r="P72" i="11"/>
  <c r="X67" i="9"/>
  <c r="Y67" i="9" s="1"/>
  <c r="V68" i="9"/>
  <c r="Z69" i="9"/>
  <c r="AA69" i="9" s="1"/>
  <c r="O74" i="11" l="1"/>
  <c r="P73" i="11"/>
  <c r="Z70" i="9"/>
  <c r="AA70" i="9" s="1"/>
  <c r="V69" i="9"/>
  <c r="X68" i="9"/>
  <c r="Y68" i="9" s="1"/>
  <c r="O75" i="11" l="1"/>
  <c r="P74" i="11"/>
  <c r="X69" i="9"/>
  <c r="Y69" i="9" s="1"/>
  <c r="V70" i="9"/>
  <c r="Z71" i="9"/>
  <c r="AA71" i="9" s="1"/>
  <c r="O76" i="11" l="1"/>
  <c r="P75" i="11"/>
  <c r="Z72" i="9"/>
  <c r="AA72" i="9" s="1"/>
  <c r="V71" i="9"/>
  <c r="X70" i="9"/>
  <c r="Y70" i="9" s="1"/>
  <c r="O77" i="11" l="1"/>
  <c r="P77" i="11" s="1"/>
  <c r="P76" i="11"/>
  <c r="Z73" i="9"/>
  <c r="AA73" i="9" s="1"/>
  <c r="X71" i="9"/>
  <c r="Y71" i="9" s="1"/>
  <c r="V72" i="9"/>
  <c r="V73" i="9" l="1"/>
  <c r="X73" i="9" s="1"/>
  <c r="Y73" i="9" s="1"/>
  <c r="X72" i="9"/>
  <c r="Y72" i="9" s="1"/>
  <c r="Z74" i="9"/>
  <c r="AA74" i="9" s="1"/>
  <c r="Z75" i="9" l="1"/>
  <c r="AA75" i="9" s="1"/>
  <c r="Z76" i="9" l="1"/>
  <c r="AA76" i="9" s="1"/>
  <c r="Z77" i="9" l="1"/>
  <c r="AA77" i="9" s="1"/>
  <c r="Z78" i="9" l="1"/>
  <c r="AA78" i="9" s="1"/>
  <c r="Z79" i="9" l="1"/>
  <c r="AA79" i="9" s="1"/>
  <c r="Z80" i="9" l="1"/>
  <c r="AA80" i="9" s="1"/>
  <c r="Z81" i="9" l="1"/>
  <c r="AA81" i="9" s="1"/>
  <c r="Z82" i="9" l="1"/>
  <c r="AA82" i="9" s="1"/>
  <c r="Z83" i="9" l="1"/>
  <c r="AA83" i="9" s="1"/>
  <c r="Z84" i="9" l="1"/>
  <c r="AA84" i="9" s="1"/>
  <c r="Z85" i="9" l="1"/>
  <c r="AA85" i="9" s="1"/>
  <c r="Z86" i="9" l="1"/>
  <c r="AA86" i="9" s="1"/>
  <c r="Z87" i="9" l="1"/>
  <c r="AA87" i="9" s="1"/>
  <c r="Z88" i="9" l="1"/>
  <c r="AA88" i="9" s="1"/>
  <c r="Z89" i="9" l="1"/>
  <c r="AA89" i="9" s="1"/>
  <c r="Z90" i="9" l="1"/>
  <c r="AA90" i="9" s="1"/>
  <c r="Z91" i="9" l="1"/>
  <c r="AA91" i="9" s="1"/>
  <c r="Z92" i="9" l="1"/>
  <c r="AA92" i="9" s="1"/>
  <c r="Z93" i="9" l="1"/>
  <c r="AA93" i="9" s="1"/>
  <c r="Z94" i="9" l="1"/>
  <c r="AA94" i="9" s="1"/>
  <c r="Z95" i="9" l="1"/>
  <c r="AA95" i="9" s="1"/>
  <c r="Z96" i="9" l="1"/>
  <c r="AA96" i="9" s="1"/>
  <c r="Z97" i="9" l="1"/>
  <c r="AA97" i="9" s="1"/>
  <c r="Z98" i="9" l="1"/>
  <c r="AA98" i="9" s="1"/>
  <c r="Z99" i="9" l="1"/>
  <c r="AA99" i="9" s="1"/>
  <c r="Z100" i="9" l="1"/>
  <c r="AA100" i="9" s="1"/>
  <c r="Z101" i="9" l="1"/>
  <c r="AA101" i="9" s="1"/>
  <c r="Z102" i="9" l="1"/>
  <c r="AA102" i="9" s="1"/>
  <c r="Z103" i="9" l="1"/>
  <c r="AA103" i="9" s="1"/>
  <c r="Z104" i="9" l="1"/>
  <c r="AA104" i="9" s="1"/>
  <c r="Z105" i="9" l="1"/>
  <c r="AA105" i="9" s="1"/>
  <c r="Z106" i="9" l="1"/>
  <c r="AA106" i="9" s="1"/>
  <c r="Z107" i="9" l="1"/>
  <c r="AA107" i="9" s="1"/>
  <c r="Z108" i="9" l="1"/>
  <c r="AA108" i="9" s="1"/>
  <c r="Z109" i="9" l="1"/>
  <c r="AA109" i="9" s="1"/>
  <c r="Z110" i="9" l="1"/>
  <c r="AA110" i="9" s="1"/>
  <c r="Z111" i="9" l="1"/>
  <c r="AA111" i="9" s="1"/>
  <c r="Z112" i="9" l="1"/>
  <c r="AA112" i="9" s="1"/>
  <c r="Z113" i="9" l="1"/>
  <c r="AA113" i="9" s="1"/>
  <c r="Z114" i="9" l="1"/>
  <c r="AA114" i="9" s="1"/>
  <c r="Z115" i="9" l="1"/>
  <c r="AA115" i="9" s="1"/>
  <c r="Z116" i="9" l="1"/>
  <c r="AA116" i="9" s="1"/>
  <c r="Z117" i="9" l="1"/>
  <c r="AA117" i="9" s="1"/>
  <c r="Z118" i="9" l="1"/>
  <c r="AA118" i="9" s="1"/>
  <c r="Z119" i="9" l="1"/>
  <c r="AA119" i="9" s="1"/>
  <c r="Z120" i="9" l="1"/>
  <c r="AA120" i="9" s="1"/>
  <c r="Z121" i="9" l="1"/>
  <c r="AA121" i="9" s="1"/>
  <c r="Z122" i="9" l="1"/>
  <c r="AA122" i="9" s="1"/>
  <c r="Z123" i="9" l="1"/>
  <c r="AA123" i="9" s="1"/>
  <c r="Z124" i="9" l="1"/>
  <c r="AA124" i="9" s="1"/>
  <c r="Z125" i="9" l="1"/>
  <c r="AA125" i="9" s="1"/>
  <c r="Z126" i="9" l="1"/>
  <c r="AA126" i="9" s="1"/>
  <c r="Z127" i="9" l="1"/>
  <c r="AA127" i="9" s="1"/>
  <c r="Z128" i="9" l="1"/>
  <c r="AA128" i="9" s="1"/>
  <c r="Z129" i="9" l="1"/>
  <c r="AA129" i="9" s="1"/>
  <c r="Z130" i="9" l="1"/>
  <c r="AA130" i="9" s="1"/>
  <c r="Z131" i="9" l="1"/>
  <c r="AA131" i="9" s="1"/>
  <c r="Z132" i="9" l="1"/>
  <c r="AA132" i="9" s="1"/>
  <c r="Z133" i="9" l="1"/>
  <c r="AA133" i="9" s="1"/>
  <c r="Z134" i="9" l="1"/>
  <c r="AA134" i="9" s="1"/>
  <c r="Z135" i="9" l="1"/>
  <c r="AA135" i="9" s="1"/>
  <c r="Z136" i="9" l="1"/>
  <c r="AA136" i="9" s="1"/>
  <c r="Z137" i="9" l="1"/>
  <c r="AA137" i="9" s="1"/>
  <c r="Z138" i="9" l="1"/>
  <c r="AA138" i="9" s="1"/>
  <c r="Z139" i="9" l="1"/>
  <c r="AA139" i="9" s="1"/>
  <c r="Z140" i="9" l="1"/>
  <c r="AA140" i="9" s="1"/>
  <c r="Z141" i="9" l="1"/>
  <c r="AA141" i="9" s="1"/>
  <c r="Z142" i="9" l="1"/>
  <c r="AA142" i="9" s="1"/>
  <c r="Z143" i="9" l="1"/>
  <c r="AA143" i="9" s="1"/>
  <c r="Z144" i="9" l="1"/>
  <c r="AA144" i="9" s="1"/>
  <c r="Z145" i="9" l="1"/>
  <c r="AA145" i="9" s="1"/>
  <c r="Z146" i="9" l="1"/>
  <c r="AA146" i="9" s="1"/>
  <c r="Z147" i="9" l="1"/>
  <c r="AA147" i="9" s="1"/>
  <c r="Z148" i="9" l="1"/>
  <c r="AA148" i="9" s="1"/>
  <c r="Z149" i="9" l="1"/>
  <c r="AA149" i="9" s="1"/>
  <c r="Z150" i="9" l="1"/>
  <c r="AA150" i="9" s="1"/>
  <c r="Z151" i="9" l="1"/>
  <c r="AA151" i="9" s="1"/>
  <c r="Z152" i="9" l="1"/>
  <c r="AA152" i="9" s="1"/>
  <c r="Z153" i="9" l="1"/>
  <c r="AA153" i="9" s="1"/>
  <c r="Z154" i="9" l="1"/>
  <c r="AA154" i="9" s="1"/>
  <c r="Z155" i="9" l="1"/>
  <c r="AA155" i="9" s="1"/>
  <c r="Z156" i="9" l="1"/>
  <c r="AA156" i="9" s="1"/>
  <c r="Z157" i="9" l="1"/>
  <c r="AA157" i="9" s="1"/>
  <c r="Z158" i="9" l="1"/>
  <c r="AA158" i="9" s="1"/>
  <c r="Z159" i="9" l="1"/>
  <c r="AA159" i="9" s="1"/>
  <c r="Z160" i="9" l="1"/>
  <c r="AA160" i="9" s="1"/>
  <c r="Z161" i="9" l="1"/>
  <c r="AA161" i="9" s="1"/>
  <c r="Z162" i="9" l="1"/>
  <c r="AA162" i="9" s="1"/>
  <c r="Z163" i="9" l="1"/>
  <c r="AA163" i="9" s="1"/>
  <c r="Z164" i="9" l="1"/>
  <c r="AA164" i="9" s="1"/>
  <c r="Z165" i="9" l="1"/>
  <c r="AA165" i="9" s="1"/>
  <c r="Z166" i="9" l="1"/>
  <c r="AA166" i="9" s="1"/>
  <c r="Z167" i="9" l="1"/>
  <c r="AA167" i="9" s="1"/>
  <c r="Z168" i="9" l="1"/>
  <c r="AA168" i="9" s="1"/>
  <c r="Z169" i="9" l="1"/>
  <c r="AA169" i="9" s="1"/>
  <c r="Z170" i="9" l="1"/>
  <c r="AA170" i="9" s="1"/>
  <c r="Z171" i="9" l="1"/>
  <c r="AA171" i="9" s="1"/>
  <c r="Z172" i="9" l="1"/>
  <c r="AA172" i="9" s="1"/>
  <c r="Z173" i="9" l="1"/>
  <c r="AA173" i="9" s="1"/>
  <c r="Z174" i="9" l="1"/>
  <c r="AA174" i="9" s="1"/>
  <c r="Z175" i="9" l="1"/>
  <c r="AA175" i="9" s="1"/>
  <c r="Z176" i="9" l="1"/>
  <c r="AA176" i="9" s="1"/>
  <c r="Z177" i="9" l="1"/>
  <c r="AA177" i="9" s="1"/>
  <c r="Z178" i="9" l="1"/>
  <c r="AA178" i="9" s="1"/>
  <c r="Z179" i="9" l="1"/>
  <c r="AA179" i="9" s="1"/>
  <c r="Z180" i="9" l="1"/>
  <c r="AA180" i="9" s="1"/>
  <c r="Z181" i="9" l="1"/>
  <c r="AA181" i="9" s="1"/>
  <c r="Z182" i="9" l="1"/>
  <c r="AA182" i="9" s="1"/>
  <c r="Z183" i="9" l="1"/>
  <c r="AA183" i="9" s="1"/>
  <c r="Z184" i="9" l="1"/>
  <c r="AA184" i="9" s="1"/>
  <c r="Z185" i="9" l="1"/>
  <c r="AA185" i="9" s="1"/>
  <c r="Z186" i="9" l="1"/>
  <c r="AA186" i="9" s="1"/>
  <c r="Z187" i="9" l="1"/>
  <c r="AA187" i="9" s="1"/>
  <c r="Z188" i="9" l="1"/>
  <c r="AA188" i="9" s="1"/>
  <c r="Z189" i="9" l="1"/>
  <c r="AA189" i="9" s="1"/>
  <c r="Z190" i="9" l="1"/>
  <c r="AA190" i="9" s="1"/>
  <c r="C34" i="6" l="1"/>
  <c r="C35" i="6"/>
  <c r="C36" i="6"/>
  <c r="C37" i="6"/>
  <c r="C38" i="6"/>
  <c r="C39" i="6"/>
  <c r="C40" i="6"/>
  <c r="C41" i="6"/>
  <c r="C42" i="6"/>
  <c r="C43" i="6"/>
  <c r="C4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E20" i="6"/>
  <c r="D20" i="6"/>
  <c r="C20" i="6"/>
  <c r="U3" i="4"/>
  <c r="T30" i="3" l="1"/>
  <c r="W30" i="3" s="1"/>
  <c r="S30" i="3"/>
  <c r="T29" i="3"/>
  <c r="W29" i="3" s="1"/>
  <c r="S29" i="3"/>
  <c r="T28" i="3"/>
  <c r="W28" i="3" s="1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W12" i="3" s="1"/>
  <c r="S12" i="3"/>
  <c r="T11" i="3"/>
  <c r="W11" i="3" s="1"/>
  <c r="S11" i="3"/>
  <c r="T10" i="3"/>
  <c r="W10" i="3" s="1"/>
  <c r="S10" i="3"/>
  <c r="T9" i="3"/>
  <c r="W9" i="3" s="1"/>
  <c r="S9" i="3"/>
  <c r="T8" i="3"/>
  <c r="W8" i="3" s="1"/>
  <c r="S8" i="3"/>
  <c r="T7" i="3"/>
  <c r="W7" i="3" s="1"/>
  <c r="S7" i="3"/>
  <c r="X7" i="3" s="1"/>
  <c r="U17" i="3" l="1"/>
  <c r="W17" i="3" s="1"/>
  <c r="X17" i="3"/>
  <c r="W24" i="3"/>
  <c r="X24" i="3"/>
  <c r="W22" i="3"/>
  <c r="X22" i="3"/>
  <c r="U9" i="3"/>
  <c r="V9" i="3" s="1"/>
  <c r="X9" i="3"/>
  <c r="U26" i="3"/>
  <c r="W26" i="3" s="1"/>
  <c r="X26" i="3"/>
  <c r="U18" i="3"/>
  <c r="W18" i="3" s="1"/>
  <c r="X18" i="3"/>
  <c r="U7" i="3"/>
  <c r="V7" i="3" s="1"/>
  <c r="U27" i="3"/>
  <c r="W27" i="3" s="1"/>
  <c r="X27" i="3"/>
  <c r="W21" i="3"/>
  <c r="X21" i="3"/>
  <c r="U28" i="3"/>
  <c r="V28" i="3" s="1"/>
  <c r="X28" i="3"/>
  <c r="U19" i="3"/>
  <c r="W19" i="3" s="1"/>
  <c r="X19" i="3"/>
  <c r="W23" i="3"/>
  <c r="X23" i="3"/>
  <c r="U10" i="3"/>
  <c r="V10" i="3" s="1"/>
  <c r="X10" i="3"/>
  <c r="U8" i="3"/>
  <c r="V8" i="3" s="1"/>
  <c r="X8" i="3"/>
  <c r="U12" i="3"/>
  <c r="V12" i="3" s="1"/>
  <c r="X12" i="3"/>
  <c r="U13" i="3"/>
  <c r="W13" i="3" s="1"/>
  <c r="X13" i="3"/>
  <c r="U29" i="3"/>
  <c r="V29" i="3" s="1"/>
  <c r="X29" i="3"/>
  <c r="U15" i="3"/>
  <c r="W15" i="3" s="1"/>
  <c r="X15" i="3"/>
  <c r="U20" i="3"/>
  <c r="W20" i="3" s="1"/>
  <c r="X20" i="3"/>
  <c r="U11" i="3"/>
  <c r="V11" i="3" s="1"/>
  <c r="X11" i="3"/>
  <c r="U14" i="3"/>
  <c r="W14" i="3" s="1"/>
  <c r="X14" i="3"/>
  <c r="U30" i="3"/>
  <c r="V30" i="3" s="1"/>
  <c r="X30" i="3"/>
  <c r="U16" i="3"/>
  <c r="W16" i="3" s="1"/>
  <c r="X16" i="3"/>
  <c r="W25" i="3"/>
  <c r="X25" i="3"/>
  <c r="T4" i="4"/>
  <c r="U4" i="4" s="1"/>
  <c r="T5" i="4" l="1"/>
  <c r="U5" i="4" s="1"/>
  <c r="C25" i="1"/>
  <c r="D8" i="2"/>
  <c r="D7" i="2"/>
  <c r="D5" i="2"/>
  <c r="H45" i="1" l="1"/>
  <c r="C47" i="1"/>
  <c r="H46" i="1"/>
  <c r="C9" i="4"/>
  <c r="T6" i="4"/>
  <c r="T7" i="4" s="1"/>
  <c r="U6" i="4"/>
  <c r="I46" i="1" l="1"/>
  <c r="J45" i="1" s="1"/>
  <c r="T8" i="4"/>
  <c r="U7" i="4"/>
  <c r="J46" i="1" l="1"/>
  <c r="T9" i="4"/>
  <c r="U8" i="4"/>
  <c r="K46" i="1" l="1"/>
  <c r="L45" i="1" s="1"/>
  <c r="C45" i="1" s="1"/>
  <c r="D5" i="6" s="1"/>
  <c r="T10" i="4"/>
  <c r="U9" i="4"/>
  <c r="L46" i="1" l="1"/>
  <c r="C46" i="1" s="1"/>
  <c r="D4" i="6" s="1"/>
  <c r="D12" i="3" s="1"/>
  <c r="T11" i="4"/>
  <c r="U10" i="4"/>
  <c r="D13" i="3" l="1"/>
  <c r="D18" i="3"/>
  <c r="M46" i="1"/>
  <c r="T12" i="4"/>
  <c r="U11" i="4"/>
  <c r="D24" i="3" l="1"/>
  <c r="T13" i="4"/>
  <c r="U12" i="4"/>
  <c r="T14" i="4" l="1"/>
  <c r="U13" i="4"/>
  <c r="T15" i="4" l="1"/>
  <c r="U14" i="4"/>
  <c r="T16" i="4" l="1"/>
  <c r="U15" i="4"/>
  <c r="T17" i="4" l="1"/>
  <c r="U16" i="4"/>
  <c r="T18" i="4" l="1"/>
  <c r="U17" i="4"/>
  <c r="T19" i="4" l="1"/>
  <c r="U18" i="4"/>
  <c r="T20" i="4" l="1"/>
  <c r="U19" i="4"/>
  <c r="T21" i="4" l="1"/>
  <c r="U20" i="4"/>
  <c r="U21" i="4" l="1"/>
  <c r="T22" i="4"/>
  <c r="T23" i="4" l="1"/>
  <c r="U22" i="4"/>
  <c r="T24" i="4" l="1"/>
  <c r="U23" i="4"/>
  <c r="T25" i="4" l="1"/>
  <c r="U24" i="4"/>
  <c r="T26" i="4" l="1"/>
  <c r="U25" i="4"/>
  <c r="T27" i="4" l="1"/>
  <c r="U26" i="4"/>
  <c r="T28" i="4" l="1"/>
  <c r="U27" i="4"/>
  <c r="T29" i="4" l="1"/>
  <c r="U28" i="4"/>
  <c r="T30" i="4" l="1"/>
  <c r="U29" i="4"/>
  <c r="U30" i="4" l="1"/>
  <c r="T31" i="4"/>
  <c r="U31" i="4" l="1"/>
  <c r="T32" i="4"/>
  <c r="T33" i="4" l="1"/>
  <c r="U32" i="4"/>
  <c r="T34" i="4" l="1"/>
  <c r="U33" i="4"/>
  <c r="T35" i="4" l="1"/>
  <c r="U34" i="4"/>
  <c r="T36" i="4" l="1"/>
  <c r="U35" i="4"/>
  <c r="T37" i="4" l="1"/>
  <c r="U36" i="4"/>
  <c r="T38" i="4" l="1"/>
  <c r="U37" i="4"/>
  <c r="T39" i="4" l="1"/>
  <c r="U38" i="4"/>
  <c r="T40" i="4" l="1"/>
  <c r="U39" i="4"/>
  <c r="T41" i="4" l="1"/>
  <c r="U40" i="4"/>
  <c r="T42" i="4" l="1"/>
  <c r="U41" i="4"/>
  <c r="T43" i="4" l="1"/>
  <c r="U42" i="4"/>
  <c r="T44" i="4" l="1"/>
  <c r="U43" i="4"/>
  <c r="T45" i="4" l="1"/>
  <c r="U44" i="4"/>
  <c r="T46" i="4" l="1"/>
  <c r="U45" i="4"/>
  <c r="U46" i="4" l="1"/>
  <c r="T47" i="4"/>
  <c r="T48" i="4" l="1"/>
  <c r="U47" i="4"/>
  <c r="T49" i="4" l="1"/>
  <c r="U48" i="4"/>
  <c r="T50" i="4" l="1"/>
  <c r="U49" i="4"/>
  <c r="T51" i="4" l="1"/>
  <c r="U50" i="4"/>
  <c r="T52" i="4" l="1"/>
  <c r="U51" i="4"/>
  <c r="T53" i="4" l="1"/>
  <c r="U52" i="4"/>
  <c r="T54" i="4" l="1"/>
  <c r="U53" i="4"/>
  <c r="T55" i="4" l="1"/>
  <c r="U54" i="4"/>
  <c r="T56" i="4" l="1"/>
  <c r="U55" i="4"/>
  <c r="T57" i="4" l="1"/>
  <c r="U56" i="4"/>
  <c r="T58" i="4" l="1"/>
  <c r="U57" i="4"/>
  <c r="T59" i="4" l="1"/>
  <c r="U58" i="4"/>
  <c r="T60" i="4" l="1"/>
  <c r="U59" i="4"/>
  <c r="T61" i="4" l="1"/>
  <c r="U60" i="4"/>
  <c r="T62" i="4" l="1"/>
  <c r="U61" i="4"/>
  <c r="T63" i="4" l="1"/>
  <c r="U62" i="4"/>
  <c r="T64" i="4" l="1"/>
  <c r="U63" i="4"/>
  <c r="T65" i="4" l="1"/>
  <c r="U64" i="4"/>
  <c r="T66" i="4" l="1"/>
  <c r="U65" i="4"/>
  <c r="T67" i="4" l="1"/>
  <c r="U66" i="4"/>
  <c r="T68" i="4" l="1"/>
  <c r="U67" i="4"/>
  <c r="T69" i="4" l="1"/>
  <c r="U68" i="4"/>
  <c r="T70" i="4" l="1"/>
  <c r="U69" i="4"/>
  <c r="T71" i="4" l="1"/>
  <c r="U70" i="4"/>
  <c r="T72" i="4" l="1"/>
  <c r="U71" i="4"/>
  <c r="T73" i="4" l="1"/>
  <c r="U72" i="4"/>
  <c r="T74" i="4" l="1"/>
  <c r="U73" i="4"/>
  <c r="U74" i="4" l="1"/>
  <c r="T75" i="4"/>
  <c r="T76" i="4" l="1"/>
  <c r="U75" i="4"/>
  <c r="T77" i="4" l="1"/>
  <c r="U76" i="4"/>
  <c r="T78" i="4" l="1"/>
  <c r="U77" i="4"/>
  <c r="T79" i="4" l="1"/>
  <c r="U78" i="4"/>
  <c r="T80" i="4" l="1"/>
  <c r="U79" i="4"/>
  <c r="T81" i="4" l="1"/>
  <c r="U80" i="4"/>
  <c r="T82" i="4" l="1"/>
  <c r="U81" i="4"/>
  <c r="T83" i="4" l="1"/>
  <c r="U82" i="4"/>
  <c r="T84" i="4" l="1"/>
  <c r="U83" i="4"/>
  <c r="T85" i="4" l="1"/>
  <c r="U84" i="4"/>
  <c r="T86" i="4" l="1"/>
  <c r="U85" i="4"/>
  <c r="T87" i="4" l="1"/>
  <c r="U86" i="4"/>
  <c r="U87" i="4" l="1"/>
  <c r="T88" i="4"/>
  <c r="U88" i="4" l="1"/>
  <c r="T89" i="4"/>
  <c r="T90" i="4" l="1"/>
  <c r="U89" i="4"/>
  <c r="T91" i="4" l="1"/>
  <c r="U90" i="4"/>
  <c r="T92" i="4" l="1"/>
  <c r="U91" i="4"/>
  <c r="T93" i="4" l="1"/>
  <c r="U92" i="4"/>
  <c r="T94" i="4" l="1"/>
  <c r="U93" i="4"/>
  <c r="T95" i="4" l="1"/>
  <c r="U94" i="4"/>
  <c r="T96" i="4" l="1"/>
  <c r="U95" i="4"/>
  <c r="T97" i="4" l="1"/>
  <c r="U96" i="4"/>
  <c r="T98" i="4" l="1"/>
  <c r="U97" i="4"/>
  <c r="T99" i="4" l="1"/>
  <c r="U98" i="4"/>
  <c r="T100" i="4" l="1"/>
  <c r="U99" i="4"/>
  <c r="T101" i="4" l="1"/>
  <c r="U100" i="4"/>
  <c r="T102" i="4" l="1"/>
  <c r="U101" i="4"/>
  <c r="T103" i="4" l="1"/>
  <c r="U102" i="4"/>
  <c r="T104" i="4" l="1"/>
  <c r="U103" i="4"/>
  <c r="T105" i="4" l="1"/>
  <c r="U104" i="4"/>
  <c r="T106" i="4" l="1"/>
  <c r="U105" i="4"/>
  <c r="T107" i="4" l="1"/>
  <c r="U106" i="4"/>
  <c r="U107" i="4" l="1"/>
  <c r="T108" i="4"/>
  <c r="U108" i="4" l="1"/>
  <c r="T109" i="4"/>
  <c r="U109" i="4" l="1"/>
  <c r="T110" i="4"/>
  <c r="U110" i="4" l="1"/>
  <c r="T111" i="4"/>
  <c r="U111" i="4" l="1"/>
  <c r="T112" i="4"/>
  <c r="U112" i="4" l="1"/>
  <c r="T113" i="4"/>
  <c r="U113" i="4" l="1"/>
  <c r="T114" i="4"/>
  <c r="U114" i="4" l="1"/>
  <c r="T115" i="4"/>
  <c r="T116" i="4" l="1"/>
  <c r="U115" i="4"/>
  <c r="T117" i="4" l="1"/>
  <c r="U116" i="4"/>
  <c r="T118" i="4" l="1"/>
  <c r="U117" i="4"/>
  <c r="T119" i="4" l="1"/>
  <c r="U118" i="4"/>
  <c r="T120" i="4" l="1"/>
  <c r="U119" i="4"/>
  <c r="T121" i="4" l="1"/>
  <c r="U120" i="4"/>
  <c r="T122" i="4" l="1"/>
  <c r="U121" i="4"/>
  <c r="T123" i="4" l="1"/>
  <c r="U122" i="4"/>
  <c r="T124" i="4" l="1"/>
  <c r="U123" i="4"/>
  <c r="T125" i="4" l="1"/>
  <c r="U124" i="4"/>
  <c r="T126" i="4" l="1"/>
  <c r="U125" i="4"/>
  <c r="T127" i="4" l="1"/>
  <c r="U126" i="4"/>
  <c r="U127" i="4" l="1"/>
  <c r="T128" i="4"/>
  <c r="U128" i="4" l="1"/>
  <c r="T129" i="4"/>
  <c r="T130" i="4" l="1"/>
  <c r="U129" i="4"/>
  <c r="T131" i="4" l="1"/>
  <c r="U130" i="4"/>
  <c r="T132" i="4" l="1"/>
  <c r="U131" i="4"/>
  <c r="T133" i="4" l="1"/>
  <c r="U132" i="4"/>
  <c r="T134" i="4" l="1"/>
  <c r="U133" i="4"/>
  <c r="T135" i="4" l="1"/>
  <c r="U134" i="4"/>
  <c r="T136" i="4" l="1"/>
  <c r="U135" i="4"/>
  <c r="T137" i="4" l="1"/>
  <c r="U136" i="4"/>
  <c r="T138" i="4" l="1"/>
  <c r="U137" i="4"/>
  <c r="T139" i="4" l="1"/>
  <c r="U138" i="4"/>
  <c r="T140" i="4" l="1"/>
  <c r="U139" i="4"/>
  <c r="T141" i="4" l="1"/>
  <c r="U140" i="4"/>
  <c r="T142" i="4" l="1"/>
  <c r="U141" i="4"/>
  <c r="T143" i="4" l="1"/>
  <c r="U142" i="4"/>
  <c r="T144" i="4" l="1"/>
  <c r="U143" i="4"/>
  <c r="T145" i="4" l="1"/>
  <c r="U144" i="4"/>
  <c r="T146" i="4" l="1"/>
  <c r="U145" i="4"/>
  <c r="T147" i="4" l="1"/>
  <c r="U146" i="4"/>
  <c r="T148" i="4" l="1"/>
  <c r="U147" i="4"/>
  <c r="T149" i="4" l="1"/>
  <c r="U148" i="4"/>
  <c r="T150" i="4" l="1"/>
  <c r="U149" i="4"/>
  <c r="T151" i="4" l="1"/>
  <c r="U150" i="4"/>
  <c r="U151" i="4" l="1"/>
  <c r="T152" i="4"/>
  <c r="T153" i="4" l="1"/>
  <c r="U152" i="4"/>
  <c r="T154" i="4" l="1"/>
  <c r="U153" i="4"/>
  <c r="T155" i="4" l="1"/>
  <c r="U154" i="4"/>
  <c r="T156" i="4" l="1"/>
  <c r="U155" i="4"/>
  <c r="U156" i="4" l="1"/>
  <c r="T157" i="4"/>
  <c r="T158" i="4" l="1"/>
  <c r="U157" i="4"/>
  <c r="U158" i="4" l="1"/>
  <c r="T159" i="4"/>
  <c r="T160" i="4" l="1"/>
  <c r="U159" i="4"/>
  <c r="T161" i="4" l="1"/>
  <c r="U160" i="4"/>
  <c r="U161" i="4" l="1"/>
  <c r="T162" i="4"/>
  <c r="U162" i="4" s="1"/>
  <c r="D15" i="3" l="1"/>
  <c r="I8" i="3" l="1"/>
  <c r="D22" i="6" s="1"/>
  <c r="J11" i="3"/>
  <c r="E25" i="6" s="1"/>
  <c r="I10" i="3"/>
  <c r="D24" i="6" s="1"/>
  <c r="J7" i="3"/>
  <c r="E21" i="6" s="1"/>
  <c r="I7" i="3"/>
  <c r="D21" i="6" s="1"/>
  <c r="I29" i="3"/>
  <c r="D43" i="6" s="1"/>
  <c r="I9" i="3"/>
  <c r="D23" i="6" s="1"/>
  <c r="J10" i="3"/>
  <c r="E24" i="6" s="1"/>
  <c r="J9" i="3"/>
  <c r="E23" i="6" s="1"/>
  <c r="I11" i="3"/>
  <c r="D25" i="6" s="1"/>
  <c r="J8" i="3"/>
  <c r="E22" i="6" s="1"/>
  <c r="D14" i="3"/>
  <c r="J22" i="3" s="1"/>
  <c r="E36" i="6" s="1"/>
  <c r="J14" i="3"/>
  <c r="E28" i="6" s="1"/>
  <c r="I23" i="3"/>
  <c r="D37" i="6" s="1"/>
  <c r="J15" i="3"/>
  <c r="E29" i="6" s="1"/>
  <c r="I24" i="3"/>
  <c r="D38" i="6" s="1"/>
  <c r="J16" i="3"/>
  <c r="E30" i="6" s="1"/>
  <c r="I25" i="3" l="1"/>
  <c r="D39" i="6" s="1"/>
  <c r="J13" i="3"/>
  <c r="E27" i="6" s="1"/>
  <c r="I22" i="3"/>
  <c r="D36" i="6" s="1"/>
  <c r="J28" i="3"/>
  <c r="E42" i="6" s="1"/>
  <c r="I17" i="3"/>
  <c r="D31" i="6" s="1"/>
  <c r="I26" i="3"/>
  <c r="D40" i="6" s="1"/>
  <c r="I30" i="3"/>
  <c r="D44" i="6" s="1"/>
  <c r="J18" i="3"/>
  <c r="E32" i="6" s="1"/>
  <c r="I13" i="3"/>
  <c r="D27" i="6" s="1"/>
  <c r="I27" i="3"/>
  <c r="D41" i="6" s="1"/>
  <c r="I21" i="3"/>
  <c r="D35" i="6" s="1"/>
  <c r="I12" i="3"/>
  <c r="D26" i="6" s="1"/>
  <c r="J29" i="3"/>
  <c r="E43" i="6" s="1"/>
  <c r="I28" i="3"/>
  <c r="D42" i="6" s="1"/>
  <c r="J12" i="3"/>
  <c r="E26" i="6" s="1"/>
  <c r="J30" i="3"/>
  <c r="E44" i="6" s="1"/>
  <c r="J24" i="3"/>
  <c r="E38" i="6" s="1"/>
  <c r="J17" i="3"/>
  <c r="E31" i="6" s="1"/>
  <c r="I16" i="3"/>
  <c r="D30" i="6" s="1"/>
  <c r="J20" i="3"/>
  <c r="E34" i="6" s="1"/>
  <c r="J21" i="3"/>
  <c r="E35" i="6" s="1"/>
  <c r="J19" i="3"/>
  <c r="E33" i="6" s="1"/>
  <c r="I19" i="3"/>
  <c r="D33" i="6" s="1"/>
  <c r="I18" i="3"/>
  <c r="D32" i="6" s="1"/>
  <c r="I20" i="3"/>
  <c r="D34" i="6" s="1"/>
  <c r="I15" i="3"/>
  <c r="D29" i="6" s="1"/>
  <c r="J25" i="3"/>
  <c r="E39" i="6" s="1"/>
  <c r="J27" i="3"/>
  <c r="E41" i="6" s="1"/>
  <c r="J26" i="3"/>
  <c r="E40" i="6" s="1"/>
  <c r="I14" i="3"/>
  <c r="D28" i="6" s="1"/>
  <c r="J23" i="3"/>
  <c r="E37" i="6" s="1"/>
  <c r="C53" i="1" l="1"/>
  <c r="C51" i="1" s="1"/>
  <c r="C11" i="4" s="1"/>
  <c r="C52" i="1" l="1"/>
  <c r="C50" i="1" s="1"/>
  <c r="C1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Traffic Forecasting</author>
  </authors>
  <commentList>
    <comment ref="D2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Traffic Forecasting:</t>
        </r>
        <r>
          <rPr>
            <sz val="9"/>
            <color indexed="81"/>
            <rFont val="Tahoma"/>
            <family val="2"/>
          </rPr>
          <t xml:space="preserve">
default is 2.107</t>
        </r>
      </text>
    </comment>
  </commentList>
</comments>
</file>

<file path=xl/sharedStrings.xml><?xml version="1.0" encoding="utf-8"?>
<sst xmlns="http://schemas.openxmlformats.org/spreadsheetml/2006/main" count="366" uniqueCount="215">
  <si>
    <t>Auto Travel Time (min.)</t>
  </si>
  <si>
    <t>Toll Cost *</t>
  </si>
  <si>
    <t>Coeff.</t>
  </si>
  <si>
    <t>t-ratio</t>
  </si>
  <si>
    <t>Avg. VoT</t>
  </si>
  <si>
    <t>Average corridor trip length (mi.)</t>
  </si>
  <si>
    <t>Shift Earlier (min.)</t>
  </si>
  <si>
    <t>Shift Later (min.)</t>
  </si>
  <si>
    <t>Transit Travel Time (min.)</t>
  </si>
  <si>
    <t>Transit Fare</t>
  </si>
  <si>
    <t>Transit Headway (min.)</t>
  </si>
  <si>
    <t>Transit Transfers (#)</t>
  </si>
  <si>
    <t>Auto Occupancy (#)</t>
  </si>
  <si>
    <t>Toll Constant</t>
  </si>
  <si>
    <t>Transit Constant</t>
  </si>
  <si>
    <t>Carpool Constant</t>
  </si>
  <si>
    <t>Toll Inertia</t>
  </si>
  <si>
    <t>Carpool Inertia</t>
  </si>
  <si>
    <t>Toll/Carpool Inertia</t>
  </si>
  <si>
    <t>* $Toll / ln(dist) / ln($income)</t>
  </si>
  <si>
    <t>#Obs:</t>
  </si>
  <si>
    <t xml:space="preserve">Florida Toll Mode Choice Model </t>
  </si>
  <si>
    <t>Trip length (mi)</t>
  </si>
  <si>
    <t>Income ($)</t>
  </si>
  <si>
    <t>Notes:</t>
  </si>
  <si>
    <t xml:space="preserve"> Based on full 2006/2007 survey sample, covering SW, NE, intercity</t>
  </si>
  <si>
    <t xml:space="preserve"> and random sample of other Florida markets.</t>
  </si>
  <si>
    <t>Base ELToD time coef</t>
  </si>
  <si>
    <t>Base ELToD cost coef</t>
  </si>
  <si>
    <t>Base ELToD VOT ($/hr)</t>
  </si>
  <si>
    <t>Note: This is the average door-to-door  length of trips that are made in the corridor; must be &gt;1 mi</t>
  </si>
  <si>
    <t xml:space="preserve">Note: This is the average household income of travelers who make trips in the corridor </t>
  </si>
  <si>
    <t>CPI adjustment (2007-&gt;Base model year)</t>
  </si>
  <si>
    <t>BLS CPI calculator</t>
  </si>
  <si>
    <t>Note: Use this link</t>
  </si>
  <si>
    <t>Average corridor traveler household income (Base model year $)</t>
  </si>
  <si>
    <t xml:space="preserve">  are equally proportional in the two coefficients to maintain a</t>
  </si>
  <si>
    <t>Distance</t>
  </si>
  <si>
    <t>I-95 NB</t>
  </si>
  <si>
    <t>I-95 SB</t>
  </si>
  <si>
    <t>Constant</t>
  </si>
  <si>
    <t>Period</t>
  </si>
  <si>
    <t>Peak Period/Direction</t>
  </si>
  <si>
    <t>0 to 1</t>
  </si>
  <si>
    <t>Hour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</si>
  <si>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</si>
  <si>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</si>
  <si>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</si>
  <si>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</si>
  <si>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</si>
  <si>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</si>
  <si>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</si>
  <si>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</si>
  <si>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</si>
  <si>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</si>
  <si>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</si>
  <si>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</si>
  <si>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</si>
  <si>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</si>
  <si>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</si>
  <si>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</si>
  <si>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</si>
  <si>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</si>
  <si>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</si>
  <si>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</si>
  <si>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</si>
  <si>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</si>
  <si>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</si>
  <si>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Reliability</t>
  </si>
  <si>
    <t>Dir 1</t>
  </si>
  <si>
    <t>Dir 2</t>
  </si>
  <si>
    <t>Midnight Share:</t>
  </si>
  <si>
    <t>Minimum Toll:</t>
  </si>
  <si>
    <t>Dampening:</t>
  </si>
  <si>
    <t>New Facility</t>
  </si>
  <si>
    <t>Min Toll:</t>
  </si>
  <si>
    <t>Distance Exponent:</t>
  </si>
  <si>
    <t>Abrv.</t>
  </si>
  <si>
    <t>Midnight Toll Share:</t>
  </si>
  <si>
    <t>PERIOD</t>
  </si>
  <si>
    <t>CONSTANT</t>
  </si>
  <si>
    <t>HBW Value of Time ($/hr):</t>
  </si>
  <si>
    <t>Non-HBW Value of Time ($/hr):</t>
  </si>
  <si>
    <r>
      <t>Base Value of Reliability</t>
    </r>
    <r>
      <rPr>
        <sz val="11"/>
        <color theme="1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($/Std Dev Hours):</t>
    </r>
  </si>
  <si>
    <r>
      <rPr>
        <b/>
        <sz val="11"/>
        <color theme="1"/>
        <rFont val="Calibri"/>
        <family val="2"/>
        <scheme val="minor"/>
      </rPr>
      <t>HBW Value of Reliability</t>
    </r>
    <r>
      <rPr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($/Std Dev Hours):</t>
    </r>
  </si>
  <si>
    <r>
      <rPr>
        <b/>
        <sz val="11"/>
        <color theme="1"/>
        <rFont val="Calibri"/>
        <family val="2"/>
        <scheme val="minor"/>
      </rPr>
      <t>Non-HBW Value of Reliability</t>
    </r>
    <r>
      <rPr>
        <sz val="11"/>
        <color theme="1"/>
        <rFont val="Calibri"/>
        <family val="2"/>
        <scheme val="minor"/>
      </rPr>
      <t xml:space="preserve">*
</t>
    </r>
    <r>
      <rPr>
        <sz val="11"/>
        <color theme="1"/>
        <rFont val="Calibri"/>
        <family val="2"/>
        <scheme val="minor"/>
      </rPr>
      <t>($/Std Dev Hours):</t>
    </r>
  </si>
  <si>
    <t>RED TEXT</t>
  </si>
  <si>
    <t xml:space="preserve">BLUE TEXT </t>
  </si>
  <si>
    <t>Value of time (Base model year $/hr)</t>
  </si>
  <si>
    <t>CTOLL (For FSUTMS-style assignment)</t>
  </si>
  <si>
    <t>* Uses three iterations to calculate adjusments that</t>
  </si>
  <si>
    <t xml:space="preserve">  consistent scale.</t>
  </si>
  <si>
    <t>Facility Characteristics</t>
  </si>
  <si>
    <t>Aggregate Values</t>
  </si>
  <si>
    <t>INPUTS</t>
  </si>
  <si>
    <t>Purpose-Specific Values</t>
  </si>
  <si>
    <t>Corridor/Region</t>
  </si>
  <si>
    <t>Base VOT</t>
  </si>
  <si>
    <t>Toll-in-toll VOT</t>
  </si>
  <si>
    <t>c (Toll-in-toll VOT/Base VOT)</t>
  </si>
  <si>
    <t>Central Florida</t>
  </si>
  <si>
    <t>South Florida</t>
  </si>
  <si>
    <t>Chicago region</t>
  </si>
  <si>
    <t>Average</t>
  </si>
  <si>
    <t>Suncoast Parkway/
Veterans Expressway</t>
  </si>
  <si>
    <t>OUTPUTS</t>
  </si>
  <si>
    <t>Cube Key</t>
  </si>
  <si>
    <t>Value</t>
  </si>
  <si>
    <t>Time +
Cost</t>
  </si>
  <si>
    <t>PK</t>
  </si>
  <si>
    <r>
      <t xml:space="preserve">Minimum </t>
    </r>
    <r>
      <rPr>
        <sz val="11"/>
        <color theme="1"/>
        <rFont val="Calibri"/>
        <family val="2"/>
        <scheme val="minor"/>
      </rPr>
      <t>Reliability Ratio:</t>
    </r>
  </si>
  <si>
    <r>
      <t xml:space="preserve">Maximum </t>
    </r>
    <r>
      <rPr>
        <sz val="11"/>
        <color theme="1"/>
        <rFont val="Calibri"/>
        <family val="2"/>
        <scheme val="minor"/>
      </rPr>
      <t>Reliability Ratio:</t>
    </r>
  </si>
  <si>
    <t>Toll_HBW: Cost coef HBW:</t>
  </si>
  <si>
    <t>Toll_NonHBW: Cost coef Non-HBW:</t>
  </si>
  <si>
    <t>Free Flow</t>
  </si>
  <si>
    <t>Busy</t>
  </si>
  <si>
    <t>Light congestion</t>
  </si>
  <si>
    <t>Heavy congestion</t>
  </si>
  <si>
    <t>Stop start</t>
  </si>
  <si>
    <t>Gridlock</t>
  </si>
  <si>
    <t>Travel Time Conditions</t>
  </si>
  <si>
    <t>Weight</t>
  </si>
  <si>
    <t>V/C</t>
  </si>
  <si>
    <t>LOS</t>
  </si>
  <si>
    <t>Free flow</t>
  </si>
  <si>
    <t>Light Congestion</t>
  </si>
  <si>
    <t>Heavy Congestion</t>
  </si>
  <si>
    <t>A,B</t>
  </si>
  <si>
    <t>C</t>
  </si>
  <si>
    <t>D</t>
  </si>
  <si>
    <t>E</t>
  </si>
  <si>
    <t>F</t>
  </si>
  <si>
    <t>Under .5</t>
  </si>
  <si>
    <t>.5-.7</t>
  </si>
  <si>
    <t>.7-.8</t>
  </si>
  <si>
    <t>.8-1.0</t>
  </si>
  <si>
    <t>1.0-1.2</t>
  </si>
  <si>
    <t>1.2+</t>
  </si>
  <si>
    <t>From: SHRP2-L04-RR-1</t>
  </si>
  <si>
    <t>Perceived Time</t>
  </si>
  <si>
    <t>Time/Cost Coefficients</t>
  </si>
  <si>
    <t>Toll Constants</t>
  </si>
  <si>
    <t>OUTPUT</t>
  </si>
  <si>
    <t>Instructions</t>
  </si>
  <si>
    <t>Input Tabs</t>
  </si>
  <si>
    <t>Output Tab</t>
  </si>
  <si>
    <t xml:space="preserve">(ii)  </t>
  </si>
  <si>
    <t>(a) Update all highlighted cells with red text:</t>
  </si>
  <si>
    <t>(b) Users can, but need not, adjust the highlighted cells with blue text:</t>
  </si>
  <si>
    <t>(a) Paste values from the Outputs tab into Cube Keys</t>
  </si>
  <si>
    <t>After reading the Choice Model Calibration Document:</t>
  </si>
  <si>
    <t xml:space="preserve">(i)  </t>
  </si>
  <si>
    <t>*Base Ratio: for a 7.2 mile corridor, the I-95 Phase 1 Length</t>
  </si>
  <si>
    <t>Dist</t>
  </si>
  <si>
    <t>Distance Penalty: Y</t>
  </si>
  <si>
    <t>Distance Penalty: X1</t>
  </si>
  <si>
    <t>Distance Penalty: X2</t>
  </si>
  <si>
    <r>
      <rPr>
        <b/>
        <sz val="11"/>
        <color theme="1"/>
        <rFont val="Calibri"/>
        <family val="2"/>
        <scheme val="minor"/>
      </rPr>
      <t>Piecewise Linear Function:</t>
    </r>
    <r>
      <rPr>
        <b/>
        <i/>
        <sz val="11"/>
        <color theme="1"/>
        <rFont val="Calibri"/>
        <family val="2"/>
        <scheme val="minor"/>
      </rPr>
      <t xml:space="preserve"> Distance Penalty</t>
    </r>
  </si>
  <si>
    <t>Distance Penalty</t>
  </si>
  <si>
    <t>Aggregate VOT</t>
  </si>
  <si>
    <t>Stated Preference Survey Available?</t>
  </si>
  <si>
    <t>Express Lane on Turnpike?</t>
  </si>
  <si>
    <t xml:space="preserve">Trips by Purpose? </t>
  </si>
  <si>
    <r>
      <t xml:space="preserve">Enter </t>
    </r>
    <r>
      <rPr>
        <i/>
        <sz val="11"/>
        <color rgb="FFFF0000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if express lanes are located on a Turnpike, else enter </t>
    </r>
    <r>
      <rPr>
        <i/>
        <sz val="11"/>
        <color rgb="FFFF0000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.</t>
    </r>
  </si>
  <si>
    <t>Separate VOT by Trip Purpose?</t>
  </si>
  <si>
    <t xml:space="preserve">     Calculated corridor traveler household income (2007 $)</t>
  </si>
  <si>
    <t>Aggregate HBW VOT</t>
  </si>
  <si>
    <t>Aggregate Non-HBW VOT</t>
  </si>
  <si>
    <t>HBW Ratio</t>
  </si>
  <si>
    <t>Turnpike VOT Factor</t>
  </si>
  <si>
    <t>Study Features</t>
  </si>
  <si>
    <t>Express Lanes on Turnpike?</t>
  </si>
  <si>
    <t>Max</t>
  </si>
  <si>
    <t>k</t>
  </si>
  <si>
    <t>x0</t>
  </si>
  <si>
    <r>
      <rPr>
        <b/>
        <sz val="11"/>
        <color theme="1"/>
        <rFont val="Calibri"/>
        <family val="2"/>
        <scheme val="minor"/>
      </rPr>
      <t>Logistic Function:</t>
    </r>
    <r>
      <rPr>
        <b/>
        <i/>
        <sz val="11"/>
        <color theme="1"/>
        <rFont val="Calibri"/>
        <family val="2"/>
        <scheme val="minor"/>
      </rPr>
      <t xml:space="preserve"> Perceived Time</t>
    </r>
  </si>
  <si>
    <t>Enter TRUE if a VOT assumptions is available from a stated preference survey or another source, else enter FALSE.</t>
  </si>
  <si>
    <t>Enter TRUE if applying separate matrices for HBW and Non-HBW Trips (2 matrices); False = Aggregate Trip Matrix Only (1 matrix)</t>
  </si>
  <si>
    <r>
      <t>Reliability Ratio</t>
    </r>
    <r>
      <rPr>
        <sz val="11"/>
        <color theme="1"/>
        <rFont val="Calibri"/>
        <family val="2"/>
        <scheme val="minor"/>
      </rPr>
      <t xml:space="preserve"> (VOR/VOT) for I-95 Reference Case*:</t>
    </r>
  </si>
  <si>
    <t>Reliability Ratio for New Study</t>
  </si>
  <si>
    <t>Express Lanes on Turnpike VOT was estimated from survey?</t>
  </si>
  <si>
    <r>
      <t xml:space="preserve">Enter </t>
    </r>
    <r>
      <rPr>
        <i/>
        <sz val="11"/>
        <color rgb="FFFF0000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if separate VOTs were estimated for each trip purpse, else enter </t>
    </r>
    <r>
      <rPr>
        <i/>
        <sz val="11"/>
        <color rgb="FFFF0000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.</t>
    </r>
  </si>
  <si>
    <t>VOT Assumptions</t>
  </si>
  <si>
    <r>
      <t xml:space="preserve">Enter </t>
    </r>
    <r>
      <rPr>
        <i/>
        <sz val="11"/>
        <color rgb="FFFF0000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if the Express Lanes on Turnpike VOT was estimated from a survey, else enter </t>
    </r>
    <r>
      <rPr>
        <i/>
        <sz val="11"/>
        <color rgb="FFFF0000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.</t>
    </r>
  </si>
  <si>
    <t>ON</t>
  </si>
  <si>
    <t>Evening or Early Morning</t>
  </si>
  <si>
    <t>EEM</t>
  </si>
  <si>
    <t>OP</t>
  </si>
  <si>
    <t>Overnight</t>
  </si>
  <si>
    <t>Off-Peak</t>
  </si>
  <si>
    <t xml:space="preserve">Beta Time: ELTOD time coef </t>
  </si>
  <si>
    <t>Beta Toll: ELTOD cost coef*</t>
  </si>
  <si>
    <t>Percent HBW Trips</t>
  </si>
  <si>
    <t>Reliability Coefficient Ratio</t>
  </si>
  <si>
    <t>Travel Time Coefficient</t>
  </si>
  <si>
    <t>Toll Coefficient</t>
  </si>
  <si>
    <t>Perceived Tme Coefficient Steepness</t>
  </si>
  <si>
    <t>Perceived Time Mid Point VC Ratio</t>
  </si>
  <si>
    <t>Perceived Time Max VC Ratio</t>
  </si>
  <si>
    <t>Distance Penalty Y</t>
  </si>
  <si>
    <t>Distance Penalty X1</t>
  </si>
  <si>
    <t>Distance Penatly X2</t>
  </si>
  <si>
    <t>Version 19</t>
  </si>
  <si>
    <t>average based on Toll Link file and averaging the Toll Seg Len field values.</t>
  </si>
  <si>
    <t>95 Express Phase 1</t>
  </si>
  <si>
    <t>to lessen impact on a new facility</t>
  </si>
  <si>
    <t>use name manager under formulas for reference.</t>
  </si>
  <si>
    <t xml:space="preserve">Distance is recommended to be average trip distance.  This could come from surveys or O/D studies.  </t>
  </si>
  <si>
    <t>distance for I-95</t>
  </si>
  <si>
    <t>new corridor distance</t>
  </si>
  <si>
    <t>new facility factor</t>
  </si>
  <si>
    <t>ON Time in min</t>
  </si>
  <si>
    <t>current</t>
  </si>
  <si>
    <t>VOT</t>
  </si>
  <si>
    <t>Cost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</si>
</sst>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  <numFmt numFmtId="167" formatCode="0.0000"/>
    <numFmt numFmtId="168" formatCode="0.0%"/>
    <numFmt numFmtId="169" formatCode="#,##0.000"/>
    <numFmt numFmtId="170" formatCode="#,##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1F497D"/>
      <name val="Arial"/>
      <family val="2"/>
    </font>
    <font>
      <b/>
      <sz val="10"/>
      <color rgb="FF262626"/>
      <name val="Garamond"/>
      <family val="1"/>
    </font>
    <font>
      <sz val="10"/>
      <color rgb="FF262626"/>
      <name val="Garamond"/>
      <family val="1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1" tint="0.499984740745262"/>
      </left>
      <right/>
      <top style="thick">
        <color theme="1" tint="0.499984740745262"/>
      </top>
      <bottom/>
      <diagonal/>
    </border>
    <border>
      <left/>
      <right/>
      <top style="thick">
        <color theme="1" tint="0.499984740745262"/>
      </top>
      <bottom/>
      <diagonal/>
    </border>
    <border>
      <left/>
      <right style="thick">
        <color theme="1" tint="0.499984740745262"/>
      </right>
      <top style="thick">
        <color theme="1" tint="0.499984740745262"/>
      </top>
      <bottom/>
      <diagonal/>
    </border>
    <border>
      <left style="thick">
        <color theme="1" tint="0.499984740745262"/>
      </left>
      <right/>
      <top/>
      <bottom/>
      <diagonal/>
    </border>
    <border>
      <left/>
      <right style="thick">
        <color theme="1" tint="0.499984740745262"/>
      </right>
      <top/>
      <bottom/>
      <diagonal/>
    </border>
    <border>
      <left style="thick">
        <color theme="1" tint="0.499984740745262"/>
      </left>
      <right/>
      <top/>
      <bottom style="thick">
        <color theme="1" tint="0.499984740745262"/>
      </bottom>
      <diagonal/>
    </border>
    <border>
      <left/>
      <right/>
      <top/>
      <bottom style="thick">
        <color theme="1" tint="0.499984740745262"/>
      </bottom>
      <diagonal/>
    </border>
    <border>
      <left/>
      <right style="thick">
        <color theme="1" tint="0.499984740745262"/>
      </right>
      <top/>
      <bottom style="thick">
        <color theme="1" tint="0.499984740745262"/>
      </bottom>
      <diagonal/>
    </border>
    <border>
      <left style="thick">
        <color theme="1" tint="0.499984740745262"/>
      </left>
      <right/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theme="1" tint="0.499984740745262"/>
      </left>
      <right style="thick">
        <color theme="1" tint="0.499984740745262"/>
      </right>
      <top style="thick">
        <color theme="1" tint="0.499984740745262"/>
      </top>
      <bottom/>
      <diagonal/>
    </border>
    <border>
      <left style="thin">
        <color theme="1" tint="0.499984740745262"/>
      </left>
      <right style="thick">
        <color theme="1" tint="0.499984740745262"/>
      </right>
      <top/>
      <bottom/>
      <diagonal/>
    </border>
    <border>
      <left style="thin">
        <color theme="1" tint="0.499984740745262"/>
      </left>
      <right style="thick">
        <color theme="1" tint="0.499984740745262"/>
      </right>
      <top/>
      <bottom style="thick">
        <color theme="1" tint="0.499984740745262"/>
      </bottom>
      <diagonal/>
    </border>
    <border>
      <left style="thin">
        <color theme="1" tint="0.499984740745262"/>
      </left>
      <right/>
      <top style="thick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ck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/>
      <top/>
      <bottom style="medium">
        <color theme="2" tint="-0.89996032593768116"/>
      </bottom>
      <diagonal/>
    </border>
    <border>
      <left style="thin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ck">
        <color theme="1" tint="0.499984740745262"/>
      </left>
      <right style="thick">
        <color theme="1" tint="0.499984740745262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03">
    <xf numFmtId="0" fontId="0" fillId="0" borderId="0" xfId="0"/>
    <xf numFmtId="0" fontId="4" fillId="0" borderId="0" xfId="0" applyFont="1" applyFill="1" applyAlignment="1">
      <alignment horizontal="right"/>
    </xf>
    <xf numFmtId="0" fontId="6" fillId="0" borderId="0" xfId="0" applyFont="1"/>
    <xf numFmtId="164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Fill="1"/>
    <xf numFmtId="164" fontId="0" fillId="0" borderId="2" xfId="0" applyNumberFormat="1" applyFill="1" applyBorder="1"/>
    <xf numFmtId="165" fontId="0" fillId="0" borderId="2" xfId="0" applyNumberFormat="1" applyFill="1" applyBorder="1"/>
    <xf numFmtId="0" fontId="2" fillId="0" borderId="0" xfId="0" applyFont="1"/>
    <xf numFmtId="44" fontId="4" fillId="0" borderId="0" xfId="2" applyFont="1" applyFill="1" applyAlignment="1">
      <alignment horizontal="right"/>
    </xf>
    <xf numFmtId="44" fontId="1" fillId="0" borderId="1" xfId="2" applyFill="1" applyBorder="1"/>
    <xf numFmtId="44" fontId="1" fillId="0" borderId="2" xfId="2" applyFill="1" applyBorder="1"/>
    <xf numFmtId="0" fontId="0" fillId="0" borderId="2" xfId="0" applyFill="1" applyBorder="1"/>
    <xf numFmtId="164" fontId="0" fillId="0" borderId="3" xfId="0" applyNumberFormat="1" applyFill="1" applyBorder="1"/>
    <xf numFmtId="165" fontId="0" fillId="0" borderId="3" xfId="0" applyNumberFormat="1" applyFill="1" applyBorder="1"/>
    <xf numFmtId="0" fontId="0" fillId="0" borderId="3" xfId="0" applyFill="1" applyBorder="1"/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3" fontId="0" fillId="0" borderId="0" xfId="0" applyNumberFormat="1" applyFill="1"/>
    <xf numFmtId="166" fontId="0" fillId="0" borderId="0" xfId="1" applyNumberFormat="1" applyFont="1"/>
    <xf numFmtId="0" fontId="0" fillId="0" borderId="0" xfId="0" applyAlignment="1">
      <alignment horizontal="right"/>
    </xf>
    <xf numFmtId="0" fontId="4" fillId="0" borderId="0" xfId="0" applyFont="1" applyFill="1" applyBorder="1" applyAlignment="1">
      <alignment horizontal="right"/>
    </xf>
    <xf numFmtId="44" fontId="4" fillId="0" borderId="0" xfId="4" applyFont="1" applyFill="1" applyBorder="1" applyAlignment="1">
      <alignment horizontal="right"/>
    </xf>
    <xf numFmtId="44" fontId="4" fillId="0" borderId="0" xfId="4" applyFont="1" applyFill="1" applyBorder="1"/>
    <xf numFmtId="0" fontId="4" fillId="0" borderId="0" xfId="0" applyFont="1" applyBorder="1"/>
    <xf numFmtId="165" fontId="0" fillId="0" borderId="0" xfId="0" applyNumberFormat="1" applyFill="1" applyBorder="1"/>
    <xf numFmtId="44" fontId="3" fillId="0" borderId="0" xfId="4" applyFill="1" applyBorder="1"/>
    <xf numFmtId="0" fontId="0" fillId="0" borderId="0" xfId="0" applyFill="1" applyBorder="1"/>
    <xf numFmtId="0" fontId="0" fillId="0" borderId="0" xfId="0" applyBorder="1"/>
    <xf numFmtId="2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5"/>
    <xf numFmtId="2" fontId="9" fillId="0" borderId="0" xfId="0" applyNumberFormat="1" applyFont="1"/>
    <xf numFmtId="167" fontId="9" fillId="0" borderId="0" xfId="0" applyNumberFormat="1" applyFont="1"/>
    <xf numFmtId="165" fontId="0" fillId="0" borderId="0" xfId="0" applyNumberFormat="1"/>
    <xf numFmtId="0" fontId="2" fillId="0" borderId="4" xfId="0" applyFont="1" applyBorder="1"/>
    <xf numFmtId="0" fontId="2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2" fillId="0" borderId="12" xfId="0" applyFont="1" applyBorder="1"/>
    <xf numFmtId="0" fontId="2" fillId="0" borderId="13" xfId="0" applyFont="1" applyBorder="1"/>
    <xf numFmtId="168" fontId="0" fillId="0" borderId="0" xfId="0" applyNumberFormat="1" applyFill="1"/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Fill="1" applyBorder="1"/>
    <xf numFmtId="0" fontId="0" fillId="0" borderId="10" xfId="0" applyFill="1" applyBorder="1"/>
    <xf numFmtId="0" fontId="0" fillId="0" borderId="0" xfId="0" applyFont="1" applyBorder="1"/>
    <xf numFmtId="0" fontId="10" fillId="2" borderId="4" xfId="0" applyFont="1" applyFill="1" applyBorder="1"/>
    <xf numFmtId="0" fontId="10" fillId="2" borderId="5" xfId="0" applyFont="1" applyFill="1" applyBorder="1"/>
    <xf numFmtId="0" fontId="10" fillId="2" borderId="7" xfId="0" applyFont="1" applyFill="1" applyBorder="1"/>
    <xf numFmtId="0" fontId="10" fillId="2" borderId="0" xfId="0" applyFont="1" applyFill="1" applyBorder="1"/>
    <xf numFmtId="0" fontId="10" fillId="2" borderId="9" xfId="0" applyFont="1" applyFill="1" applyBorder="1"/>
    <xf numFmtId="0" fontId="10" fillId="2" borderId="10" xfId="0" applyFont="1" applyFill="1" applyBorder="1"/>
    <xf numFmtId="0" fontId="15" fillId="0" borderId="0" xfId="0" applyFont="1" applyBorder="1" applyAlignment="1">
      <alignment horizontal="center"/>
    </xf>
    <xf numFmtId="0" fontId="12" fillId="0" borderId="4" xfId="0" applyFont="1" applyFill="1" applyBorder="1"/>
    <xf numFmtId="0" fontId="12" fillId="0" borderId="7" xfId="0" applyFont="1" applyFill="1" applyBorder="1"/>
    <xf numFmtId="0" fontId="12" fillId="0" borderId="9" xfId="0" applyFont="1" applyFill="1" applyBorder="1"/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13" fillId="0" borderId="0" xfId="0" applyFo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14" xfId="0" applyBorder="1"/>
    <xf numFmtId="164" fontId="0" fillId="0" borderId="4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2" fontId="0" fillId="0" borderId="20" xfId="0" applyNumberFormat="1" applyBorder="1"/>
    <xf numFmtId="0" fontId="11" fillId="2" borderId="21" xfId="0" applyFont="1" applyFill="1" applyBorder="1"/>
    <xf numFmtId="0" fontId="2" fillId="0" borderId="14" xfId="0" applyFont="1" applyBorder="1"/>
    <xf numFmtId="2" fontId="0" fillId="0" borderId="14" xfId="0" applyNumberFormat="1" applyFill="1" applyBorder="1"/>
    <xf numFmtId="2" fontId="0" fillId="0" borderId="15" xfId="0" applyNumberFormat="1" applyFill="1" applyBorder="1"/>
    <xf numFmtId="2" fontId="0" fillId="0" borderId="16" xfId="0" applyNumberFormat="1" applyFill="1" applyBorder="1"/>
    <xf numFmtId="168" fontId="0" fillId="0" borderId="20" xfId="0" applyNumberFormat="1" applyBorder="1"/>
    <xf numFmtId="0" fontId="0" fillId="0" borderId="20" xfId="0" applyBorder="1"/>
    <xf numFmtId="0" fontId="10" fillId="2" borderId="20" xfId="0" applyFont="1" applyFill="1" applyBorder="1"/>
    <xf numFmtId="0" fontId="16" fillId="2" borderId="20" xfId="0" applyFont="1" applyFill="1" applyBorder="1"/>
    <xf numFmtId="0" fontId="12" fillId="0" borderId="0" xfId="0" applyFont="1"/>
    <xf numFmtId="0" fontId="17" fillId="0" borderId="0" xfId="0" applyFont="1"/>
    <xf numFmtId="3" fontId="0" fillId="0" borderId="0" xfId="0" applyNumberFormat="1" applyAlignment="1">
      <alignment horizontal="right" indent="1"/>
    </xf>
    <xf numFmtId="3" fontId="10" fillId="2" borderId="20" xfId="0" applyNumberFormat="1" applyFont="1" applyFill="1" applyBorder="1" applyAlignment="1">
      <alignment horizontal="right" indent="1"/>
    </xf>
    <xf numFmtId="3" fontId="10" fillId="2" borderId="20" xfId="1" applyNumberFormat="1" applyFont="1" applyFill="1" applyBorder="1" applyAlignment="1">
      <alignment horizontal="right" indent="1"/>
    </xf>
    <xf numFmtId="3" fontId="0" fillId="0" borderId="0" xfId="0" applyNumberFormat="1" applyFill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4" fontId="0" fillId="0" borderId="20" xfId="0" applyNumberFormat="1" applyBorder="1" applyAlignment="1">
      <alignment horizontal="right" indent="1"/>
    </xf>
    <xf numFmtId="169" fontId="0" fillId="0" borderId="20" xfId="0" applyNumberFormat="1" applyBorder="1" applyAlignment="1">
      <alignment horizontal="right" indent="1"/>
    </xf>
    <xf numFmtId="169" fontId="0" fillId="0" borderId="0" xfId="0" applyNumberFormat="1" applyBorder="1" applyAlignment="1">
      <alignment horizontal="right" indent="1"/>
    </xf>
    <xf numFmtId="3" fontId="0" fillId="0" borderId="0" xfId="0" applyNumberFormat="1" applyFill="1" applyAlignment="1">
      <alignment horizontal="right" indent="1"/>
    </xf>
    <xf numFmtId="0" fontId="18" fillId="0" borderId="0" xfId="0" applyFont="1" applyFill="1"/>
    <xf numFmtId="0" fontId="0" fillId="3" borderId="0" xfId="0" applyFill="1"/>
    <xf numFmtId="3" fontId="0" fillId="3" borderId="0" xfId="0" applyNumberFormat="1" applyFill="1" applyAlignment="1">
      <alignment horizontal="right" indent="1"/>
    </xf>
    <xf numFmtId="0" fontId="20" fillId="0" borderId="0" xfId="0" applyFont="1" applyAlignment="1">
      <alignment vertical="center"/>
    </xf>
    <xf numFmtId="4" fontId="11" fillId="2" borderId="20" xfId="0" applyNumberFormat="1" applyFont="1" applyFill="1" applyBorder="1" applyAlignment="1">
      <alignment horizontal="right" indent="1"/>
    </xf>
    <xf numFmtId="0" fontId="0" fillId="0" borderId="4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1" xfId="0" applyFill="1" applyBorder="1"/>
    <xf numFmtId="164" fontId="0" fillId="0" borderId="14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13" fillId="0" borderId="10" xfId="0" applyFont="1" applyBorder="1"/>
    <xf numFmtId="0" fontId="13" fillId="0" borderId="10" xfId="0" applyFon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4" fontId="0" fillId="0" borderId="18" xfId="0" applyNumberFormat="1" applyBorder="1" applyAlignment="1">
      <alignment horizontal="right"/>
    </xf>
    <xf numFmtId="164" fontId="0" fillId="0" borderId="19" xfId="0" applyNumberFormat="1" applyBorder="1" applyAlignment="1">
      <alignment horizontal="right"/>
    </xf>
    <xf numFmtId="0" fontId="18" fillId="0" borderId="0" xfId="0" applyFont="1" applyAlignment="1">
      <alignment horizontal="right" indent="1"/>
    </xf>
    <xf numFmtId="0" fontId="13" fillId="0" borderId="0" xfId="0" applyFont="1" applyAlignment="1">
      <alignment horizontal="right"/>
    </xf>
    <xf numFmtId="0" fontId="21" fillId="0" borderId="23" xfId="0" applyFont="1" applyBorder="1" applyAlignment="1">
      <alignment horizontal="center" vertical="center" wrapText="1"/>
    </xf>
    <xf numFmtId="8" fontId="22" fillId="4" borderId="0" xfId="0" applyNumberFormat="1" applyFont="1" applyFill="1" applyBorder="1" applyAlignment="1">
      <alignment horizontal="center" vertical="center"/>
    </xf>
    <xf numFmtId="8" fontId="21" fillId="4" borderId="24" xfId="0" applyNumberFormat="1" applyFont="1" applyFill="1" applyBorder="1" applyAlignment="1">
      <alignment horizontal="center" vertical="center"/>
    </xf>
    <xf numFmtId="0" fontId="21" fillId="0" borderId="25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2" fillId="4" borderId="27" xfId="0" applyFont="1" applyFill="1" applyBorder="1" applyAlignment="1">
      <alignment horizontal="center" vertical="center" wrapText="1"/>
    </xf>
    <xf numFmtId="0" fontId="22" fillId="4" borderId="28" xfId="0" applyFont="1" applyFill="1" applyBorder="1" applyAlignment="1">
      <alignment horizontal="center" vertical="center"/>
    </xf>
    <xf numFmtId="0" fontId="21" fillId="4" borderId="29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3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2" fontId="0" fillId="0" borderId="32" xfId="0" applyNumberFormat="1" applyBorder="1" applyAlignment="1">
      <alignment horizontal="right"/>
    </xf>
    <xf numFmtId="2" fontId="0" fillId="0" borderId="34" xfId="0" applyNumberFormat="1" applyBorder="1" applyAlignment="1">
      <alignment horizontal="right"/>
    </xf>
    <xf numFmtId="2" fontId="0" fillId="0" borderId="36" xfId="0" applyNumberFormat="1" applyBorder="1" applyAlignment="1">
      <alignment horizontal="right"/>
    </xf>
    <xf numFmtId="0" fontId="2" fillId="0" borderId="31" xfId="0" applyFont="1" applyBorder="1"/>
    <xf numFmtId="0" fontId="2" fillId="0" borderId="31" xfId="0" applyFont="1" applyBorder="1" applyAlignment="1">
      <alignment horizontal="right"/>
    </xf>
    <xf numFmtId="0" fontId="2" fillId="0" borderId="32" xfId="0" applyFont="1" applyBorder="1" applyAlignment="1">
      <alignment horizontal="right"/>
    </xf>
    <xf numFmtId="0" fontId="2" fillId="0" borderId="37" xfId="0" applyFont="1" applyBorder="1"/>
    <xf numFmtId="0" fontId="0" fillId="0" borderId="40" xfId="0" applyBorder="1"/>
    <xf numFmtId="164" fontId="11" fillId="2" borderId="20" xfId="0" applyNumberFormat="1" applyFont="1" applyFill="1" applyBorder="1"/>
    <xf numFmtId="0" fontId="0" fillId="0" borderId="39" xfId="0" applyBorder="1"/>
    <xf numFmtId="0" fontId="24" fillId="3" borderId="0" xfId="0" applyFont="1" applyFill="1"/>
    <xf numFmtId="0" fontId="19" fillId="0" borderId="0" xfId="0" applyFont="1" applyFill="1"/>
    <xf numFmtId="0" fontId="18" fillId="5" borderId="0" xfId="0" applyFont="1" applyFill="1"/>
    <xf numFmtId="3" fontId="0" fillId="5" borderId="0" xfId="0" applyNumberFormat="1" applyFont="1" applyFill="1" applyAlignment="1">
      <alignment horizontal="right" indent="1"/>
    </xf>
    <xf numFmtId="0" fontId="0" fillId="5" borderId="0" xfId="0" applyFont="1" applyFill="1"/>
    <xf numFmtId="0" fontId="0" fillId="5" borderId="0" xfId="0" applyFill="1"/>
    <xf numFmtId="0" fontId="24" fillId="5" borderId="0" xfId="0" applyFont="1" applyFill="1"/>
    <xf numFmtId="0" fontId="10" fillId="0" borderId="22" xfId="0" applyFont="1" applyFill="1" applyBorder="1"/>
    <xf numFmtId="0" fontId="16" fillId="0" borderId="0" xfId="0" applyFont="1" applyFill="1" applyBorder="1"/>
    <xf numFmtId="0" fontId="23" fillId="6" borderId="0" xfId="0" applyFont="1" applyFill="1"/>
    <xf numFmtId="0" fontId="23" fillId="7" borderId="0" xfId="0" applyFont="1" applyFill="1"/>
    <xf numFmtId="49" fontId="0" fillId="0" borderId="0" xfId="0" applyNumberFormat="1" applyFont="1"/>
    <xf numFmtId="3" fontId="0" fillId="0" borderId="0" xfId="0" applyNumberFormat="1"/>
    <xf numFmtId="2" fontId="11" fillId="2" borderId="21" xfId="0" applyNumberFormat="1" applyFont="1" applyFill="1" applyBorder="1"/>
    <xf numFmtId="170" fontId="11" fillId="2" borderId="20" xfId="1" applyNumberFormat="1" applyFont="1" applyFill="1" applyBorder="1" applyAlignment="1">
      <alignment horizontal="right" indent="1"/>
    </xf>
    <xf numFmtId="4" fontId="0" fillId="0" borderId="0" xfId="0" applyNumberFormat="1"/>
    <xf numFmtId="2" fontId="0" fillId="0" borderId="14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0" borderId="16" xfId="0" applyNumberFormat="1" applyBorder="1" applyAlignment="1">
      <alignment horizontal="right"/>
    </xf>
    <xf numFmtId="0" fontId="11" fillId="2" borderId="20" xfId="0" applyFont="1" applyFill="1" applyBorder="1"/>
    <xf numFmtId="170" fontId="11" fillId="0" borderId="0" xfId="1" applyNumberFormat="1" applyFont="1" applyFill="1" applyBorder="1" applyAlignment="1">
      <alignment horizontal="right" indent="1"/>
    </xf>
    <xf numFmtId="4" fontId="11" fillId="0" borderId="0" xfId="0" applyNumberFormat="1" applyFont="1" applyFill="1" applyBorder="1" applyAlignment="1">
      <alignment horizontal="right" indent="1"/>
    </xf>
    <xf numFmtId="0" fontId="25" fillId="0" borderId="0" xfId="0" applyFont="1"/>
    <xf numFmtId="3" fontId="10" fillId="0" borderId="22" xfId="0" applyNumberFormat="1" applyFont="1" applyFill="1" applyBorder="1" applyAlignment="1">
      <alignment horizontal="right" indent="1"/>
    </xf>
    <xf numFmtId="3" fontId="1" fillId="0" borderId="20" xfId="1" applyNumberFormat="1" applyFont="1" applyFill="1" applyBorder="1" applyAlignment="1">
      <alignment horizontal="right" indent="1"/>
    </xf>
    <xf numFmtId="3" fontId="10" fillId="0" borderId="0" xfId="0" applyNumberFormat="1" applyFont="1" applyFill="1" applyBorder="1" applyAlignment="1">
      <alignment horizontal="right" indent="1"/>
    </xf>
    <xf numFmtId="4" fontId="10" fillId="2" borderId="20" xfId="1" applyNumberFormat="1" applyFont="1" applyFill="1" applyBorder="1" applyAlignment="1">
      <alignment horizontal="right" indent="1"/>
    </xf>
    <xf numFmtId="4" fontId="10" fillId="2" borderId="20" xfId="0" applyNumberFormat="1" applyFont="1" applyFill="1" applyBorder="1" applyAlignment="1">
      <alignment horizontal="right" indent="1"/>
    </xf>
    <xf numFmtId="170" fontId="10" fillId="2" borderId="20" xfId="0" applyNumberFormat="1" applyFont="1" applyFill="1" applyBorder="1" applyAlignment="1">
      <alignment horizontal="right" indent="1"/>
    </xf>
    <xf numFmtId="4" fontId="0" fillId="0" borderId="37" xfId="0" applyNumberFormat="1" applyBorder="1" applyAlignment="1">
      <alignment horizontal="right" indent="1"/>
    </xf>
    <xf numFmtId="0" fontId="18" fillId="0" borderId="0" xfId="0" applyFont="1" applyBorder="1" applyAlignment="1">
      <alignment horizontal="right" vertical="center" wrapText="1" indent="1"/>
    </xf>
    <xf numFmtId="0" fontId="0" fillId="0" borderId="5" xfId="0" applyBorder="1" applyAlignment="1">
      <alignment horizontal="right"/>
    </xf>
    <xf numFmtId="0" fontId="2" fillId="0" borderId="0" xfId="0" applyFont="1" applyAlignment="1">
      <alignment vertical="center" wrapText="1"/>
    </xf>
    <xf numFmtId="0" fontId="0" fillId="0" borderId="31" xfId="0" applyFont="1" applyBorder="1" applyAlignment="1">
      <alignment horizontal="right"/>
    </xf>
    <xf numFmtId="2" fontId="0" fillId="0" borderId="32" xfId="0" applyNumberFormat="1" applyFont="1" applyBorder="1" applyAlignment="1">
      <alignment horizontal="right"/>
    </xf>
    <xf numFmtId="0" fontId="0" fillId="0" borderId="33" xfId="0" applyFont="1" applyFill="1" applyBorder="1" applyAlignment="1">
      <alignment horizontal="right"/>
    </xf>
    <xf numFmtId="2" fontId="0" fillId="0" borderId="34" xfId="0" applyNumberFormat="1" applyFont="1" applyFill="1" applyBorder="1" applyAlignment="1">
      <alignment horizontal="right"/>
    </xf>
    <xf numFmtId="0" fontId="0" fillId="0" borderId="35" xfId="0" applyFont="1" applyFill="1" applyBorder="1" applyAlignment="1">
      <alignment horizontal="right"/>
    </xf>
    <xf numFmtId="2" fontId="0" fillId="0" borderId="36" xfId="0" applyNumberFormat="1" applyFont="1" applyFill="1" applyBorder="1" applyAlignment="1">
      <alignment horizontal="right"/>
    </xf>
    <xf numFmtId="0" fontId="18" fillId="0" borderId="8" xfId="0" applyFont="1" applyBorder="1" applyAlignment="1">
      <alignment horizontal="right" vertical="center" wrapText="1" indent="1"/>
    </xf>
    <xf numFmtId="2" fontId="11" fillId="2" borderId="20" xfId="0" applyNumberFormat="1" applyFont="1" applyFill="1" applyBorder="1"/>
    <xf numFmtId="0" fontId="10" fillId="2" borderId="8" xfId="0" applyFont="1" applyFill="1" applyBorder="1"/>
    <xf numFmtId="0" fontId="0" fillId="0" borderId="12" xfId="0" applyBorder="1"/>
    <xf numFmtId="2" fontId="0" fillId="0" borderId="43" xfId="0" applyNumberFormat="1" applyBorder="1" applyAlignment="1">
      <alignment horizontal="right"/>
    </xf>
    <xf numFmtId="2" fontId="10" fillId="2" borderId="21" xfId="0" applyNumberFormat="1" applyFont="1" applyFill="1" applyBorder="1"/>
    <xf numFmtId="164" fontId="0" fillId="0" borderId="0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0" fontId="27" fillId="0" borderId="0" xfId="0" applyFont="1"/>
    <xf numFmtId="0" fontId="28" fillId="0" borderId="0" xfId="0" applyFont="1" applyFill="1" applyBorder="1"/>
    <xf numFmtId="0" fontId="0" fillId="0" borderId="44" xfId="0" applyBorder="1"/>
    <xf numFmtId="168" fontId="10" fillId="2" borderId="21" xfId="0" applyNumberFormat="1" applyFont="1" applyFill="1" applyBorder="1" applyProtection="1">
      <protection locked="0"/>
    </xf>
    <xf numFmtId="0" fontId="2" fillId="0" borderId="0" xfId="0" applyFont="1" applyFill="1" applyBorder="1"/>
    <xf numFmtId="167" fontId="0" fillId="0" borderId="0" xfId="0" applyNumberFormat="1"/>
    <xf numFmtId="164" fontId="0" fillId="0" borderId="0" xfId="0" applyNumberFormat="1"/>
    <xf numFmtId="0" fontId="0" fillId="8" borderId="0" xfId="0" applyFill="1"/>
    <xf numFmtId="0" fontId="0" fillId="9" borderId="0" xfId="0" applyFill="1"/>
    <xf numFmtId="167" fontId="0" fillId="9" borderId="0" xfId="0" applyNumberFormat="1" applyFill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4" fillId="5" borderId="41" xfId="0" applyFont="1" applyFill="1" applyBorder="1" applyAlignment="1">
      <alignment horizontal="center"/>
    </xf>
    <xf numFmtId="0" fontId="15" fillId="5" borderId="41" xfId="0" applyFont="1" applyFill="1" applyBorder="1" applyAlignment="1">
      <alignment horizontal="center"/>
    </xf>
    <xf numFmtId="0" fontId="14" fillId="0" borderId="42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8" xfId="0" applyFont="1" applyBorder="1" applyAlignment="1">
      <alignment horizontal="right" vertical="center" wrapText="1" indent="1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6">
    <cellStyle name="Comma" xfId="1" builtinId="3"/>
    <cellStyle name="Currency" xfId="2" builtinId="4"/>
    <cellStyle name="Currency 2" xfId="4" xr:uid="{00000000-0005-0000-0000-000002000000}"/>
    <cellStyle name="Hyperlink" xfId="5" builtinId="8"/>
    <cellStyle name="Normal" xfId="0" builtinId="0"/>
    <cellStyle name="Normal 2" xfId="3" xr:uid="{00000000-0005-0000-0000-000005000000}"/>
  </cellStyles>
  <dxfs count="13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Reliability Ratio </a:t>
            </a:r>
            <a:r>
              <a:rPr lang="en-US" b="0">
                <a:solidFill>
                  <a:schemeClr val="tx1"/>
                </a:solidFill>
              </a:rPr>
              <a:t>(VOR/VOT) v.</a:t>
            </a:r>
            <a:r>
              <a:rPr lang="en-US" b="0" baseline="0">
                <a:solidFill>
                  <a:schemeClr val="tx1"/>
                </a:solidFill>
              </a:rPr>
              <a:t> </a:t>
            </a:r>
            <a:r>
              <a:rPr lang="en-US" b="1" baseline="0">
                <a:solidFill>
                  <a:schemeClr val="tx1"/>
                </a:solidFill>
              </a:rPr>
              <a:t>Distance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407207870945953"/>
          <c:y val="2.266113320886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6805267762582"/>
          <c:y val="0.1623927807993073"/>
          <c:w val="0.86632208254669918"/>
          <c:h val="0.66098168141353453"/>
        </c:manualLayout>
      </c:layout>
      <c:scatterChart>
        <c:scatterStyle val="lineMarker"/>
        <c:varyColors val="0"/>
        <c:ser>
          <c:idx val="0"/>
          <c:order val="0"/>
          <c:tx>
            <c:v>Reliability Ratio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'(Input) Reliability'!$T$3:$T$162</c:f>
              <c:numCache>
                <c:formatCode>General</c:formatCode>
                <c:ptCount val="16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</c:numCache>
            </c:numRef>
          </c:xVal>
          <c:yVal>
            <c:numRef>
              <c:f>'(Input) Reliability'!$U$3:$U$162</c:f>
              <c:numCache>
                <c:formatCode>0.0</c:formatCode>
                <c:ptCount val="1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2.88</c:v>
                </c:pt>
                <c:pt idx="20">
                  <c:v>2.7428571428571429</c:v>
                </c:pt>
                <c:pt idx="21">
                  <c:v>2.6181818181818182</c:v>
                </c:pt>
                <c:pt idx="22">
                  <c:v>2.5043478260869567</c:v>
                </c:pt>
                <c:pt idx="23">
                  <c:v>2.4</c:v>
                </c:pt>
                <c:pt idx="24">
                  <c:v>2.3040000000000003</c:v>
                </c:pt>
                <c:pt idx="25">
                  <c:v>2.2153846153846155</c:v>
                </c:pt>
                <c:pt idx="26">
                  <c:v>2.1333333333333333</c:v>
                </c:pt>
                <c:pt idx="27">
                  <c:v>2.0571428571428574</c:v>
                </c:pt>
                <c:pt idx="28">
                  <c:v>1.9862068965517241</c:v>
                </c:pt>
                <c:pt idx="29">
                  <c:v>1.9200000000000002</c:v>
                </c:pt>
                <c:pt idx="30">
                  <c:v>1.8580645161290323</c:v>
                </c:pt>
                <c:pt idx="31">
                  <c:v>1.8</c:v>
                </c:pt>
                <c:pt idx="32">
                  <c:v>1.7454545454545456</c:v>
                </c:pt>
                <c:pt idx="33">
                  <c:v>1.6941176470588235</c:v>
                </c:pt>
                <c:pt idx="34">
                  <c:v>1.6457142857142857</c:v>
                </c:pt>
                <c:pt idx="35">
                  <c:v>1.6</c:v>
                </c:pt>
                <c:pt idx="36">
                  <c:v>1.5567567567567568</c:v>
                </c:pt>
                <c:pt idx="37">
                  <c:v>1.5157894736842106</c:v>
                </c:pt>
                <c:pt idx="38">
                  <c:v>1.476923076923077</c:v>
                </c:pt>
                <c:pt idx="39">
                  <c:v>1.44</c:v>
                </c:pt>
                <c:pt idx="40">
                  <c:v>1.4048780487804879</c:v>
                </c:pt>
                <c:pt idx="41">
                  <c:v>1.3714285714285714</c:v>
                </c:pt>
                <c:pt idx="42">
                  <c:v>1.3395348837209302</c:v>
                </c:pt>
                <c:pt idx="43">
                  <c:v>1.3090909090909091</c:v>
                </c:pt>
                <c:pt idx="44">
                  <c:v>1.28</c:v>
                </c:pt>
                <c:pt idx="45">
                  <c:v>1.2521739130434784</c:v>
                </c:pt>
                <c:pt idx="46">
                  <c:v>1.225531914893617</c:v>
                </c:pt>
                <c:pt idx="47">
                  <c:v>1.2</c:v>
                </c:pt>
                <c:pt idx="48">
                  <c:v>1.1755102040816328</c:v>
                </c:pt>
                <c:pt idx="49">
                  <c:v>1.1520000000000001</c:v>
                </c:pt>
                <c:pt idx="50">
                  <c:v>1.1294117647058823</c:v>
                </c:pt>
                <c:pt idx="51">
                  <c:v>1.1076923076923078</c:v>
                </c:pt>
                <c:pt idx="52">
                  <c:v>1.0867924528301887</c:v>
                </c:pt>
                <c:pt idx="53">
                  <c:v>1.0666666666666667</c:v>
                </c:pt>
                <c:pt idx="54">
                  <c:v>1.0472727272727274</c:v>
                </c:pt>
                <c:pt idx="55">
                  <c:v>1.0285714285714287</c:v>
                </c:pt>
                <c:pt idx="56">
                  <c:v>1.0105263157894737</c:v>
                </c:pt>
                <c:pt idx="57">
                  <c:v>0.99310344827586206</c:v>
                </c:pt>
                <c:pt idx="58">
                  <c:v>0.97627118644067801</c:v>
                </c:pt>
                <c:pt idx="59">
                  <c:v>0.96000000000000008</c:v>
                </c:pt>
                <c:pt idx="60">
                  <c:v>0.94426229508196724</c:v>
                </c:pt>
                <c:pt idx="61">
                  <c:v>0.92903225806451617</c:v>
                </c:pt>
                <c:pt idx="62">
                  <c:v>0.91428571428571426</c:v>
                </c:pt>
                <c:pt idx="63">
                  <c:v>0.9</c:v>
                </c:pt>
                <c:pt idx="64">
                  <c:v>0.88615384615384618</c:v>
                </c:pt>
                <c:pt idx="65">
                  <c:v>0.8727272727272728</c:v>
                </c:pt>
                <c:pt idx="66">
                  <c:v>0.85970149253731343</c:v>
                </c:pt>
                <c:pt idx="67">
                  <c:v>0.84705882352941175</c:v>
                </c:pt>
                <c:pt idx="68">
                  <c:v>0.83478260869565224</c:v>
                </c:pt>
                <c:pt idx="69">
                  <c:v>0.82285714285714284</c:v>
                </c:pt>
                <c:pt idx="70">
                  <c:v>0.81126760563380285</c:v>
                </c:pt>
                <c:pt idx="71">
                  <c:v>0.8</c:v>
                </c:pt>
                <c:pt idx="72">
                  <c:v>0.78904109589041094</c:v>
                </c:pt>
                <c:pt idx="73">
                  <c:v>0.77837837837837842</c:v>
                </c:pt>
                <c:pt idx="74">
                  <c:v>0.76800000000000002</c:v>
                </c:pt>
                <c:pt idx="75">
                  <c:v>0.75789473684210529</c:v>
                </c:pt>
                <c:pt idx="76">
                  <c:v>0.74805194805194808</c:v>
                </c:pt>
                <c:pt idx="77">
                  <c:v>0.7384615384615385</c:v>
                </c:pt>
                <c:pt idx="78">
                  <c:v>0.72911392405063291</c:v>
                </c:pt>
                <c:pt idx="79">
                  <c:v>0.72</c:v>
                </c:pt>
                <c:pt idx="80">
                  <c:v>0.71111111111111114</c:v>
                </c:pt>
                <c:pt idx="81">
                  <c:v>0.70243902439024397</c:v>
                </c:pt>
                <c:pt idx="82">
                  <c:v>0.69397590361445782</c:v>
                </c:pt>
                <c:pt idx="83">
                  <c:v>0.68571428571428572</c:v>
                </c:pt>
                <c:pt idx="84">
                  <c:v>0.67764705882352938</c:v>
                </c:pt>
                <c:pt idx="85">
                  <c:v>0.66976744186046511</c:v>
                </c:pt>
                <c:pt idx="86">
                  <c:v>0.66206896551724137</c:v>
                </c:pt>
                <c:pt idx="87">
                  <c:v>0.65454545454545454</c:v>
                </c:pt>
                <c:pt idx="88">
                  <c:v>0.64719101123595513</c:v>
                </c:pt>
                <c:pt idx="89">
                  <c:v>0.64</c:v>
                </c:pt>
                <c:pt idx="90">
                  <c:v>0.63296703296703294</c:v>
                </c:pt>
                <c:pt idx="91">
                  <c:v>0.62608695652173918</c:v>
                </c:pt>
                <c:pt idx="92">
                  <c:v>0.61935483870967745</c:v>
                </c:pt>
                <c:pt idx="93">
                  <c:v>0.61276595744680851</c:v>
                </c:pt>
                <c:pt idx="94">
                  <c:v>0.60631578947368425</c:v>
                </c:pt>
                <c:pt idx="95">
                  <c:v>0.6</c:v>
                </c:pt>
                <c:pt idx="96">
                  <c:v>0.59381443298969072</c:v>
                </c:pt>
                <c:pt idx="97">
                  <c:v>0.58775510204081638</c:v>
                </c:pt>
                <c:pt idx="98">
                  <c:v>0.58181818181818179</c:v>
                </c:pt>
                <c:pt idx="99">
                  <c:v>0.57600000000000007</c:v>
                </c:pt>
                <c:pt idx="100">
                  <c:v>0.57029702970297036</c:v>
                </c:pt>
                <c:pt idx="101">
                  <c:v>0.56470588235294117</c:v>
                </c:pt>
                <c:pt idx="102">
                  <c:v>0.5592233009708738</c:v>
                </c:pt>
                <c:pt idx="103">
                  <c:v>0.55384615384615388</c:v>
                </c:pt>
                <c:pt idx="104">
                  <c:v>0.5485714285714286</c:v>
                </c:pt>
                <c:pt idx="105">
                  <c:v>0.54339622641509433</c:v>
                </c:pt>
                <c:pt idx="106">
                  <c:v>0.53831775700934581</c:v>
                </c:pt>
                <c:pt idx="107">
                  <c:v>0.53333333333333333</c:v>
                </c:pt>
                <c:pt idx="108">
                  <c:v>0.52844036697247709</c:v>
                </c:pt>
                <c:pt idx="109">
                  <c:v>0.52363636363636368</c:v>
                </c:pt>
                <c:pt idx="110">
                  <c:v>0.51891891891891895</c:v>
                </c:pt>
                <c:pt idx="111">
                  <c:v>0.51428571428571435</c:v>
                </c:pt>
                <c:pt idx="112">
                  <c:v>0.50973451327433628</c:v>
                </c:pt>
                <c:pt idx="113">
                  <c:v>0.50526315789473686</c:v>
                </c:pt>
                <c:pt idx="114">
                  <c:v>0.50086956521739134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2-4994-AA23-93E0C56558E0}"/>
            </c:ext>
          </c:extLst>
        </c:ser>
        <c:ser>
          <c:idx val="1"/>
          <c:order val="1"/>
          <c:tx>
            <c:v>Base Reliability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34925">
                <a:solidFill>
                  <a:srgbClr val="FFC000"/>
                </a:solidFill>
              </a:ln>
              <a:effectLst/>
            </c:spPr>
          </c:marker>
          <c:xVal>
            <c:numRef>
              <c:f>'(Input) Reliability'!$X$3</c:f>
              <c:numCache>
                <c:formatCode>General</c:formatCode>
                <c:ptCount val="1"/>
                <c:pt idx="0">
                  <c:v>7.2</c:v>
                </c:pt>
              </c:numCache>
            </c:numRef>
          </c:xVal>
          <c:yVal>
            <c:numRef>
              <c:f>'(Input) Reliability'!$Y$3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2-4994-AA23-93E0C56558E0}"/>
            </c:ext>
          </c:extLst>
        </c:ser>
        <c:ser>
          <c:idx val="2"/>
          <c:order val="2"/>
          <c:tx>
            <c:v>Reliability Ratio for Study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4925">
                <a:solidFill>
                  <a:srgbClr val="FF0000"/>
                </a:solidFill>
              </a:ln>
              <a:effectLst/>
            </c:spPr>
          </c:marker>
          <c:xVal>
            <c:numRef>
              <c:f>'(Input) Reliability'!$X$4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'(Input) Reliability'!$Y$4</c:f>
              <c:numCache>
                <c:formatCode>0.0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2-4994-AA23-93E0C5655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32496"/>
        <c:axId val="587537200"/>
      </c:scatterChart>
      <c:valAx>
        <c:axId val="58753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MILES</a:t>
                </a:r>
              </a:p>
            </c:rich>
          </c:tx>
          <c:layout>
            <c:manualLayout>
              <c:xMode val="edge"/>
              <c:yMode val="edge"/>
              <c:x val="0.46166843179690265"/>
              <c:y val="0.91750412641718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37200"/>
        <c:crosses val="autoZero"/>
        <c:crossBetween val="midCat"/>
      </c:valAx>
      <c:valAx>
        <c:axId val="5875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VOR/VOT</a:t>
                </a:r>
              </a:p>
            </c:rich>
          </c:tx>
          <c:layout>
            <c:manualLayout>
              <c:xMode val="edge"/>
              <c:yMode val="edge"/>
              <c:x val="1.7543859649122806E-2"/>
              <c:y val="0.41341626755418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3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23467022762509"/>
          <c:y val="0.19025631055377337"/>
          <c:w val="0.25087427668032725"/>
          <c:h val="0.23076212695635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 Weights (with LOS F Weights)</a:t>
            </a:r>
          </a:p>
        </c:rich>
      </c:tx>
      <c:layout>
        <c:manualLayout>
          <c:xMode val="edge"/>
          <c:yMode val="edge"/>
          <c:x val="0.2333985783646732"/>
          <c:y val="2.3511855825456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1055591108408"/>
          <c:y val="0.13581713633987549"/>
          <c:w val="0.85667020709954256"/>
          <c:h val="0.63730219075226913"/>
        </c:manualLayout>
      </c:layout>
      <c:scatterChart>
        <c:scatterStyle val="lineMarker"/>
        <c:varyColors val="0"/>
        <c:ser>
          <c:idx val="1"/>
          <c:order val="0"/>
          <c:tx>
            <c:v>Modeled Weight</c:v>
          </c:tx>
          <c:spPr>
            <a:ln w="349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'(Input) Perceived Time'!$Z$5:$Z$164</c:f>
              <c:numCache>
                <c:formatCode>General</c:formatCode>
                <c:ptCount val="1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</c:numCache>
            </c:numRef>
          </c:xVal>
          <c:yVal>
            <c:numRef>
              <c:f>'(Input) Perceived Time'!$AA$5:$AA$164</c:f>
              <c:numCache>
                <c:formatCode>General</c:formatCode>
                <c:ptCount val="160"/>
                <c:pt idx="0">
                  <c:v>1.0000176259899007</c:v>
                </c:pt>
                <c:pt idx="1">
                  <c:v>1.0000202076572051</c:v>
                </c:pt>
                <c:pt idx="2">
                  <c:v>1.0000231674158386</c:v>
                </c:pt>
                <c:pt idx="3">
                  <c:v>1.0000265606244059</c:v>
                </c:pt>
                <c:pt idx="4">
                  <c:v>1.0000304507425648</c:v>
                </c:pt>
                <c:pt idx="5">
                  <c:v>1.0000349105151567</c:v>
                </c:pt>
                <c:pt idx="6">
                  <c:v>1.0000400233289901</c:v>
                </c:pt>
                <c:pt idx="7">
                  <c:v>1.0000458847673224</c:v>
                </c:pt>
                <c:pt idx="8">
                  <c:v>1.000052604390665</c:v>
                </c:pt>
                <c:pt idx="9">
                  <c:v>1.0000603077766352</c:v>
                </c:pt>
                <c:pt idx="10">
                  <c:v>1.0000691388562257</c:v>
                </c:pt>
                <c:pt idx="11">
                  <c:v>1.0000792625891708</c:v>
                </c:pt>
                <c:pt idx="12">
                  <c:v>1.0000908680270924</c:v>
                </c:pt>
                <c:pt idx="13">
                  <c:v>1.0001041718199428</c:v>
                </c:pt>
                <c:pt idx="14">
                  <c:v>1.0001194222289862</c:v>
                </c:pt>
                <c:pt idx="15">
                  <c:v>1.0001369037182892</c:v>
                </c:pt>
                <c:pt idx="16">
                  <c:v>1.0001569422065528</c:v>
                </c:pt>
                <c:pt idx="17">
                  <c:v>1.000179911072173</c:v>
                </c:pt>
                <c:pt idx="18">
                  <c:v>1.0002062380168495</c:v>
                </c:pt>
                <c:pt idx="19">
                  <c:v>1.0002364129069117</c:v>
                </c:pt>
                <c:pt idx="20">
                  <c:v>1.0002709967269348</c:v>
                </c:pt>
                <c:pt idx="21">
                  <c:v>1.000310631797261</c:v>
                </c:pt>
                <c:pt idx="22">
                  <c:v>1.0003560534257212</c:v>
                </c:pt>
                <c:pt idx="23">
                  <c:v>1.000408103184216</c:v>
                </c:pt>
                <c:pt idx="24">
                  <c:v>1.0004677440227474</c:v>
                </c:pt>
                <c:pt idx="25">
                  <c:v>1.0005360774567951</c:v>
                </c:pt>
                <c:pt idx="26">
                  <c:v>1.0006143630882922</c:v>
                </c:pt>
                <c:pt idx="27">
                  <c:v>1.0007040407452843</c:v>
                </c:pt>
                <c:pt idx="28">
                  <c:v>1.0008067555498321</c:v>
                </c:pt>
                <c:pt idx="29">
                  <c:v>1.0009243862466448</c:v>
                </c:pt>
                <c:pt idx="30">
                  <c:v>1.0010590771445607</c:v>
                </c:pt>
                <c:pt idx="31">
                  <c:v>1.0012132740370017</c:v>
                </c:pt>
                <c:pt idx="32">
                  <c:v>1.0013897644727052</c:v>
                </c:pt>
                <c:pt idx="33">
                  <c:v>1.0015917227401225</c:v>
                </c:pt>
                <c:pt idx="34">
                  <c:v>1.0018227599022789</c:v>
                </c:pt>
                <c:pt idx="35">
                  <c:v>1.0020869791663447</c:v>
                </c:pt>
                <c:pt idx="36">
                  <c:v>1.0023890367844122</c:v>
                </c:pt>
                <c:pt idx="37">
                  <c:v>1.0027342085473072</c:v>
                </c:pt>
                <c:pt idx="38">
                  <c:v>1.0031284617372453</c:v>
                </c:pt>
                <c:pt idx="39">
                  <c:v>1.0035785321301476</c:v>
                </c:pt>
                <c:pt idx="40">
                  <c:v>1.00409200526363</c:v>
                </c:pt>
                <c:pt idx="41">
                  <c:v>1.0046774006879327</c:v>
                </c:pt>
                <c:pt idx="42">
                  <c:v>1.0053442572676887</c:v>
                </c:pt>
                <c:pt idx="43">
                  <c:v>1.0061032167743897</c:v>
                </c:pt>
                <c:pt idx="44">
                  <c:v>1.0069661019758092</c:v>
                </c:pt>
                <c:pt idx="45">
                  <c:v>1.0079459841678335</c:v>
                </c:pt>
                <c:pt idx="46">
                  <c:v>1.0090572335958559</c:v>
                </c:pt>
                <c:pt idx="47">
                  <c:v>1.0103155444873746</c:v>
                </c:pt>
                <c:pt idx="48">
                  <c:v>1.0117379245076292</c:v>
                </c:pt>
                <c:pt idx="49">
                  <c:v>1.013342636447526</c:v>
                </c:pt>
                <c:pt idx="50">
                  <c:v>1.0151490780165293</c:v>
                </c:pt>
                <c:pt idx="51">
                  <c:v>1.017177583988909</c:v>
                </c:pt>
                <c:pt idx="52">
                  <c:v>1.0194491339914955</c:v>
                </c:pt>
                <c:pt idx="53">
                  <c:v>1.0219849493919637</c:v>
                </c:pt>
                <c:pt idx="54">
                  <c:v>1.0248059646235588</c:v>
                </c:pt>
                <c:pt idx="55">
                  <c:v>1.0279321625110396</c:v>
                </c:pt>
                <c:pt idx="56">
                  <c:v>1.0313817703808876</c:v>
                </c:pt>
                <c:pt idx="57">
                  <c:v>1.0351703244417214</c:v>
                </c:pt>
                <c:pt idx="58">
                  <c:v>1.0393096242706137</c:v>
                </c:pt>
                <c:pt idx="59">
                  <c:v>1.0438066168330804</c:v>
                </c:pt>
                <c:pt idx="60">
                  <c:v>1.0486622690912766</c:v>
                </c:pt>
                <c:pt idx="61">
                  <c:v>1.0538705077388972</c:v>
                </c:pt>
                <c:pt idx="62">
                  <c:v>1.0594173207971311</c:v>
                </c:pt>
                <c:pt idx="63">
                  <c:v>1.0652801248751522</c:v>
                </c:pt>
                <c:pt idx="64">
                  <c:v>1.071427499922547</c:v>
                </c:pt>
                <c:pt idx="65">
                  <c:v>1.0778193772078715</c:v>
                </c:pt>
                <c:pt idx="66">
                  <c:v>1.0844077348981804</c:v>
                </c:pt>
                <c:pt idx="67">
                  <c:v>1.0911378106848442</c:v>
                </c:pt>
                <c:pt idx="68">
                  <c:v>1.0979497873326858</c:v>
                </c:pt>
                <c:pt idx="69">
                  <c:v>1.1047808525365956</c:v>
                </c:pt>
                <c:pt idx="70">
                  <c:v>1.1115674881724062</c:v>
                </c:pt>
                <c:pt idx="71">
                  <c:v>1.1182478144126744</c:v>
                </c:pt>
                <c:pt idx="72">
                  <c:v>1.1247638069626658</c:v>
                </c:pt>
                <c:pt idx="73">
                  <c:v>1.1310632222816699</c:v>
                </c:pt>
                <c:pt idx="74">
                  <c:v>1.1371011028285305</c:v>
                </c:pt>
                <c:pt idx="75">
                  <c:v>1.142840785049672</c:v>
                </c:pt>
                <c:pt idx="76">
                  <c:v>1.1482543880072555</c:v>
                </c:pt>
                <c:pt idx="77">
                  <c:v>1.1533228114490421</c:v>
                </c:pt>
                <c:pt idx="78">
                  <c:v>1.1580353120335982</c:v>
                </c:pt>
                <c:pt idx="79">
                  <c:v>1.1623887517053284</c:v>
                </c:pt>
                <c:pt idx="80">
                  <c:v>1.1663866223906019</c:v>
                </c:pt>
                <c:pt idx="81">
                  <c:v>1.1700379483045693</c:v>
                </c:pt>
                <c:pt idx="82">
                  <c:v>1.1733561547549032</c:v>
                </c:pt>
                <c:pt idx="83">
                  <c:v>1.1763579743858277</c:v>
                </c:pt>
                <c:pt idx="84">
                  <c:v>1.1790624419387195</c:v>
                </c:pt>
                <c:pt idx="85">
                  <c:v>1.1814900095879552</c:v>
                </c:pt>
                <c:pt idx="86">
                  <c:v>1.1836617985204898</c:v>
                </c:pt>
                <c:pt idx="87">
                  <c:v>1.1855989895253656</c:v>
                </c:pt>
                <c:pt idx="88">
                  <c:v>1.1873223460933147</c:v>
                </c:pt>
                <c:pt idx="89">
                  <c:v>1.1888518575751741</c:v>
                </c:pt>
                <c:pt idx="90">
                  <c:v>1.1902064867391082</c:v>
                </c:pt>
                <c:pt idx="91">
                  <c:v>1.1914040049469339</c:v>
                </c:pt>
                <c:pt idx="92">
                  <c:v>1.1924608985148224</c:v>
                </c:pt>
                <c:pt idx="93">
                  <c:v>1.193392331099034</c:v>
                </c:pt>
                <c:pt idx="94">
                  <c:v>1.1942121487324919</c:v>
                </c:pt>
                <c:pt idx="95">
                  <c:v>1.1949329161252</c:v>
                </c:pt>
                <c:pt idx="96">
                  <c:v>1.1955659748218084</c:v>
                </c:pt>
                <c:pt idx="97">
                  <c:v>1.1961215156535969</c:v>
                </c:pt>
                <c:pt idx="98">
                  <c:v>1.196608659559776</c:v>
                </c:pt>
                <c:pt idx="99">
                  <c:v>1.1970355422561463</c:v>
                </c:pt>
                <c:pt idx="100">
                  <c:v>1.1974093993970509</c:v>
                </c:pt>
                <c:pt idx="101">
                  <c:v>1.197736649824916</c:v>
                </c:pt>
                <c:pt idx="102">
                  <c:v>1.1980229752548923</c:v>
                </c:pt>
                <c:pt idx="103">
                  <c:v>1.1982733953278948</c:v>
                </c:pt>
                <c:pt idx="104">
                  <c:v>1.1984923374114256</c:v>
                </c:pt>
                <c:pt idx="105">
                  <c:v>1.1986837008597346</c:v>
                </c:pt>
                <c:pt idx="106">
                  <c:v>1.1988509156859473</c:v>
                </c:pt>
                <c:pt idx="107">
                  <c:v>1.1989969957683448</c:v>
                </c:pt>
                <c:pt idx="108">
                  <c:v>1.1991245868273088</c:v>
                </c:pt>
                <c:pt idx="109">
                  <c:v>1.1992360094818533</c:v>
                </c:pt>
                <c:pt idx="110">
                  <c:v>1.1993332977358442</c:v>
                </c:pt>
                <c:pt idx="111">
                  <c:v>1.1994182332623575</c:v>
                </c:pt>
                <c:pt idx="112">
                  <c:v>1.1994923758567086</c:v>
                </c:pt>
                <c:pt idx="113">
                  <c:v>1.1995570904195436</c:v>
                </c:pt>
                <c:pt idx="114">
                  <c:v>1.1996135708147766</c:v>
                </c:pt>
                <c:pt idx="115">
                  <c:v>1.199662860925979</c:v>
                </c:pt>
                <c:pt idx="116">
                  <c:v>1.1997058732110983</c:v>
                </c:pt>
                <c:pt idx="117">
                  <c:v>1.1997434050306488</c:v>
                </c:pt>
                <c:pt idx="118">
                  <c:v>1.1997761529997868</c:v>
                </c:pt>
                <c:pt idx="119">
                  <c:v>1.1998047255907009</c:v>
                </c:pt>
                <c:pt idx="120">
                  <c:v>1.1998296541889502</c:v>
                </c:pt>
                <c:pt idx="121">
                  <c:v>1.1998514027860714</c:v>
                </c:pt>
                <c:pt idx="122">
                  <c:v>1.1998703764710776</c:v>
                </c:pt>
                <c:pt idx="123">
                  <c:v>1.1998869288654457</c:v>
                </c:pt>
                <c:pt idx="124">
                  <c:v>1.1999013686298154</c:v>
                </c:pt>
                <c:pt idx="125">
                  <c:v>1.1999139651558477</c:v>
                </c:pt>
                <c:pt idx="126">
                  <c:v>1.1999249535434209</c:v>
                </c:pt>
                <c:pt idx="127">
                  <c:v>1.1999345389514771</c:v>
                </c:pt>
                <c:pt idx="128">
                  <c:v>1.1999429004002635</c:v>
                </c:pt>
                <c:pt idx="129">
                  <c:v>1.1999501940933222</c:v>
                </c:pt>
                <c:pt idx="130">
                  <c:v>1.1999565563192638</c:v>
                </c:pt>
                <c:pt idx="131">
                  <c:v>1.1999621059860057</c:v>
                </c:pt>
                <c:pt idx="132">
                  <c:v>1.1999669468336669</c:v>
                </c:pt>
                <c:pt idx="133">
                  <c:v>1.1999711693665887</c:v>
                </c:pt>
                <c:pt idx="134">
                  <c:v>1.1999748525399268</c:v>
                </c:pt>
                <c:pt idx="135">
                  <c:v>1.1999780652318286</c:v>
                </c:pt>
                <c:pt idx="136">
                  <c:v>1.1999808675283372</c:v>
                </c:pt>
                <c:pt idx="137">
                  <c:v>1.1999833118447505</c:v>
                </c:pt>
                <c:pt idx="138">
                  <c:v>1.1999854439041826</c:v>
                </c:pt>
                <c:pt idx="139">
                  <c:v>1.1999873035914583</c:v>
                </c:pt>
                <c:pt idx="140">
                  <c:v>1.1999889256981842</c:v>
                </c:pt>
                <c:pt idx="141">
                  <c:v>1.1999903405728305</c:v>
                </c:pt>
                <c:pt idx="142">
                  <c:v>1.1999915746879166</c:v>
                </c:pt>
                <c:pt idx="143">
                  <c:v>1.1999926511348455</c:v>
                </c:pt>
                <c:pt idx="144">
                  <c:v>1.1999935900556105</c:v>
                </c:pt>
                <c:pt idx="145">
                  <c:v>1.1999944090194108</c:v>
                </c:pt>
                <c:pt idx="146">
                  <c:v>1.1999951233512032</c:v>
                </c:pt>
                <c:pt idx="147">
                  <c:v>1.1999957464183151</c:v>
                </c:pt>
                <c:pt idx="148">
                  <c:v>1.1999962898804688</c:v>
                </c:pt>
                <c:pt idx="149">
                  <c:v>1.1999967639078835</c:v>
                </c:pt>
                <c:pt idx="150">
                  <c:v>1.1999971773715303</c:v>
                </c:pt>
                <c:pt idx="151">
                  <c:v>1.1999975380090904</c:v>
                </c:pt>
                <c:pt idx="152">
                  <c:v>1.1999978525697208</c:v>
                </c:pt>
                <c:pt idx="153">
                  <c:v>1.1999981269403313</c:v>
                </c:pt>
                <c:pt idx="154">
                  <c:v>1.199998366255733</c:v>
                </c:pt>
                <c:pt idx="155">
                  <c:v>1.1999985749947177</c:v>
                </c:pt>
                <c:pt idx="156">
                  <c:v>1.1999987570638657</c:v>
                </c:pt>
                <c:pt idx="157">
                  <c:v>1.1999989158706474</c:v>
                </c:pt>
                <c:pt idx="158">
                  <c:v>1.1999990543871872</c:v>
                </c:pt>
                <c:pt idx="159">
                  <c:v>1.1999991752058825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E-49BA-BD8C-DC733788E8F9}"/>
            </c:ext>
          </c:extLst>
        </c:ser>
        <c:ser>
          <c:idx val="0"/>
          <c:order val="1"/>
          <c:tx>
            <c:v>SHRP2 L04 Weight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noFill/>
              </a:ln>
              <a:effectLst/>
            </c:spPr>
          </c:marker>
          <c:xVal>
            <c:numRef>
              <c:f>'(Input) Perceived Time'!$X$5:$X$37</c:f>
              <c:numCache>
                <c:formatCode>General</c:formatCode>
                <c:ptCount val="33"/>
                <c:pt idx="0">
                  <c:v>2.5000000000000001E-2</c:v>
                </c:pt>
                <c:pt idx="1">
                  <c:v>7.5000000000000011E-2</c:v>
                </c:pt>
                <c:pt idx="2">
                  <c:v>0.125</c:v>
                </c:pt>
                <c:pt idx="3">
                  <c:v>0.17500000000000002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0.32499999999999996</c:v>
                </c:pt>
                <c:pt idx="7">
                  <c:v>0.375</c:v>
                </c:pt>
                <c:pt idx="8">
                  <c:v>0.42499999999999993</c:v>
                </c:pt>
                <c:pt idx="9">
                  <c:v>0.47499999999999998</c:v>
                </c:pt>
                <c:pt idx="10">
                  <c:v>0.52499999999999991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0.72500000000000009</c:v>
                </c:pt>
                <c:pt idx="15">
                  <c:v>0.77500000000000013</c:v>
                </c:pt>
                <c:pt idx="16">
                  <c:v>0.82500000000000018</c:v>
                </c:pt>
                <c:pt idx="17">
                  <c:v>0.87500000000000022</c:v>
                </c:pt>
                <c:pt idx="18">
                  <c:v>0.92500000000000027</c:v>
                </c:pt>
                <c:pt idx="19">
                  <c:v>0.97500000000000031</c:v>
                </c:pt>
                <c:pt idx="20">
                  <c:v>1.0250000000000004</c:v>
                </c:pt>
                <c:pt idx="21">
                  <c:v>1.0750000000000002</c:v>
                </c:pt>
                <c:pt idx="22">
                  <c:v>1.1250000000000004</c:v>
                </c:pt>
                <c:pt idx="23">
                  <c:v>1.1750000000000003</c:v>
                </c:pt>
                <c:pt idx="24">
                  <c:v>1.2250000000000005</c:v>
                </c:pt>
                <c:pt idx="25">
                  <c:v>1.2750000000000004</c:v>
                </c:pt>
                <c:pt idx="26">
                  <c:v>1.3250000000000006</c:v>
                </c:pt>
                <c:pt idx="27">
                  <c:v>1.3750000000000004</c:v>
                </c:pt>
                <c:pt idx="28">
                  <c:v>1.4250000000000007</c:v>
                </c:pt>
                <c:pt idx="29">
                  <c:v>1.4750000000000005</c:v>
                </c:pt>
                <c:pt idx="30">
                  <c:v>1.5250000000000008</c:v>
                </c:pt>
                <c:pt idx="31">
                  <c:v>1.5750000000000006</c:v>
                </c:pt>
                <c:pt idx="32">
                  <c:v>1.6250000000000009</c:v>
                </c:pt>
              </c:numCache>
            </c:numRef>
          </c:xVal>
          <c:yVal>
            <c:numRef>
              <c:f>'(Input) Perceived Time'!$Y$5:$Y$37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E-49BA-BD8C-DC733788E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37592"/>
        <c:axId val="587532888"/>
      </c:scatterChart>
      <c:valAx>
        <c:axId val="587537592"/>
        <c:scaling>
          <c:orientation val="minMax"/>
          <c:max val="1.7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V/C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32888"/>
        <c:crosses val="autoZero"/>
        <c:crossBetween val="midCat"/>
      </c:valAx>
      <c:valAx>
        <c:axId val="5875328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Travel Time Weight</a:t>
                </a:r>
              </a:p>
            </c:rich>
          </c:tx>
          <c:layout>
            <c:manualLayout>
              <c:xMode val="edge"/>
              <c:yMode val="edge"/>
              <c:x val="1.1803588290840416E-2"/>
              <c:y val="0.28564049285505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3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02883159959801"/>
          <c:y val="0.19903775899348947"/>
          <c:w val="0.22951046414202428"/>
          <c:h val="0.15913397566886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Travel Time Weights</a:t>
            </a:r>
          </a:p>
        </c:rich>
      </c:tx>
      <c:layout>
        <c:manualLayout>
          <c:xMode val="edge"/>
          <c:yMode val="edge"/>
          <c:x val="0.35851661424758163"/>
          <c:y val="1.8733329244620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20200307822712"/>
          <c:y val="0.13581713633987549"/>
          <c:w val="0.80709516480411603"/>
          <c:h val="0.63730219075226913"/>
        </c:manualLayout>
      </c:layout>
      <c:scatterChart>
        <c:scatterStyle val="lineMarker"/>
        <c:varyColors val="0"/>
        <c:ser>
          <c:idx val="1"/>
          <c:order val="0"/>
          <c:tx>
            <c:v>Modeled Weight</c:v>
          </c:tx>
          <c:spPr>
            <a:ln w="349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'(Input) Perceived Time'!$Z$5:$Z$164</c:f>
              <c:numCache>
                <c:formatCode>General</c:formatCode>
                <c:ptCount val="1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</c:numCache>
            </c:numRef>
          </c:xVal>
          <c:yVal>
            <c:numRef>
              <c:f>'(Input) Perceived Time'!$AA$5:$AA$164</c:f>
              <c:numCache>
                <c:formatCode>General</c:formatCode>
                <c:ptCount val="160"/>
                <c:pt idx="0">
                  <c:v>1.0000176259899007</c:v>
                </c:pt>
                <c:pt idx="1">
                  <c:v>1.0000202076572051</c:v>
                </c:pt>
                <c:pt idx="2">
                  <c:v>1.0000231674158386</c:v>
                </c:pt>
                <c:pt idx="3">
                  <c:v>1.0000265606244059</c:v>
                </c:pt>
                <c:pt idx="4">
                  <c:v>1.0000304507425648</c:v>
                </c:pt>
                <c:pt idx="5">
                  <c:v>1.0000349105151567</c:v>
                </c:pt>
                <c:pt idx="6">
                  <c:v>1.0000400233289901</c:v>
                </c:pt>
                <c:pt idx="7">
                  <c:v>1.0000458847673224</c:v>
                </c:pt>
                <c:pt idx="8">
                  <c:v>1.000052604390665</c:v>
                </c:pt>
                <c:pt idx="9">
                  <c:v>1.0000603077766352</c:v>
                </c:pt>
                <c:pt idx="10">
                  <c:v>1.0000691388562257</c:v>
                </c:pt>
                <c:pt idx="11">
                  <c:v>1.0000792625891708</c:v>
                </c:pt>
                <c:pt idx="12">
                  <c:v>1.0000908680270924</c:v>
                </c:pt>
                <c:pt idx="13">
                  <c:v>1.0001041718199428</c:v>
                </c:pt>
                <c:pt idx="14">
                  <c:v>1.0001194222289862</c:v>
                </c:pt>
                <c:pt idx="15">
                  <c:v>1.0001369037182892</c:v>
                </c:pt>
                <c:pt idx="16">
                  <c:v>1.0001569422065528</c:v>
                </c:pt>
                <c:pt idx="17">
                  <c:v>1.000179911072173</c:v>
                </c:pt>
                <c:pt idx="18">
                  <c:v>1.0002062380168495</c:v>
                </c:pt>
                <c:pt idx="19">
                  <c:v>1.0002364129069117</c:v>
                </c:pt>
                <c:pt idx="20">
                  <c:v>1.0002709967269348</c:v>
                </c:pt>
                <c:pt idx="21">
                  <c:v>1.000310631797261</c:v>
                </c:pt>
                <c:pt idx="22">
                  <c:v>1.0003560534257212</c:v>
                </c:pt>
                <c:pt idx="23">
                  <c:v>1.000408103184216</c:v>
                </c:pt>
                <c:pt idx="24">
                  <c:v>1.0004677440227474</c:v>
                </c:pt>
                <c:pt idx="25">
                  <c:v>1.0005360774567951</c:v>
                </c:pt>
                <c:pt idx="26">
                  <c:v>1.0006143630882922</c:v>
                </c:pt>
                <c:pt idx="27">
                  <c:v>1.0007040407452843</c:v>
                </c:pt>
                <c:pt idx="28">
                  <c:v>1.0008067555498321</c:v>
                </c:pt>
                <c:pt idx="29">
                  <c:v>1.0009243862466448</c:v>
                </c:pt>
                <c:pt idx="30">
                  <c:v>1.0010590771445607</c:v>
                </c:pt>
                <c:pt idx="31">
                  <c:v>1.0012132740370017</c:v>
                </c:pt>
                <c:pt idx="32">
                  <c:v>1.0013897644727052</c:v>
                </c:pt>
                <c:pt idx="33">
                  <c:v>1.0015917227401225</c:v>
                </c:pt>
                <c:pt idx="34">
                  <c:v>1.0018227599022789</c:v>
                </c:pt>
                <c:pt idx="35">
                  <c:v>1.0020869791663447</c:v>
                </c:pt>
                <c:pt idx="36">
                  <c:v>1.0023890367844122</c:v>
                </c:pt>
                <c:pt idx="37">
                  <c:v>1.0027342085473072</c:v>
                </c:pt>
                <c:pt idx="38">
                  <c:v>1.0031284617372453</c:v>
                </c:pt>
                <c:pt idx="39">
                  <c:v>1.0035785321301476</c:v>
                </c:pt>
                <c:pt idx="40">
                  <c:v>1.00409200526363</c:v>
                </c:pt>
                <c:pt idx="41">
                  <c:v>1.0046774006879327</c:v>
                </c:pt>
                <c:pt idx="42">
                  <c:v>1.0053442572676887</c:v>
                </c:pt>
                <c:pt idx="43">
                  <c:v>1.0061032167743897</c:v>
                </c:pt>
                <c:pt idx="44">
                  <c:v>1.0069661019758092</c:v>
                </c:pt>
                <c:pt idx="45">
                  <c:v>1.0079459841678335</c:v>
                </c:pt>
                <c:pt idx="46">
                  <c:v>1.0090572335958559</c:v>
                </c:pt>
                <c:pt idx="47">
                  <c:v>1.0103155444873746</c:v>
                </c:pt>
                <c:pt idx="48">
                  <c:v>1.0117379245076292</c:v>
                </c:pt>
                <c:pt idx="49">
                  <c:v>1.013342636447526</c:v>
                </c:pt>
                <c:pt idx="50">
                  <c:v>1.0151490780165293</c:v>
                </c:pt>
                <c:pt idx="51">
                  <c:v>1.017177583988909</c:v>
                </c:pt>
                <c:pt idx="52">
                  <c:v>1.0194491339914955</c:v>
                </c:pt>
                <c:pt idx="53">
                  <c:v>1.0219849493919637</c:v>
                </c:pt>
                <c:pt idx="54">
                  <c:v>1.0248059646235588</c:v>
                </c:pt>
                <c:pt idx="55">
                  <c:v>1.0279321625110396</c:v>
                </c:pt>
                <c:pt idx="56">
                  <c:v>1.0313817703808876</c:v>
                </c:pt>
                <c:pt idx="57">
                  <c:v>1.0351703244417214</c:v>
                </c:pt>
                <c:pt idx="58">
                  <c:v>1.0393096242706137</c:v>
                </c:pt>
                <c:pt idx="59">
                  <c:v>1.0438066168330804</c:v>
                </c:pt>
                <c:pt idx="60">
                  <c:v>1.0486622690912766</c:v>
                </c:pt>
                <c:pt idx="61">
                  <c:v>1.0538705077388972</c:v>
                </c:pt>
                <c:pt idx="62">
                  <c:v>1.0594173207971311</c:v>
                </c:pt>
                <c:pt idx="63">
                  <c:v>1.0652801248751522</c:v>
                </c:pt>
                <c:pt idx="64">
                  <c:v>1.071427499922547</c:v>
                </c:pt>
                <c:pt idx="65">
                  <c:v>1.0778193772078715</c:v>
                </c:pt>
                <c:pt idx="66">
                  <c:v>1.0844077348981804</c:v>
                </c:pt>
                <c:pt idx="67">
                  <c:v>1.0911378106848442</c:v>
                </c:pt>
                <c:pt idx="68">
                  <c:v>1.0979497873326858</c:v>
                </c:pt>
                <c:pt idx="69">
                  <c:v>1.1047808525365956</c:v>
                </c:pt>
                <c:pt idx="70">
                  <c:v>1.1115674881724062</c:v>
                </c:pt>
                <c:pt idx="71">
                  <c:v>1.1182478144126744</c:v>
                </c:pt>
                <c:pt idx="72">
                  <c:v>1.1247638069626658</c:v>
                </c:pt>
                <c:pt idx="73">
                  <c:v>1.1310632222816699</c:v>
                </c:pt>
                <c:pt idx="74">
                  <c:v>1.1371011028285305</c:v>
                </c:pt>
                <c:pt idx="75">
                  <c:v>1.142840785049672</c:v>
                </c:pt>
                <c:pt idx="76">
                  <c:v>1.1482543880072555</c:v>
                </c:pt>
                <c:pt idx="77">
                  <c:v>1.1533228114490421</c:v>
                </c:pt>
                <c:pt idx="78">
                  <c:v>1.1580353120335982</c:v>
                </c:pt>
                <c:pt idx="79">
                  <c:v>1.1623887517053284</c:v>
                </c:pt>
                <c:pt idx="80">
                  <c:v>1.1663866223906019</c:v>
                </c:pt>
                <c:pt idx="81">
                  <c:v>1.1700379483045693</c:v>
                </c:pt>
                <c:pt idx="82">
                  <c:v>1.1733561547549032</c:v>
                </c:pt>
                <c:pt idx="83">
                  <c:v>1.1763579743858277</c:v>
                </c:pt>
                <c:pt idx="84">
                  <c:v>1.1790624419387195</c:v>
                </c:pt>
                <c:pt idx="85">
                  <c:v>1.1814900095879552</c:v>
                </c:pt>
                <c:pt idx="86">
                  <c:v>1.1836617985204898</c:v>
                </c:pt>
                <c:pt idx="87">
                  <c:v>1.1855989895253656</c:v>
                </c:pt>
                <c:pt idx="88">
                  <c:v>1.1873223460933147</c:v>
                </c:pt>
                <c:pt idx="89">
                  <c:v>1.1888518575751741</c:v>
                </c:pt>
                <c:pt idx="90">
                  <c:v>1.1902064867391082</c:v>
                </c:pt>
                <c:pt idx="91">
                  <c:v>1.1914040049469339</c:v>
                </c:pt>
                <c:pt idx="92">
                  <c:v>1.1924608985148224</c:v>
                </c:pt>
                <c:pt idx="93">
                  <c:v>1.193392331099034</c:v>
                </c:pt>
                <c:pt idx="94">
                  <c:v>1.1942121487324919</c:v>
                </c:pt>
                <c:pt idx="95">
                  <c:v>1.1949329161252</c:v>
                </c:pt>
                <c:pt idx="96">
                  <c:v>1.1955659748218084</c:v>
                </c:pt>
                <c:pt idx="97">
                  <c:v>1.1961215156535969</c:v>
                </c:pt>
                <c:pt idx="98">
                  <c:v>1.196608659559776</c:v>
                </c:pt>
                <c:pt idx="99">
                  <c:v>1.1970355422561463</c:v>
                </c:pt>
                <c:pt idx="100">
                  <c:v>1.1974093993970509</c:v>
                </c:pt>
                <c:pt idx="101">
                  <c:v>1.197736649824916</c:v>
                </c:pt>
                <c:pt idx="102">
                  <c:v>1.1980229752548923</c:v>
                </c:pt>
                <c:pt idx="103">
                  <c:v>1.1982733953278948</c:v>
                </c:pt>
                <c:pt idx="104">
                  <c:v>1.1984923374114256</c:v>
                </c:pt>
                <c:pt idx="105">
                  <c:v>1.1986837008597346</c:v>
                </c:pt>
                <c:pt idx="106">
                  <c:v>1.1988509156859473</c:v>
                </c:pt>
                <c:pt idx="107">
                  <c:v>1.1989969957683448</c:v>
                </c:pt>
                <c:pt idx="108">
                  <c:v>1.1991245868273088</c:v>
                </c:pt>
                <c:pt idx="109">
                  <c:v>1.1992360094818533</c:v>
                </c:pt>
                <c:pt idx="110">
                  <c:v>1.1993332977358442</c:v>
                </c:pt>
                <c:pt idx="111">
                  <c:v>1.1994182332623575</c:v>
                </c:pt>
                <c:pt idx="112">
                  <c:v>1.1994923758567086</c:v>
                </c:pt>
                <c:pt idx="113">
                  <c:v>1.1995570904195436</c:v>
                </c:pt>
                <c:pt idx="114">
                  <c:v>1.1996135708147766</c:v>
                </c:pt>
                <c:pt idx="115">
                  <c:v>1.199662860925979</c:v>
                </c:pt>
                <c:pt idx="116">
                  <c:v>1.1997058732110983</c:v>
                </c:pt>
                <c:pt idx="117">
                  <c:v>1.1997434050306488</c:v>
                </c:pt>
                <c:pt idx="118">
                  <c:v>1.1997761529997868</c:v>
                </c:pt>
                <c:pt idx="119">
                  <c:v>1.1998047255907009</c:v>
                </c:pt>
                <c:pt idx="120">
                  <c:v>1.1998296541889502</c:v>
                </c:pt>
                <c:pt idx="121">
                  <c:v>1.1998514027860714</c:v>
                </c:pt>
                <c:pt idx="122">
                  <c:v>1.1998703764710776</c:v>
                </c:pt>
                <c:pt idx="123">
                  <c:v>1.1998869288654457</c:v>
                </c:pt>
                <c:pt idx="124">
                  <c:v>1.1999013686298154</c:v>
                </c:pt>
                <c:pt idx="125">
                  <c:v>1.1999139651558477</c:v>
                </c:pt>
                <c:pt idx="126">
                  <c:v>1.1999249535434209</c:v>
                </c:pt>
                <c:pt idx="127">
                  <c:v>1.1999345389514771</c:v>
                </c:pt>
                <c:pt idx="128">
                  <c:v>1.1999429004002635</c:v>
                </c:pt>
                <c:pt idx="129">
                  <c:v>1.1999501940933222</c:v>
                </c:pt>
                <c:pt idx="130">
                  <c:v>1.1999565563192638</c:v>
                </c:pt>
                <c:pt idx="131">
                  <c:v>1.1999621059860057</c:v>
                </c:pt>
                <c:pt idx="132">
                  <c:v>1.1999669468336669</c:v>
                </c:pt>
                <c:pt idx="133">
                  <c:v>1.1999711693665887</c:v>
                </c:pt>
                <c:pt idx="134">
                  <c:v>1.1999748525399268</c:v>
                </c:pt>
                <c:pt idx="135">
                  <c:v>1.1999780652318286</c:v>
                </c:pt>
                <c:pt idx="136">
                  <c:v>1.1999808675283372</c:v>
                </c:pt>
                <c:pt idx="137">
                  <c:v>1.1999833118447505</c:v>
                </c:pt>
                <c:pt idx="138">
                  <c:v>1.1999854439041826</c:v>
                </c:pt>
                <c:pt idx="139">
                  <c:v>1.1999873035914583</c:v>
                </c:pt>
                <c:pt idx="140">
                  <c:v>1.1999889256981842</c:v>
                </c:pt>
                <c:pt idx="141">
                  <c:v>1.1999903405728305</c:v>
                </c:pt>
                <c:pt idx="142">
                  <c:v>1.1999915746879166</c:v>
                </c:pt>
                <c:pt idx="143">
                  <c:v>1.1999926511348455</c:v>
                </c:pt>
                <c:pt idx="144">
                  <c:v>1.1999935900556105</c:v>
                </c:pt>
                <c:pt idx="145">
                  <c:v>1.1999944090194108</c:v>
                </c:pt>
                <c:pt idx="146">
                  <c:v>1.1999951233512032</c:v>
                </c:pt>
                <c:pt idx="147">
                  <c:v>1.1999957464183151</c:v>
                </c:pt>
                <c:pt idx="148">
                  <c:v>1.1999962898804688</c:v>
                </c:pt>
                <c:pt idx="149">
                  <c:v>1.1999967639078835</c:v>
                </c:pt>
                <c:pt idx="150">
                  <c:v>1.1999971773715303</c:v>
                </c:pt>
                <c:pt idx="151">
                  <c:v>1.1999975380090904</c:v>
                </c:pt>
                <c:pt idx="152">
                  <c:v>1.1999978525697208</c:v>
                </c:pt>
                <c:pt idx="153">
                  <c:v>1.1999981269403313</c:v>
                </c:pt>
                <c:pt idx="154">
                  <c:v>1.199998366255733</c:v>
                </c:pt>
                <c:pt idx="155">
                  <c:v>1.1999985749947177</c:v>
                </c:pt>
                <c:pt idx="156">
                  <c:v>1.1999987570638657</c:v>
                </c:pt>
                <c:pt idx="157">
                  <c:v>1.1999989158706474</c:v>
                </c:pt>
                <c:pt idx="158">
                  <c:v>1.1999990543871872</c:v>
                </c:pt>
                <c:pt idx="159">
                  <c:v>1.1999991752058825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7-4B5D-95D8-3BE1784893D4}"/>
            </c:ext>
          </c:extLst>
        </c:ser>
        <c:ser>
          <c:idx val="0"/>
          <c:order val="1"/>
          <c:tx>
            <c:v>SHRP2 L04 Weight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noFill/>
              </a:ln>
              <a:effectLst/>
            </c:spPr>
          </c:marker>
          <c:xVal>
            <c:numRef>
              <c:f>'(Input) Perceived Time'!$X$5:$X$24</c:f>
              <c:numCache>
                <c:formatCode>General</c:formatCode>
                <c:ptCount val="20"/>
                <c:pt idx="0">
                  <c:v>2.5000000000000001E-2</c:v>
                </c:pt>
                <c:pt idx="1">
                  <c:v>7.5000000000000011E-2</c:v>
                </c:pt>
                <c:pt idx="2">
                  <c:v>0.125</c:v>
                </c:pt>
                <c:pt idx="3">
                  <c:v>0.17500000000000002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0.32499999999999996</c:v>
                </c:pt>
                <c:pt idx="7">
                  <c:v>0.375</c:v>
                </c:pt>
                <c:pt idx="8">
                  <c:v>0.42499999999999993</c:v>
                </c:pt>
                <c:pt idx="9">
                  <c:v>0.47499999999999998</c:v>
                </c:pt>
                <c:pt idx="10">
                  <c:v>0.52499999999999991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0.72500000000000009</c:v>
                </c:pt>
                <c:pt idx="15">
                  <c:v>0.77500000000000013</c:v>
                </c:pt>
                <c:pt idx="16">
                  <c:v>0.82500000000000018</c:v>
                </c:pt>
                <c:pt idx="17">
                  <c:v>0.87500000000000022</c:v>
                </c:pt>
                <c:pt idx="18">
                  <c:v>0.92500000000000027</c:v>
                </c:pt>
                <c:pt idx="19">
                  <c:v>0.97500000000000031</c:v>
                </c:pt>
              </c:numCache>
            </c:numRef>
          </c:xVal>
          <c:yVal>
            <c:numRef>
              <c:f>'(Input) Perceived Time'!$Y$5:$Y$24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7-4B5D-95D8-3BE17848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33672"/>
        <c:axId val="587537984"/>
      </c:scatterChart>
      <c:valAx>
        <c:axId val="587533672"/>
        <c:scaling>
          <c:orientation val="minMax"/>
          <c:max val="1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V/C Ratio</a:t>
                </a:r>
              </a:p>
            </c:rich>
          </c:tx>
          <c:layout>
            <c:manualLayout>
              <c:xMode val="edge"/>
              <c:yMode val="edge"/>
              <c:x val="0.45237763303666362"/>
              <c:y val="0.88668947064837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37984"/>
        <c:crosses val="autoZero"/>
        <c:crossBetween val="midCat"/>
        <c:majorUnit val="0.25"/>
      </c:valAx>
      <c:valAx>
        <c:axId val="587537984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Weights</a:t>
                </a:r>
              </a:p>
            </c:rich>
          </c:tx>
          <c:layout>
            <c:manualLayout>
              <c:xMode val="edge"/>
              <c:yMode val="edge"/>
              <c:x val="0"/>
              <c:y val="0.30475448344315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336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791450112645268"/>
          <c:y val="0.21815177879711317"/>
          <c:w val="0.42545002342129329"/>
          <c:h val="0.20691923123666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Penalty v. Express Lane Distance</a:t>
            </a:r>
            <a:endParaRPr lang="en-US"/>
          </a:p>
        </c:rich>
      </c:tx>
      <c:layout>
        <c:manualLayout>
          <c:xMode val="edge"/>
          <c:yMode val="edge"/>
          <c:x val="0.2070440883306009"/>
          <c:y val="4.2462845010615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4919758930427"/>
          <c:y val="0.17965296004666084"/>
          <c:w val="0.84461326498410594"/>
          <c:h val="0.632437266997676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'(Input) Distance Penalty'!$O$5:$O$77</c:f>
              <c:numCache>
                <c:formatCode>General</c:formatCode>
                <c:ptCount val="7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</c:numCache>
            </c:numRef>
          </c:xVal>
          <c:yVal>
            <c:numRef>
              <c:f>'(Input) Distance Penalty'!$P$5:$P$77</c:f>
              <c:numCache>
                <c:formatCode>General</c:formatCode>
                <c:ptCount val="73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0.54999999999999993</c:v>
                </c:pt>
                <c:pt idx="21">
                  <c:v>0.52249999999999985</c:v>
                </c:pt>
                <c:pt idx="22">
                  <c:v>0.49499999999999988</c:v>
                </c:pt>
                <c:pt idx="23">
                  <c:v>0.46749999999999986</c:v>
                </c:pt>
                <c:pt idx="24">
                  <c:v>0.43999999999999984</c:v>
                </c:pt>
                <c:pt idx="25">
                  <c:v>0.41249999999999976</c:v>
                </c:pt>
                <c:pt idx="26">
                  <c:v>0.38499999999999979</c:v>
                </c:pt>
                <c:pt idx="27">
                  <c:v>0.35749999999999971</c:v>
                </c:pt>
                <c:pt idx="28">
                  <c:v>0.32999999999999974</c:v>
                </c:pt>
                <c:pt idx="29">
                  <c:v>0.30249999999999966</c:v>
                </c:pt>
                <c:pt idx="30">
                  <c:v>0.27499999999999963</c:v>
                </c:pt>
                <c:pt idx="31">
                  <c:v>0.24749999999999961</c:v>
                </c:pt>
                <c:pt idx="32">
                  <c:v>0.21999999999999958</c:v>
                </c:pt>
                <c:pt idx="33">
                  <c:v>0.19249999999999956</c:v>
                </c:pt>
                <c:pt idx="34">
                  <c:v>0.16499999999999954</c:v>
                </c:pt>
                <c:pt idx="35">
                  <c:v>0.13749999999999951</c:v>
                </c:pt>
                <c:pt idx="36">
                  <c:v>0.10999999999999949</c:v>
                </c:pt>
                <c:pt idx="37">
                  <c:v>8.2499999999999463E-2</c:v>
                </c:pt>
                <c:pt idx="38">
                  <c:v>5.4999999999999438E-2</c:v>
                </c:pt>
                <c:pt idx="39">
                  <c:v>2.7499999999999414E-2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0-48FD-8182-A4ECCF2B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35240"/>
        <c:axId val="587533280"/>
      </c:scatterChart>
      <c:valAx>
        <c:axId val="587535240"/>
        <c:scaling>
          <c:orientation val="minMax"/>
          <c:max val="7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Express</a:t>
                </a:r>
                <a:r>
                  <a:rPr lang="en-US" b="1" baseline="0"/>
                  <a:t> Lane Distance (miles)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33280"/>
        <c:crosses val="autoZero"/>
        <c:crossBetween val="midCat"/>
      </c:valAx>
      <c:valAx>
        <c:axId val="5875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Distance Penalty (utiles)</a:t>
                </a:r>
              </a:p>
            </c:rich>
          </c:tx>
          <c:layout>
            <c:manualLayout>
              <c:xMode val="edge"/>
              <c:yMode val="edge"/>
              <c:x val="1.1717890102446872E-2"/>
              <c:y val="0.33598843138238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3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1</xdr:row>
      <xdr:rowOff>160020</xdr:rowOff>
    </xdr:from>
    <xdr:to>
      <xdr:col>15</xdr:col>
      <xdr:colOff>601980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260074</xdr:colOff>
      <xdr:row>29</xdr:row>
      <xdr:rowOff>136333</xdr:rowOff>
    </xdr:from>
    <xdr:to>
      <xdr:col>14</xdr:col>
      <xdr:colOff>458194</xdr:colOff>
      <xdr:row>44</xdr:row>
      <xdr:rowOff>50856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0</xdr:rowOff>
    </xdr:from>
    <xdr:to>
      <xdr:col>14</xdr:col>
      <xdr:colOff>198120</xdr:colOff>
      <xdr:row>23</xdr:row>
      <xdr:rowOff>74543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7</xdr:row>
      <xdr:rowOff>19050</xdr:rowOff>
    </xdr:from>
    <xdr:to>
      <xdr:col>9</xdr:col>
      <xdr:colOff>266700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a.bls.gov/cgi-bin/cpicalc.pl?cost1=1&amp;year1=2007&amp;year2=201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11"/>
  <sheetViews>
    <sheetView showGridLines="0" workbookViewId="0">
      <selection activeCell="C10" sqref="C10"/>
    </sheetView>
  </sheetViews>
  <sheetFormatPr defaultRowHeight="15" x14ac:dyDescent="0.25"/>
  <cols>
    <col min="1" max="1" width="6.7109375" customWidth="1"/>
    <col min="2" max="2" width="3.28515625" customWidth="1"/>
    <col min="3" max="3" width="10.28515625" customWidth="1"/>
    <col min="9" max="9" width="3.7109375" customWidth="1"/>
    <col min="10" max="10" width="9.85546875" customWidth="1"/>
  </cols>
  <sheetData>
    <row r="1" spans="2:10" s="95" customFormat="1" ht="18" customHeight="1" x14ac:dyDescent="0.3">
      <c r="B1" s="136" t="s">
        <v>143</v>
      </c>
      <c r="C1" s="96"/>
    </row>
    <row r="3" spans="2:10" x14ac:dyDescent="0.25">
      <c r="B3" s="147" t="s">
        <v>150</v>
      </c>
    </row>
    <row r="4" spans="2:10" ht="6.6" customHeight="1" x14ac:dyDescent="0.25"/>
    <row r="5" spans="2:10" ht="15.75" thickBot="1" x14ac:dyDescent="0.3">
      <c r="B5" s="147" t="s">
        <v>151</v>
      </c>
      <c r="C5" s="145" t="s">
        <v>144</v>
      </c>
    </row>
    <row r="6" spans="2:10" ht="15.75" thickBot="1" x14ac:dyDescent="0.3">
      <c r="C6" s="31" t="s">
        <v>147</v>
      </c>
      <c r="J6" s="81" t="s">
        <v>86</v>
      </c>
    </row>
    <row r="7" spans="2:10" ht="7.15" customHeight="1" thickBot="1" x14ac:dyDescent="0.3">
      <c r="C7" s="31"/>
      <c r="J7" s="143"/>
    </row>
    <row r="8" spans="2:10" ht="15.75" thickBot="1" x14ac:dyDescent="0.3">
      <c r="C8" t="s">
        <v>148</v>
      </c>
      <c r="J8" s="82" t="s">
        <v>87</v>
      </c>
    </row>
    <row r="9" spans="2:10" ht="7.15" customHeight="1" x14ac:dyDescent="0.25">
      <c r="J9" s="144"/>
    </row>
    <row r="10" spans="2:10" x14ac:dyDescent="0.25">
      <c r="B10" s="147" t="s">
        <v>146</v>
      </c>
      <c r="C10" s="146" t="s">
        <v>145</v>
      </c>
    </row>
    <row r="11" spans="2:10" x14ac:dyDescent="0.25">
      <c r="C11" t="s">
        <v>149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2:E8"/>
  <sheetViews>
    <sheetView workbookViewId="0">
      <selection activeCell="J22" sqref="J22"/>
    </sheetView>
  </sheetViews>
  <sheetFormatPr defaultRowHeight="15" x14ac:dyDescent="0.25"/>
  <cols>
    <col min="2" max="2" width="17.7109375" customWidth="1"/>
    <col min="5" max="5" width="18.28515625" customWidth="1"/>
  </cols>
  <sheetData>
    <row r="2" spans="2:5" x14ac:dyDescent="0.25">
      <c r="B2" s="97"/>
    </row>
    <row r="3" spans="2:5" ht="35.450000000000003" customHeight="1" x14ac:dyDescent="0.25">
      <c r="B3" s="115" t="s">
        <v>96</v>
      </c>
      <c r="C3" s="112" t="s">
        <v>97</v>
      </c>
      <c r="D3" s="112" t="s">
        <v>98</v>
      </c>
      <c r="E3" s="116" t="s">
        <v>99</v>
      </c>
    </row>
    <row r="4" spans="2:5" ht="25.5" x14ac:dyDescent="0.25">
      <c r="B4" s="117" t="s">
        <v>104</v>
      </c>
      <c r="C4" s="113">
        <v>14.4</v>
      </c>
      <c r="D4" s="113">
        <v>7.8</v>
      </c>
      <c r="E4" s="118">
        <v>0.54</v>
      </c>
    </row>
    <row r="5" spans="2:5" x14ac:dyDescent="0.25">
      <c r="B5" s="117" t="s">
        <v>100</v>
      </c>
      <c r="C5" s="113">
        <v>15.03</v>
      </c>
      <c r="D5" s="113">
        <v>9.09</v>
      </c>
      <c r="E5" s="118">
        <v>0.6</v>
      </c>
    </row>
    <row r="6" spans="2:5" x14ac:dyDescent="0.25">
      <c r="B6" s="117" t="s">
        <v>101</v>
      </c>
      <c r="C6" s="113">
        <v>11.03</v>
      </c>
      <c r="D6" s="113">
        <v>9.6199999999999992</v>
      </c>
      <c r="E6" s="118">
        <v>0.87</v>
      </c>
    </row>
    <row r="7" spans="2:5" x14ac:dyDescent="0.25">
      <c r="B7" s="117" t="s">
        <v>102</v>
      </c>
      <c r="C7" s="113">
        <v>12.51</v>
      </c>
      <c r="D7" s="113">
        <v>12.31</v>
      </c>
      <c r="E7" s="118">
        <v>0.98</v>
      </c>
    </row>
    <row r="8" spans="2:5" x14ac:dyDescent="0.25">
      <c r="B8" s="119" t="s">
        <v>103</v>
      </c>
      <c r="C8" s="114">
        <v>13.24</v>
      </c>
      <c r="D8" s="114">
        <v>9.91</v>
      </c>
      <c r="E8" s="120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202</v>
      </c>
    </row>
    <row r="4" spans="1:1" x14ac:dyDescent="0.25">
      <c r="A4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B1:AE69"/>
  <sheetViews>
    <sheetView showGridLines="0" workbookViewId="0">
      <selection activeCell="C47" sqref="C47"/>
    </sheetView>
  </sheetViews>
  <sheetFormatPr defaultRowHeight="15" x14ac:dyDescent="0.25"/>
  <cols>
    <col min="1" max="1" width="6.7109375" customWidth="1"/>
    <col min="2" max="2" width="55.85546875" customWidth="1"/>
    <col min="3" max="3" width="9.28515625" style="85" customWidth="1"/>
    <col min="4" max="4" width="2.28515625" customWidth="1"/>
    <col min="12" max="12" width="21" customWidth="1"/>
  </cols>
  <sheetData>
    <row r="1" spans="2:31" s="95" customFormat="1" ht="18" customHeight="1" x14ac:dyDescent="0.3">
      <c r="B1" s="136" t="s">
        <v>140</v>
      </c>
      <c r="C1" s="96"/>
    </row>
    <row r="2" spans="2:31" s="5" customFormat="1" ht="16.149999999999999" customHeight="1" x14ac:dyDescent="0.25">
      <c r="B2" s="137"/>
      <c r="C2" s="93"/>
      <c r="Z2" t="b">
        <v>1</v>
      </c>
    </row>
    <row r="3" spans="2:31" s="140" customFormat="1" ht="15.75" x14ac:dyDescent="0.25">
      <c r="B3" s="138" t="s">
        <v>94</v>
      </c>
      <c r="C3" s="139"/>
      <c r="Z3" t="b">
        <v>0</v>
      </c>
    </row>
    <row r="4" spans="2:31" s="5" customFormat="1" ht="4.9000000000000004" customHeight="1" x14ac:dyDescent="0.25">
      <c r="B4" s="94"/>
      <c r="C4" s="93"/>
    </row>
    <row r="5" spans="2:31" s="5" customFormat="1" ht="4.9000000000000004" customHeight="1" x14ac:dyDescent="0.25">
      <c r="B5" s="94"/>
      <c r="C5" s="93"/>
    </row>
    <row r="6" spans="2:31" x14ac:dyDescent="0.25">
      <c r="B6" s="158" t="s">
        <v>170</v>
      </c>
    </row>
    <row r="7" spans="2:31" ht="4.1500000000000004" customHeight="1" thickBot="1" x14ac:dyDescent="0.3">
      <c r="B7" s="158"/>
    </row>
    <row r="8" spans="2:31" ht="15.75" thickBot="1" x14ac:dyDescent="0.3">
      <c r="B8" t="s">
        <v>160</v>
      </c>
      <c r="C8" s="86" t="b">
        <v>1</v>
      </c>
      <c r="E8" t="s">
        <v>176</v>
      </c>
    </row>
    <row r="9" spans="2:31" ht="4.1500000000000004" customHeight="1" thickBot="1" x14ac:dyDescent="0.3">
      <c r="C9" s="159"/>
    </row>
    <row r="10" spans="2:31" ht="15.75" thickBot="1" x14ac:dyDescent="0.3">
      <c r="B10" t="s">
        <v>162</v>
      </c>
      <c r="C10" s="86" t="b">
        <v>0</v>
      </c>
      <c r="E10" t="s">
        <v>177</v>
      </c>
    </row>
    <row r="11" spans="2:31" ht="4.1500000000000004" customHeight="1" thickBot="1" x14ac:dyDescent="0.3">
      <c r="C11" s="159"/>
    </row>
    <row r="12" spans="2:31" ht="15.75" thickBot="1" x14ac:dyDescent="0.3">
      <c r="B12" t="str">
        <f>IF(AND($C$8=TRUE,$C$10=TRUE),Z12,"")</f>
        <v/>
      </c>
      <c r="C12" s="86" t="b">
        <v>0</v>
      </c>
      <c r="E12" t="str">
        <f>IF(AND($C$8=TRUE,$C$10=TRUE),AE12,"")</f>
        <v/>
      </c>
      <c r="Y12" t="str">
        <f>IF(AND(Z8=TRUE,Z10=TRUE),"Separate VOT by Trip Purpose?","")</f>
        <v/>
      </c>
      <c r="Z12" t="s">
        <v>164</v>
      </c>
      <c r="AE12" t="s">
        <v>181</v>
      </c>
    </row>
    <row r="13" spans="2:31" ht="4.1500000000000004" customHeight="1" thickBot="1" x14ac:dyDescent="0.3">
      <c r="C13" s="159"/>
    </row>
    <row r="14" spans="2:31" ht="15.75" thickBot="1" x14ac:dyDescent="0.3">
      <c r="B14" t="s">
        <v>171</v>
      </c>
      <c r="C14" s="86" t="b">
        <v>1</v>
      </c>
      <c r="E14" t="str">
        <f>AE16</f>
        <v>Enter TRUE if the Express Lanes on Turnpike VOT was estimated from a survey, else enter FALSE.</v>
      </c>
      <c r="L14" s="83"/>
      <c r="M14" s="157"/>
      <c r="Z14" t="s">
        <v>161</v>
      </c>
      <c r="AE14" t="s">
        <v>163</v>
      </c>
    </row>
    <row r="15" spans="2:31" ht="4.1500000000000004" customHeight="1" thickBot="1" x14ac:dyDescent="0.3">
      <c r="C15" s="161"/>
      <c r="L15" s="83"/>
      <c r="M15" s="157"/>
    </row>
    <row r="16" spans="2:31" ht="15.75" thickBot="1" x14ac:dyDescent="0.3">
      <c r="B16" t="str">
        <f>IF(OR(C8=FALSE,C14=FALSE),"",Z16)</f>
        <v>Express Lanes on Turnpike VOT was estimated from survey?</v>
      </c>
      <c r="C16" s="86" t="b">
        <v>1</v>
      </c>
      <c r="E16" t="str">
        <f>IF(OR(C8=FALSE,C14=FALSE),"",AE16)</f>
        <v>Enter TRUE if the Express Lanes on Turnpike VOT was estimated from a survey, else enter FALSE.</v>
      </c>
      <c r="L16" s="83"/>
      <c r="M16" s="157"/>
      <c r="Z16" t="s">
        <v>180</v>
      </c>
      <c r="AE16" t="s">
        <v>183</v>
      </c>
    </row>
    <row r="17" spans="2:31" ht="3.6" customHeight="1" x14ac:dyDescent="0.25"/>
    <row r="18" spans="2:31" ht="15.75" thickBot="1" x14ac:dyDescent="0.3">
      <c r="B18" s="158" t="s">
        <v>92</v>
      </c>
    </row>
    <row r="19" spans="2:31" ht="15.75" thickBot="1" x14ac:dyDescent="0.3">
      <c r="B19" s="31" t="s">
        <v>5</v>
      </c>
      <c r="C19" s="164">
        <v>16</v>
      </c>
      <c r="E19" t="s">
        <v>30</v>
      </c>
    </row>
    <row r="20" spans="2:31" ht="3.6" customHeight="1" thickBot="1" x14ac:dyDescent="0.3"/>
    <row r="21" spans="2:31" ht="15.75" thickBot="1" x14ac:dyDescent="0.3">
      <c r="B21" t="str">
        <f>IF(AND($C$8=FALSE),Z21,"")</f>
        <v/>
      </c>
      <c r="C21" s="87">
        <v>60000</v>
      </c>
      <c r="E21" s="183" t="s">
        <v>203</v>
      </c>
      <c r="Z21" t="s">
        <v>35</v>
      </c>
      <c r="AE21" t="s">
        <v>31</v>
      </c>
    </row>
    <row r="22" spans="2:31" ht="4.1500000000000004" customHeight="1" thickBot="1" x14ac:dyDescent="0.3"/>
    <row r="23" spans="2:31" ht="15.75" thickBot="1" x14ac:dyDescent="0.3">
      <c r="B23" s="31" t="str">
        <f>IF(AND($C$8=FALSE),Z23,"")</f>
        <v/>
      </c>
      <c r="C23" s="162">
        <v>1.1499999999999999</v>
      </c>
      <c r="E23" t="s">
        <v>34</v>
      </c>
      <c r="F23" t="s">
        <v>207</v>
      </c>
      <c r="G23" s="32" t="s">
        <v>33</v>
      </c>
      <c r="Z23" t="s">
        <v>32</v>
      </c>
    </row>
    <row r="24" spans="2:31" ht="4.1500000000000004" customHeight="1" thickBot="1" x14ac:dyDescent="0.3"/>
    <row r="25" spans="2:31" ht="15.75" thickBot="1" x14ac:dyDescent="0.3">
      <c r="B25" t="str">
        <f>IF(AND($C$8=FALSE),Z25,"")</f>
        <v/>
      </c>
      <c r="C25" s="160">
        <f>C21/C23</f>
        <v>52173.913043478264</v>
      </c>
      <c r="Z25" t="s">
        <v>165</v>
      </c>
    </row>
    <row r="27" spans="2:31" x14ac:dyDescent="0.25">
      <c r="B27" s="158" t="s">
        <v>182</v>
      </c>
    </row>
    <row r="28" spans="2:31" ht="4.1500000000000004" customHeight="1" thickBot="1" x14ac:dyDescent="0.3">
      <c r="B28" s="158"/>
    </row>
    <row r="29" spans="2:31" ht="15.75" thickBot="1" x14ac:dyDescent="0.3">
      <c r="B29" t="str">
        <f>IF(AND(C8=TRUE),Z29,"")</f>
        <v>Aggregate VOT</v>
      </c>
      <c r="C29" s="163">
        <v>9.6196000000000002</v>
      </c>
      <c r="Z29" t="s">
        <v>159</v>
      </c>
    </row>
    <row r="30" spans="2:31" ht="4.1500000000000004" customHeight="1" thickBot="1" x14ac:dyDescent="0.3">
      <c r="C30" s="165"/>
    </row>
    <row r="31" spans="2:31" ht="15.75" thickBot="1" x14ac:dyDescent="0.3">
      <c r="B31" t="str">
        <f>IF(AND($C$8=TRUE,$C$10=TRUE,$C$12=TRUE),Z31,"")</f>
        <v/>
      </c>
      <c r="C31" s="163">
        <v>14</v>
      </c>
      <c r="Z31" t="s">
        <v>166</v>
      </c>
    </row>
    <row r="32" spans="2:31" ht="4.1500000000000004" customHeight="1" thickBot="1" x14ac:dyDescent="0.3">
      <c r="C32" s="89"/>
    </row>
    <row r="33" spans="2:26" ht="15.75" thickBot="1" x14ac:dyDescent="0.3">
      <c r="B33" t="str">
        <f>IF(AND($C$8=TRUE,$C$10=TRUE,$C$12=TRUE),Z33,"")</f>
        <v/>
      </c>
      <c r="C33" s="163">
        <v>9</v>
      </c>
      <c r="Z33" t="s">
        <v>167</v>
      </c>
    </row>
    <row r="34" spans="2:26" ht="4.1500000000000004" customHeight="1" thickBot="1" x14ac:dyDescent="0.3">
      <c r="C34" s="28"/>
    </row>
    <row r="35" spans="2:26" ht="15.75" thickBot="1" x14ac:dyDescent="0.3">
      <c r="B35" t="str">
        <f>IF(OR($C$10=FALSE,AND($C$8=TRUE,$C$12=TRUE)),"",Z35)</f>
        <v/>
      </c>
      <c r="C35" s="150">
        <v>1.5</v>
      </c>
      <c r="Z35" t="s">
        <v>168</v>
      </c>
    </row>
    <row r="36" spans="2:26" ht="4.1500000000000004" customHeight="1" thickBot="1" x14ac:dyDescent="0.3">
      <c r="C36" s="156"/>
    </row>
    <row r="37" spans="2:26" ht="15.75" thickBot="1" x14ac:dyDescent="0.3">
      <c r="B37" t="str">
        <f>IF(OR($C$14=FALSE,AND($C$8=TRUE,$C$16=TRUE)),"",Z37)</f>
        <v/>
      </c>
      <c r="C37" s="98">
        <v>0.75</v>
      </c>
      <c r="Z37" t="s">
        <v>169</v>
      </c>
    </row>
    <row r="38" spans="2:26" ht="4.1500000000000004" customHeight="1" thickBot="1" x14ac:dyDescent="0.3"/>
    <row r="39" spans="2:26" ht="14.45" customHeight="1" thickBot="1" x14ac:dyDescent="0.3">
      <c r="B39" t="str">
        <f>IF(OR($C$10=FALSE,AND($C$8=TRUE,$C$12=TRUE)),"",Z39)</f>
        <v/>
      </c>
      <c r="C39" s="162">
        <v>0.15</v>
      </c>
      <c r="Z39" t="s">
        <v>192</v>
      </c>
    </row>
    <row r="40" spans="2:26" x14ac:dyDescent="0.25">
      <c r="B40" s="84"/>
    </row>
    <row r="41" spans="2:26" s="140" customFormat="1" ht="15.75" x14ac:dyDescent="0.25">
      <c r="B41" s="138" t="s">
        <v>105</v>
      </c>
      <c r="C41" s="139"/>
    </row>
    <row r="42" spans="2:26" s="5" customFormat="1" ht="6.6" customHeight="1" x14ac:dyDescent="0.25">
      <c r="B42" s="94"/>
      <c r="C42" s="93"/>
    </row>
    <row r="43" spans="2:26" ht="15.75" thickBot="1" x14ac:dyDescent="0.3">
      <c r="B43" s="84" t="s">
        <v>93</v>
      </c>
    </row>
    <row r="44" spans="2:26" ht="15.75" thickBot="1" x14ac:dyDescent="0.3">
      <c r="B44" t="s">
        <v>88</v>
      </c>
      <c r="C44" s="90">
        <f>IF($C$8=TRUE,$C$29, 'Ref - Toll mode choice model'!B5/'Ref - Toll mode choice model'!B6*60*LN('(Input) Time Cost Coefs'!C19)*LN('(Input) Time Cost Coefs'!C25)*C23)*IF(OR(C14=FALSE,AND(C8=TRUE,C16=TRUE)),1,C37)</f>
        <v>9.6196000000000002</v>
      </c>
    </row>
    <row r="45" spans="2:26" ht="15.75" thickBot="1" x14ac:dyDescent="0.3">
      <c r="B45" t="s">
        <v>190</v>
      </c>
      <c r="C45" s="91">
        <f>L45*-1</f>
        <v>-0.10457323405194872</v>
      </c>
      <c r="H45" s="33">
        <f>((('(Input) Time Cost Coefs'!C44/'Ref - Toll mode choice model'!B30)-1)/2+1)*'Ref - Toll mode choice model'!B28</f>
        <v>0.10481947</v>
      </c>
      <c r="I45" s="33"/>
      <c r="J45" s="33">
        <f>(((C44/I46)-1)/2+1)*H45</f>
        <v>0.10457352327330456</v>
      </c>
      <c r="K45" s="33"/>
      <c r="L45" s="33">
        <f>(((C44/K46)-1)/2+1)*J45</f>
        <v>0.10457323405194872</v>
      </c>
      <c r="M45" s="33"/>
    </row>
    <row r="46" spans="2:26" ht="15.75" thickBot="1" x14ac:dyDescent="0.3">
      <c r="B46" t="s">
        <v>191</v>
      </c>
      <c r="C46" s="91">
        <f>L46*-1</f>
        <v>-0.65225103362602688</v>
      </c>
      <c r="H46" s="33">
        <f>'Ref - Toll mode choice model'!B29/((('(Input) Time Cost Coefs'!C44/'Ref - Toll mode choice model'!B30)-1)/2+1)</f>
        <v>0.65071880252781278</v>
      </c>
      <c r="I46" s="33">
        <f>H45/H46*60</f>
        <v>9.6649553932801737</v>
      </c>
      <c r="J46" s="33">
        <f>H46/(((C44/I46)-1)/2+1)</f>
        <v>0.65224922968060761</v>
      </c>
      <c r="K46" s="33">
        <f>J45/J46*60</f>
        <v>9.6196532105844224</v>
      </c>
      <c r="L46" s="33">
        <f>J46/(((C44/K46)-1)/2+1)</f>
        <v>0.65225103362602688</v>
      </c>
      <c r="M46" s="33">
        <f>L45/L46*60</f>
        <v>9.6196000000735857</v>
      </c>
    </row>
    <row r="47" spans="2:26" ht="15.75" thickBot="1" x14ac:dyDescent="0.3">
      <c r="B47" t="s">
        <v>89</v>
      </c>
      <c r="C47" s="91">
        <f>60/C44/100</f>
        <v>6.2372655827685142E-2</v>
      </c>
      <c r="D47" s="21"/>
      <c r="E47" s="22"/>
      <c r="F47" s="23"/>
      <c r="G47" s="24"/>
    </row>
    <row r="48" spans="2:26" x14ac:dyDescent="0.25">
      <c r="C48" s="92"/>
      <c r="D48" s="21"/>
      <c r="E48" s="22"/>
      <c r="F48" s="23"/>
      <c r="G48" s="24"/>
    </row>
    <row r="49" spans="2:13" ht="15.75" thickBot="1" x14ac:dyDescent="0.3">
      <c r="B49" s="84" t="s">
        <v>95</v>
      </c>
      <c r="D49" s="21"/>
      <c r="E49" s="22"/>
      <c r="G49" s="24"/>
    </row>
    <row r="50" spans="2:13" ht="15.75" thickBot="1" x14ac:dyDescent="0.3">
      <c r="B50" t="s">
        <v>81</v>
      </c>
      <c r="C50" s="90">
        <f>IF(AND(AND(C8=TRUE,C10=TRUE,C12=TRUE),NOT(AND(C14=TRUE,C16=FALSE))),C31,($C$45*60)/C52)</f>
        <v>13.422697674521281</v>
      </c>
      <c r="D50" s="21"/>
      <c r="E50" s="151"/>
      <c r="G50" s="24"/>
      <c r="H50" s="33"/>
      <c r="I50" s="33"/>
      <c r="J50" s="33"/>
      <c r="K50" s="33"/>
      <c r="L50" s="33"/>
      <c r="M50" s="33"/>
    </row>
    <row r="51" spans="2:13" ht="15.75" thickBot="1" x14ac:dyDescent="0.3">
      <c r="B51" t="s">
        <v>82</v>
      </c>
      <c r="C51" s="90">
        <f>IF(AND(AND($C$8=TRUE,$C$10=TRUE,$C$12=TRUE),NOT(AND($C$14=TRUE,$C$16=FALSE))),C33,($C$45*60)/C53)</f>
        <v>8.9484651163475206</v>
      </c>
      <c r="D51" s="21"/>
      <c r="E51" s="22"/>
      <c r="G51" s="24"/>
      <c r="H51" s="33"/>
      <c r="I51" s="33"/>
      <c r="J51" s="33"/>
      <c r="K51" s="33"/>
      <c r="L51" s="33"/>
      <c r="M51" s="33"/>
    </row>
    <row r="52" spans="2:13" ht="15.75" thickBot="1" x14ac:dyDescent="0.3">
      <c r="B52" s="31" t="s">
        <v>112</v>
      </c>
      <c r="C52" s="91">
        <f>IF(AND($C$8=TRUE,$C$10=TRUE,$C$12=TRUE,$C$14=TRUE,$C$16=FALSE),$C$45*60/($C$31*$C$37),IF(AND(C8=TRUE,C10=TRUE,C12=TRUE),$C$45*60/C50,C53/C35))</f>
        <v>-0.46744657409865259</v>
      </c>
      <c r="D52" s="34"/>
      <c r="E52" s="34"/>
      <c r="G52" s="34"/>
      <c r="J52" s="33"/>
      <c r="K52" s="33"/>
      <c r="L52" s="33"/>
      <c r="M52" s="33"/>
    </row>
    <row r="53" spans="2:13" ht="15.75" thickBot="1" x14ac:dyDescent="0.3">
      <c r="B53" s="31" t="s">
        <v>113</v>
      </c>
      <c r="C53" s="91">
        <f>IF(AND($C$8=TRUE,$C$10=TRUE,$C$12=TRUE,$C$14=TRUE,$C$16=FALSE),$C$45*60/($C$33*$C$37),IF(AND(C8=TRUE,C10=TRUE,C12=TRUE),$C$45*60/C51,C46*(C39*C35+(1-C39))))</f>
        <v>-0.70116986114797886</v>
      </c>
      <c r="D53" s="34"/>
      <c r="E53" s="34"/>
      <c r="F53" s="33"/>
      <c r="G53" s="33"/>
    </row>
    <row r="54" spans="2:13" x14ac:dyDescent="0.25">
      <c r="B54" s="2"/>
      <c r="D54" s="25"/>
      <c r="E54" s="26"/>
    </row>
    <row r="55" spans="2:13" x14ac:dyDescent="0.25">
      <c r="B55" s="30" t="s">
        <v>90</v>
      </c>
      <c r="C55" s="88"/>
      <c r="D55" s="25"/>
      <c r="E55" s="26"/>
      <c r="F55" s="27"/>
      <c r="G55" s="28"/>
    </row>
    <row r="56" spans="2:13" x14ac:dyDescent="0.25">
      <c r="B56" s="30" t="s">
        <v>36</v>
      </c>
      <c r="C56" s="89"/>
      <c r="D56" s="28"/>
      <c r="E56" s="28"/>
      <c r="F56" s="28"/>
      <c r="G56" s="27"/>
    </row>
    <row r="57" spans="2:13" x14ac:dyDescent="0.25">
      <c r="B57" s="30" t="s">
        <v>91</v>
      </c>
    </row>
    <row r="58" spans="2:13" x14ac:dyDescent="0.25">
      <c r="B58" s="30"/>
      <c r="D58" s="33"/>
      <c r="E58" s="33"/>
      <c r="F58" s="33"/>
      <c r="G58" s="33"/>
    </row>
    <row r="59" spans="2:13" x14ac:dyDescent="0.25">
      <c r="D59" s="33"/>
      <c r="E59" s="33"/>
      <c r="F59" s="33"/>
      <c r="G59" s="33"/>
    </row>
    <row r="60" spans="2:13" x14ac:dyDescent="0.25">
      <c r="D60" s="21"/>
      <c r="E60" s="22"/>
      <c r="F60" s="23"/>
      <c r="G60" s="24"/>
    </row>
    <row r="64" spans="2:13" x14ac:dyDescent="0.25">
      <c r="D64" s="29"/>
    </row>
    <row r="68" spans="2:8" x14ac:dyDescent="0.25">
      <c r="G68" s="29"/>
      <c r="H68" s="29"/>
    </row>
    <row r="69" spans="2:8" ht="17.45" customHeight="1" x14ac:dyDescent="0.25">
      <c r="B69" s="8"/>
    </row>
  </sheetData>
  <conditionalFormatting sqref="C12">
    <cfRule type="expression" dxfId="12" priority="15">
      <formula>OR($C$8=FALSE,$C$10=FALSE)</formula>
    </cfRule>
  </conditionalFormatting>
  <conditionalFormatting sqref="C21">
    <cfRule type="expression" dxfId="11" priority="14">
      <formula>OR($C$8=TRUE)</formula>
    </cfRule>
  </conditionalFormatting>
  <conditionalFormatting sqref="C23">
    <cfRule type="expression" dxfId="10" priority="13">
      <formula>OR($C$8=TRUE)</formula>
    </cfRule>
  </conditionalFormatting>
  <conditionalFormatting sqref="C25">
    <cfRule type="expression" dxfId="9" priority="12">
      <formula>OR($C$8=TRUE)</formula>
    </cfRule>
  </conditionalFormatting>
  <conditionalFormatting sqref="G23">
    <cfRule type="expression" dxfId="8" priority="11">
      <formula>AND($C$8=TRUE)</formula>
    </cfRule>
  </conditionalFormatting>
  <conditionalFormatting sqref="E23">
    <cfRule type="expression" dxfId="7" priority="10">
      <formula>OR($C$8=TRUE)</formula>
    </cfRule>
  </conditionalFormatting>
  <conditionalFormatting sqref="C29">
    <cfRule type="expression" dxfId="6" priority="9">
      <formula>OR($C$8=FALSE)</formula>
    </cfRule>
  </conditionalFormatting>
  <conditionalFormatting sqref="C31">
    <cfRule type="expression" dxfId="5" priority="8">
      <formula>OR($C$8=FALSE,$C$10=FALSE,$C$12=FALSE)</formula>
    </cfRule>
  </conditionalFormatting>
  <conditionalFormatting sqref="C33">
    <cfRule type="expression" dxfId="4" priority="6">
      <formula>OR($C$8=FALSE,$C$10=FALSE,$C$12=FALSE)</formula>
    </cfRule>
  </conditionalFormatting>
  <conditionalFormatting sqref="C35">
    <cfRule type="expression" dxfId="3" priority="5">
      <formula>OR($C$10=FALSE,AND($C$8=TRUE,$C$12=TRUE))</formula>
    </cfRule>
  </conditionalFormatting>
  <conditionalFormatting sqref="C16">
    <cfRule type="expression" dxfId="2" priority="4">
      <formula>OR($C$8=FALSE,$C$14=FALSE)</formula>
    </cfRule>
  </conditionalFormatting>
  <conditionalFormatting sqref="C37">
    <cfRule type="expression" dxfId="1" priority="3">
      <formula>OR($C$14=FALSE,AND($C$8=TRUE,$C$16=TRUE))</formula>
    </cfRule>
  </conditionalFormatting>
  <conditionalFormatting sqref="C39">
    <cfRule type="expression" dxfId="0" priority="1">
      <formula>OR($C$10=FALSE,AND($C$8=TRUE,$C$12=TRUE))</formula>
    </cfRule>
  </conditionalFormatting>
  <dataValidations count="2">
    <dataValidation type="list" allowBlank="1" showInputMessage="1" showErrorMessage="1" sqref="C8 C10 C12 C14:C16" xr:uid="{00000000-0002-0000-0200-000000000000}">
      <formula1>$Z$2:$Z$3</formula1>
    </dataValidation>
    <dataValidation type="decimal" allowBlank="1" showInputMessage="1" showErrorMessage="1" sqref="C19 C31 C33" xr:uid="{00000000-0002-0000-0200-000001000000}">
      <formula1>1</formula1>
      <formula2>999</formula2>
    </dataValidation>
  </dataValidations>
  <hyperlinks>
    <hyperlink ref="G23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B1:Y162"/>
  <sheetViews>
    <sheetView showGridLines="0" workbookViewId="0">
      <selection activeCell="Y3" sqref="Y3"/>
    </sheetView>
  </sheetViews>
  <sheetFormatPr defaultRowHeight="15" x14ac:dyDescent="0.25"/>
  <cols>
    <col min="1" max="1" width="6.7109375" customWidth="1"/>
    <col min="2" max="2" width="45.140625" customWidth="1"/>
    <col min="3" max="3" width="7.85546875" customWidth="1"/>
    <col min="23" max="23" width="20.42578125" bestFit="1" customWidth="1"/>
  </cols>
  <sheetData>
    <row r="1" spans="2:25" s="95" customFormat="1" ht="18" customHeight="1" x14ac:dyDescent="0.3">
      <c r="B1" s="136" t="s">
        <v>68</v>
      </c>
    </row>
    <row r="2" spans="2:25" ht="15.6" customHeight="1" thickBot="1" x14ac:dyDescent="0.3"/>
    <row r="3" spans="2:25" ht="15.6" customHeight="1" thickBot="1" x14ac:dyDescent="0.3">
      <c r="B3" s="8" t="s">
        <v>178</v>
      </c>
      <c r="C3" s="74">
        <v>2</v>
      </c>
      <c r="S3" t="s">
        <v>37</v>
      </c>
      <c r="T3">
        <v>0.25</v>
      </c>
      <c r="U3" s="35">
        <f t="shared" ref="U3:U34" si="0">MAX(MIN(ReliabilityRatio*(I95_TollDist/T3)^ReliabilityExponent,MaxReliabilityRatio),ReliabilityCoef_Min)</f>
        <v>3</v>
      </c>
      <c r="W3" t="s">
        <v>208</v>
      </c>
      <c r="X3">
        <v>7.2</v>
      </c>
      <c r="Y3">
        <f>ReliabilityRatio</f>
        <v>2</v>
      </c>
    </row>
    <row r="4" spans="2:25" ht="15.6" customHeight="1" thickBot="1" x14ac:dyDescent="0.3">
      <c r="B4" s="8" t="s">
        <v>76</v>
      </c>
      <c r="C4" s="74">
        <v>1</v>
      </c>
      <c r="T4">
        <f>T3+0.25</f>
        <v>0.5</v>
      </c>
      <c r="U4" s="35">
        <f t="shared" si="0"/>
        <v>3</v>
      </c>
      <c r="W4" t="s">
        <v>209</v>
      </c>
      <c r="X4">
        <f>'(Input) Time Cost Coefs'!C19</f>
        <v>16</v>
      </c>
      <c r="Y4" s="35">
        <f t="shared" ref="Y4" si="1">MAX(MIN(ReliabilityRatio*(I95_TollDist/X4)^ReliabilityExponent,MaxReliabilityRatio),ReliabilityCoef_Min)</f>
        <v>0.9</v>
      </c>
    </row>
    <row r="5" spans="2:25" ht="15.6" customHeight="1" thickBot="1" x14ac:dyDescent="0.3">
      <c r="B5" s="8" t="s">
        <v>110</v>
      </c>
      <c r="C5" s="74">
        <v>0.5</v>
      </c>
      <c r="T5">
        <f t="shared" ref="T5:T68" si="2">T4+0.25</f>
        <v>0.75</v>
      </c>
      <c r="U5" s="35">
        <f t="shared" si="0"/>
        <v>3</v>
      </c>
    </row>
    <row r="6" spans="2:25" ht="15.6" customHeight="1" thickBot="1" x14ac:dyDescent="0.3">
      <c r="B6" s="8" t="s">
        <v>111</v>
      </c>
      <c r="C6" s="74">
        <v>3</v>
      </c>
      <c r="T6">
        <f t="shared" si="2"/>
        <v>1</v>
      </c>
      <c r="U6" s="35">
        <f t="shared" si="0"/>
        <v>3</v>
      </c>
    </row>
    <row r="7" spans="2:25" ht="15.75" thickBot="1" x14ac:dyDescent="0.3">
      <c r="T7">
        <f t="shared" si="2"/>
        <v>1.25</v>
      </c>
      <c r="U7" s="35">
        <f t="shared" si="0"/>
        <v>3</v>
      </c>
    </row>
    <row r="8" spans="2:25" ht="21" customHeight="1" thickBot="1" x14ac:dyDescent="0.3">
      <c r="B8" s="168" t="s">
        <v>179</v>
      </c>
      <c r="C8" s="73">
        <f>MAX(MIN(ReliabilityRatio*(I95_TollDist/X4)^ReliabilityExponent,MaxReliabilityRatio),ReliabilityCoef_Min)</f>
        <v>0.9</v>
      </c>
      <c r="T8">
        <f t="shared" si="2"/>
        <v>1.5</v>
      </c>
      <c r="U8" s="35">
        <f t="shared" si="0"/>
        <v>3</v>
      </c>
    </row>
    <row r="9" spans="2:25" ht="15.75" thickBot="1" x14ac:dyDescent="0.3">
      <c r="B9" s="63" t="s">
        <v>83</v>
      </c>
      <c r="C9" s="73">
        <f>'(Input) Time Cost Coefs'!C44*ReliabilityRatio</f>
        <v>19.2392</v>
      </c>
      <c r="T9">
        <f t="shared" si="2"/>
        <v>1.75</v>
      </c>
      <c r="U9" s="35">
        <f t="shared" si="0"/>
        <v>3</v>
      </c>
    </row>
    <row r="10" spans="2:25" ht="28.15" customHeight="1" thickBot="1" x14ac:dyDescent="0.3">
      <c r="B10" s="64" t="s">
        <v>84</v>
      </c>
      <c r="C10" s="73">
        <f>'(Input) Time Cost Coefs'!C50*ReliabilityRatio</f>
        <v>26.845395349042562</v>
      </c>
      <c r="T10">
        <f t="shared" si="2"/>
        <v>2</v>
      </c>
      <c r="U10" s="35">
        <f t="shared" si="0"/>
        <v>3</v>
      </c>
    </row>
    <row r="11" spans="2:25" ht="30" customHeight="1" thickBot="1" x14ac:dyDescent="0.3">
      <c r="B11" s="64" t="s">
        <v>85</v>
      </c>
      <c r="C11" s="73">
        <f>'(Input) Time Cost Coefs'!C51*ReliabilityRatio</f>
        <v>17.896930232695041</v>
      </c>
      <c r="T11">
        <f t="shared" si="2"/>
        <v>2.25</v>
      </c>
      <c r="U11" s="35">
        <f t="shared" si="0"/>
        <v>3</v>
      </c>
    </row>
    <row r="12" spans="2:25" x14ac:dyDescent="0.25">
      <c r="T12">
        <f t="shared" si="2"/>
        <v>2.5</v>
      </c>
      <c r="U12" s="35">
        <f t="shared" si="0"/>
        <v>3</v>
      </c>
    </row>
    <row r="13" spans="2:25" x14ac:dyDescent="0.25">
      <c r="B13" s="65" t="s">
        <v>152</v>
      </c>
      <c r="T13">
        <f t="shared" si="2"/>
        <v>2.75</v>
      </c>
      <c r="U13" s="35">
        <f t="shared" si="0"/>
        <v>3</v>
      </c>
    </row>
    <row r="14" spans="2:25" x14ac:dyDescent="0.25">
      <c r="T14">
        <f t="shared" si="2"/>
        <v>3</v>
      </c>
      <c r="U14" s="35">
        <f t="shared" si="0"/>
        <v>3</v>
      </c>
    </row>
    <row r="15" spans="2:25" x14ac:dyDescent="0.25">
      <c r="T15">
        <f t="shared" si="2"/>
        <v>3.25</v>
      </c>
      <c r="U15" s="35">
        <f t="shared" si="0"/>
        <v>3</v>
      </c>
    </row>
    <row r="16" spans="2:25" x14ac:dyDescent="0.25">
      <c r="T16">
        <f t="shared" si="2"/>
        <v>3.5</v>
      </c>
      <c r="U16" s="35">
        <f t="shared" si="0"/>
        <v>3</v>
      </c>
    </row>
    <row r="17" spans="6:21" x14ac:dyDescent="0.25">
      <c r="F17" t="s">
        <v>207</v>
      </c>
      <c r="T17">
        <f t="shared" si="2"/>
        <v>3.75</v>
      </c>
      <c r="U17" s="35">
        <f t="shared" si="0"/>
        <v>3</v>
      </c>
    </row>
    <row r="18" spans="6:21" x14ac:dyDescent="0.25">
      <c r="T18">
        <f t="shared" si="2"/>
        <v>4</v>
      </c>
      <c r="U18" s="35">
        <f t="shared" si="0"/>
        <v>3</v>
      </c>
    </row>
    <row r="19" spans="6:21" x14ac:dyDescent="0.25">
      <c r="T19">
        <f t="shared" si="2"/>
        <v>4.25</v>
      </c>
      <c r="U19" s="35">
        <f t="shared" si="0"/>
        <v>3</v>
      </c>
    </row>
    <row r="20" spans="6:21" x14ac:dyDescent="0.25">
      <c r="T20">
        <f t="shared" si="2"/>
        <v>4.5</v>
      </c>
      <c r="U20" s="35">
        <f t="shared" si="0"/>
        <v>3</v>
      </c>
    </row>
    <row r="21" spans="6:21" x14ac:dyDescent="0.25">
      <c r="T21">
        <f t="shared" si="2"/>
        <v>4.75</v>
      </c>
      <c r="U21" s="35">
        <f t="shared" si="0"/>
        <v>3</v>
      </c>
    </row>
    <row r="22" spans="6:21" x14ac:dyDescent="0.25">
      <c r="T22">
        <f t="shared" si="2"/>
        <v>5</v>
      </c>
      <c r="U22" s="35">
        <f t="shared" si="0"/>
        <v>2.88</v>
      </c>
    </row>
    <row r="23" spans="6:21" x14ac:dyDescent="0.25">
      <c r="T23">
        <f t="shared" si="2"/>
        <v>5.25</v>
      </c>
      <c r="U23" s="35">
        <f t="shared" si="0"/>
        <v>2.7428571428571429</v>
      </c>
    </row>
    <row r="24" spans="6:21" x14ac:dyDescent="0.25">
      <c r="T24">
        <f t="shared" si="2"/>
        <v>5.5</v>
      </c>
      <c r="U24" s="35">
        <f t="shared" si="0"/>
        <v>2.6181818181818182</v>
      </c>
    </row>
    <row r="25" spans="6:21" x14ac:dyDescent="0.25">
      <c r="T25">
        <f t="shared" si="2"/>
        <v>5.75</v>
      </c>
      <c r="U25" s="35">
        <f t="shared" si="0"/>
        <v>2.5043478260869567</v>
      </c>
    </row>
    <row r="26" spans="6:21" x14ac:dyDescent="0.25">
      <c r="T26">
        <f t="shared" si="2"/>
        <v>6</v>
      </c>
      <c r="U26" s="35">
        <f t="shared" si="0"/>
        <v>2.4</v>
      </c>
    </row>
    <row r="27" spans="6:21" x14ac:dyDescent="0.25">
      <c r="T27">
        <f t="shared" si="2"/>
        <v>6.25</v>
      </c>
      <c r="U27" s="35">
        <f t="shared" si="0"/>
        <v>2.3040000000000003</v>
      </c>
    </row>
    <row r="28" spans="6:21" x14ac:dyDescent="0.25">
      <c r="T28">
        <f t="shared" si="2"/>
        <v>6.5</v>
      </c>
      <c r="U28" s="35">
        <f t="shared" si="0"/>
        <v>2.2153846153846155</v>
      </c>
    </row>
    <row r="29" spans="6:21" x14ac:dyDescent="0.25">
      <c r="T29">
        <f t="shared" si="2"/>
        <v>6.75</v>
      </c>
      <c r="U29" s="35">
        <f t="shared" si="0"/>
        <v>2.1333333333333333</v>
      </c>
    </row>
    <row r="30" spans="6:21" x14ac:dyDescent="0.25">
      <c r="T30">
        <f t="shared" si="2"/>
        <v>7</v>
      </c>
      <c r="U30" s="35">
        <f t="shared" si="0"/>
        <v>2.0571428571428574</v>
      </c>
    </row>
    <row r="31" spans="6:21" x14ac:dyDescent="0.25">
      <c r="T31">
        <f t="shared" si="2"/>
        <v>7.25</v>
      </c>
      <c r="U31" s="35">
        <f t="shared" si="0"/>
        <v>1.9862068965517241</v>
      </c>
    </row>
    <row r="32" spans="6:21" x14ac:dyDescent="0.25">
      <c r="T32">
        <f t="shared" si="2"/>
        <v>7.5</v>
      </c>
      <c r="U32" s="35">
        <f t="shared" si="0"/>
        <v>1.9200000000000002</v>
      </c>
    </row>
    <row r="33" spans="20:21" x14ac:dyDescent="0.25">
      <c r="T33">
        <f t="shared" si="2"/>
        <v>7.75</v>
      </c>
      <c r="U33" s="35">
        <f t="shared" si="0"/>
        <v>1.8580645161290323</v>
      </c>
    </row>
    <row r="34" spans="20:21" x14ac:dyDescent="0.25">
      <c r="T34">
        <f t="shared" si="2"/>
        <v>8</v>
      </c>
      <c r="U34" s="35">
        <f t="shared" si="0"/>
        <v>1.8</v>
      </c>
    </row>
    <row r="35" spans="20:21" x14ac:dyDescent="0.25">
      <c r="T35">
        <f t="shared" si="2"/>
        <v>8.25</v>
      </c>
      <c r="U35" s="35">
        <f t="shared" ref="U35:U66" si="3">MAX(MIN(ReliabilityRatio*(I95_TollDist/T35)^ReliabilityExponent,MaxReliabilityRatio),ReliabilityCoef_Min)</f>
        <v>1.7454545454545456</v>
      </c>
    </row>
    <row r="36" spans="20:21" x14ac:dyDescent="0.25">
      <c r="T36">
        <f t="shared" si="2"/>
        <v>8.5</v>
      </c>
      <c r="U36" s="35">
        <f t="shared" si="3"/>
        <v>1.6941176470588235</v>
      </c>
    </row>
    <row r="37" spans="20:21" x14ac:dyDescent="0.25">
      <c r="T37">
        <f t="shared" si="2"/>
        <v>8.75</v>
      </c>
      <c r="U37" s="35">
        <f t="shared" si="3"/>
        <v>1.6457142857142857</v>
      </c>
    </row>
    <row r="38" spans="20:21" x14ac:dyDescent="0.25">
      <c r="T38">
        <f t="shared" si="2"/>
        <v>9</v>
      </c>
      <c r="U38" s="35">
        <f t="shared" si="3"/>
        <v>1.6</v>
      </c>
    </row>
    <row r="39" spans="20:21" x14ac:dyDescent="0.25">
      <c r="T39">
        <f t="shared" si="2"/>
        <v>9.25</v>
      </c>
      <c r="U39" s="35">
        <f t="shared" si="3"/>
        <v>1.5567567567567568</v>
      </c>
    </row>
    <row r="40" spans="20:21" x14ac:dyDescent="0.25">
      <c r="T40">
        <f t="shared" si="2"/>
        <v>9.5</v>
      </c>
      <c r="U40" s="35">
        <f t="shared" si="3"/>
        <v>1.5157894736842106</v>
      </c>
    </row>
    <row r="41" spans="20:21" x14ac:dyDescent="0.25">
      <c r="T41">
        <f t="shared" si="2"/>
        <v>9.75</v>
      </c>
      <c r="U41" s="35">
        <f t="shared" si="3"/>
        <v>1.476923076923077</v>
      </c>
    </row>
    <row r="42" spans="20:21" x14ac:dyDescent="0.25">
      <c r="T42">
        <f t="shared" si="2"/>
        <v>10</v>
      </c>
      <c r="U42" s="35">
        <f t="shared" si="3"/>
        <v>1.44</v>
      </c>
    </row>
    <row r="43" spans="20:21" x14ac:dyDescent="0.25">
      <c r="T43">
        <f t="shared" si="2"/>
        <v>10.25</v>
      </c>
      <c r="U43" s="35">
        <f t="shared" si="3"/>
        <v>1.4048780487804879</v>
      </c>
    </row>
    <row r="44" spans="20:21" x14ac:dyDescent="0.25">
      <c r="T44">
        <f t="shared" si="2"/>
        <v>10.5</v>
      </c>
      <c r="U44" s="35">
        <f t="shared" si="3"/>
        <v>1.3714285714285714</v>
      </c>
    </row>
    <row r="45" spans="20:21" x14ac:dyDescent="0.25">
      <c r="T45">
        <f t="shared" si="2"/>
        <v>10.75</v>
      </c>
      <c r="U45" s="35">
        <f t="shared" si="3"/>
        <v>1.3395348837209302</v>
      </c>
    </row>
    <row r="46" spans="20:21" x14ac:dyDescent="0.25">
      <c r="T46">
        <f t="shared" si="2"/>
        <v>11</v>
      </c>
      <c r="U46" s="35">
        <f t="shared" si="3"/>
        <v>1.3090909090909091</v>
      </c>
    </row>
    <row r="47" spans="20:21" x14ac:dyDescent="0.25">
      <c r="T47">
        <f t="shared" si="2"/>
        <v>11.25</v>
      </c>
      <c r="U47" s="35">
        <f t="shared" si="3"/>
        <v>1.28</v>
      </c>
    </row>
    <row r="48" spans="20:21" x14ac:dyDescent="0.25">
      <c r="T48">
        <f t="shared" si="2"/>
        <v>11.5</v>
      </c>
      <c r="U48" s="35">
        <f t="shared" si="3"/>
        <v>1.2521739130434784</v>
      </c>
    </row>
    <row r="49" spans="20:21" x14ac:dyDescent="0.25">
      <c r="T49">
        <f t="shared" si="2"/>
        <v>11.75</v>
      </c>
      <c r="U49" s="35">
        <f t="shared" si="3"/>
        <v>1.225531914893617</v>
      </c>
    </row>
    <row r="50" spans="20:21" x14ac:dyDescent="0.25">
      <c r="T50">
        <f t="shared" si="2"/>
        <v>12</v>
      </c>
      <c r="U50" s="35">
        <f t="shared" si="3"/>
        <v>1.2</v>
      </c>
    </row>
    <row r="51" spans="20:21" x14ac:dyDescent="0.25">
      <c r="T51">
        <f t="shared" si="2"/>
        <v>12.25</v>
      </c>
      <c r="U51" s="35">
        <f t="shared" si="3"/>
        <v>1.1755102040816328</v>
      </c>
    </row>
    <row r="52" spans="20:21" x14ac:dyDescent="0.25">
      <c r="T52">
        <f t="shared" si="2"/>
        <v>12.5</v>
      </c>
      <c r="U52" s="35">
        <f t="shared" si="3"/>
        <v>1.1520000000000001</v>
      </c>
    </row>
    <row r="53" spans="20:21" x14ac:dyDescent="0.25">
      <c r="T53">
        <f t="shared" si="2"/>
        <v>12.75</v>
      </c>
      <c r="U53" s="35">
        <f t="shared" si="3"/>
        <v>1.1294117647058823</v>
      </c>
    </row>
    <row r="54" spans="20:21" x14ac:dyDescent="0.25">
      <c r="T54">
        <f t="shared" si="2"/>
        <v>13</v>
      </c>
      <c r="U54" s="35">
        <f t="shared" si="3"/>
        <v>1.1076923076923078</v>
      </c>
    </row>
    <row r="55" spans="20:21" x14ac:dyDescent="0.25">
      <c r="T55">
        <f t="shared" si="2"/>
        <v>13.25</v>
      </c>
      <c r="U55" s="35">
        <f t="shared" si="3"/>
        <v>1.0867924528301887</v>
      </c>
    </row>
    <row r="56" spans="20:21" x14ac:dyDescent="0.25">
      <c r="T56">
        <f t="shared" si="2"/>
        <v>13.5</v>
      </c>
      <c r="U56" s="35">
        <f t="shared" si="3"/>
        <v>1.0666666666666667</v>
      </c>
    </row>
    <row r="57" spans="20:21" x14ac:dyDescent="0.25">
      <c r="T57">
        <f t="shared" si="2"/>
        <v>13.75</v>
      </c>
      <c r="U57" s="35">
        <f t="shared" si="3"/>
        <v>1.0472727272727274</v>
      </c>
    </row>
    <row r="58" spans="20:21" x14ac:dyDescent="0.25">
      <c r="T58">
        <f t="shared" si="2"/>
        <v>14</v>
      </c>
      <c r="U58" s="35">
        <f t="shared" si="3"/>
        <v>1.0285714285714287</v>
      </c>
    </row>
    <row r="59" spans="20:21" x14ac:dyDescent="0.25">
      <c r="T59">
        <f t="shared" si="2"/>
        <v>14.25</v>
      </c>
      <c r="U59" s="35">
        <f t="shared" si="3"/>
        <v>1.0105263157894737</v>
      </c>
    </row>
    <row r="60" spans="20:21" x14ac:dyDescent="0.25">
      <c r="T60">
        <f t="shared" si="2"/>
        <v>14.5</v>
      </c>
      <c r="U60" s="35">
        <f t="shared" si="3"/>
        <v>0.99310344827586206</v>
      </c>
    </row>
    <row r="61" spans="20:21" x14ac:dyDescent="0.25">
      <c r="T61">
        <f t="shared" si="2"/>
        <v>14.75</v>
      </c>
      <c r="U61" s="35">
        <f t="shared" si="3"/>
        <v>0.97627118644067801</v>
      </c>
    </row>
    <row r="62" spans="20:21" x14ac:dyDescent="0.25">
      <c r="T62">
        <f t="shared" si="2"/>
        <v>15</v>
      </c>
      <c r="U62" s="35">
        <f t="shared" si="3"/>
        <v>0.96000000000000008</v>
      </c>
    </row>
    <row r="63" spans="20:21" x14ac:dyDescent="0.25">
      <c r="T63">
        <f t="shared" si="2"/>
        <v>15.25</v>
      </c>
      <c r="U63" s="35">
        <f t="shared" si="3"/>
        <v>0.94426229508196724</v>
      </c>
    </row>
    <row r="64" spans="20:21" x14ac:dyDescent="0.25">
      <c r="T64">
        <f t="shared" si="2"/>
        <v>15.5</v>
      </c>
      <c r="U64" s="35">
        <f t="shared" si="3"/>
        <v>0.92903225806451617</v>
      </c>
    </row>
    <row r="65" spans="20:21" x14ac:dyDescent="0.25">
      <c r="T65">
        <f t="shared" si="2"/>
        <v>15.75</v>
      </c>
      <c r="U65" s="35">
        <f t="shared" si="3"/>
        <v>0.91428571428571426</v>
      </c>
    </row>
    <row r="66" spans="20:21" x14ac:dyDescent="0.25">
      <c r="T66">
        <f t="shared" si="2"/>
        <v>16</v>
      </c>
      <c r="U66" s="35">
        <f t="shared" si="3"/>
        <v>0.9</v>
      </c>
    </row>
    <row r="67" spans="20:21" x14ac:dyDescent="0.25">
      <c r="T67">
        <f t="shared" si="2"/>
        <v>16.25</v>
      </c>
      <c r="U67" s="35">
        <f t="shared" ref="U67:U98" si="4">MAX(MIN(ReliabilityRatio*(I95_TollDist/T67)^ReliabilityExponent,MaxReliabilityRatio),ReliabilityCoef_Min)</f>
        <v>0.88615384615384618</v>
      </c>
    </row>
    <row r="68" spans="20:21" x14ac:dyDescent="0.25">
      <c r="T68">
        <f t="shared" si="2"/>
        <v>16.5</v>
      </c>
      <c r="U68" s="35">
        <f t="shared" si="4"/>
        <v>0.8727272727272728</v>
      </c>
    </row>
    <row r="69" spans="20:21" x14ac:dyDescent="0.25">
      <c r="T69">
        <f t="shared" ref="T69:T132" si="5">T68+0.25</f>
        <v>16.75</v>
      </c>
      <c r="U69" s="35">
        <f t="shared" si="4"/>
        <v>0.85970149253731343</v>
      </c>
    </row>
    <row r="70" spans="20:21" x14ac:dyDescent="0.25">
      <c r="T70">
        <f t="shared" si="5"/>
        <v>17</v>
      </c>
      <c r="U70" s="35">
        <f t="shared" si="4"/>
        <v>0.84705882352941175</v>
      </c>
    </row>
    <row r="71" spans="20:21" x14ac:dyDescent="0.25">
      <c r="T71">
        <f t="shared" si="5"/>
        <v>17.25</v>
      </c>
      <c r="U71" s="35">
        <f t="shared" si="4"/>
        <v>0.83478260869565224</v>
      </c>
    </row>
    <row r="72" spans="20:21" x14ac:dyDescent="0.25">
      <c r="T72">
        <f t="shared" si="5"/>
        <v>17.5</v>
      </c>
      <c r="U72" s="35">
        <f t="shared" si="4"/>
        <v>0.82285714285714284</v>
      </c>
    </row>
    <row r="73" spans="20:21" x14ac:dyDescent="0.25">
      <c r="T73">
        <f t="shared" si="5"/>
        <v>17.75</v>
      </c>
      <c r="U73" s="35">
        <f t="shared" si="4"/>
        <v>0.81126760563380285</v>
      </c>
    </row>
    <row r="74" spans="20:21" x14ac:dyDescent="0.25">
      <c r="T74">
        <f t="shared" si="5"/>
        <v>18</v>
      </c>
      <c r="U74" s="35">
        <f t="shared" si="4"/>
        <v>0.8</v>
      </c>
    </row>
    <row r="75" spans="20:21" x14ac:dyDescent="0.25">
      <c r="T75">
        <f t="shared" si="5"/>
        <v>18.25</v>
      </c>
      <c r="U75" s="35">
        <f t="shared" si="4"/>
        <v>0.78904109589041094</v>
      </c>
    </row>
    <row r="76" spans="20:21" x14ac:dyDescent="0.25">
      <c r="T76">
        <f t="shared" si="5"/>
        <v>18.5</v>
      </c>
      <c r="U76" s="35">
        <f t="shared" si="4"/>
        <v>0.77837837837837842</v>
      </c>
    </row>
    <row r="77" spans="20:21" x14ac:dyDescent="0.25">
      <c r="T77">
        <f t="shared" si="5"/>
        <v>18.75</v>
      </c>
      <c r="U77" s="35">
        <f t="shared" si="4"/>
        <v>0.76800000000000002</v>
      </c>
    </row>
    <row r="78" spans="20:21" x14ac:dyDescent="0.25">
      <c r="T78">
        <f t="shared" si="5"/>
        <v>19</v>
      </c>
      <c r="U78" s="35">
        <f t="shared" si="4"/>
        <v>0.75789473684210529</v>
      </c>
    </row>
    <row r="79" spans="20:21" x14ac:dyDescent="0.25">
      <c r="T79">
        <f t="shared" si="5"/>
        <v>19.25</v>
      </c>
      <c r="U79" s="35">
        <f t="shared" si="4"/>
        <v>0.74805194805194808</v>
      </c>
    </row>
    <row r="80" spans="20:21" x14ac:dyDescent="0.25">
      <c r="T80">
        <f t="shared" si="5"/>
        <v>19.5</v>
      </c>
      <c r="U80" s="35">
        <f t="shared" si="4"/>
        <v>0.7384615384615385</v>
      </c>
    </row>
    <row r="81" spans="20:21" x14ac:dyDescent="0.25">
      <c r="T81">
        <f t="shared" si="5"/>
        <v>19.75</v>
      </c>
      <c r="U81" s="35">
        <f t="shared" si="4"/>
        <v>0.72911392405063291</v>
      </c>
    </row>
    <row r="82" spans="20:21" x14ac:dyDescent="0.25">
      <c r="T82">
        <f t="shared" si="5"/>
        <v>20</v>
      </c>
      <c r="U82" s="35">
        <f t="shared" si="4"/>
        <v>0.72</v>
      </c>
    </row>
    <row r="83" spans="20:21" x14ac:dyDescent="0.25">
      <c r="T83">
        <f t="shared" si="5"/>
        <v>20.25</v>
      </c>
      <c r="U83" s="35">
        <f t="shared" si="4"/>
        <v>0.71111111111111114</v>
      </c>
    </row>
    <row r="84" spans="20:21" x14ac:dyDescent="0.25">
      <c r="T84">
        <f t="shared" si="5"/>
        <v>20.5</v>
      </c>
      <c r="U84" s="35">
        <f t="shared" si="4"/>
        <v>0.70243902439024397</v>
      </c>
    </row>
    <row r="85" spans="20:21" x14ac:dyDescent="0.25">
      <c r="T85">
        <f t="shared" si="5"/>
        <v>20.75</v>
      </c>
      <c r="U85" s="35">
        <f t="shared" si="4"/>
        <v>0.69397590361445782</v>
      </c>
    </row>
    <row r="86" spans="20:21" x14ac:dyDescent="0.25">
      <c r="T86">
        <f t="shared" si="5"/>
        <v>21</v>
      </c>
      <c r="U86" s="35">
        <f t="shared" si="4"/>
        <v>0.68571428571428572</v>
      </c>
    </row>
    <row r="87" spans="20:21" x14ac:dyDescent="0.25">
      <c r="T87">
        <f t="shared" si="5"/>
        <v>21.25</v>
      </c>
      <c r="U87" s="35">
        <f t="shared" si="4"/>
        <v>0.67764705882352938</v>
      </c>
    </row>
    <row r="88" spans="20:21" x14ac:dyDescent="0.25">
      <c r="T88">
        <f t="shared" si="5"/>
        <v>21.5</v>
      </c>
      <c r="U88" s="35">
        <f t="shared" si="4"/>
        <v>0.66976744186046511</v>
      </c>
    </row>
    <row r="89" spans="20:21" x14ac:dyDescent="0.25">
      <c r="T89">
        <f t="shared" si="5"/>
        <v>21.75</v>
      </c>
      <c r="U89" s="35">
        <f t="shared" si="4"/>
        <v>0.66206896551724137</v>
      </c>
    </row>
    <row r="90" spans="20:21" x14ac:dyDescent="0.25">
      <c r="T90">
        <f t="shared" si="5"/>
        <v>22</v>
      </c>
      <c r="U90" s="35">
        <f t="shared" si="4"/>
        <v>0.65454545454545454</v>
      </c>
    </row>
    <row r="91" spans="20:21" x14ac:dyDescent="0.25">
      <c r="T91">
        <f t="shared" si="5"/>
        <v>22.25</v>
      </c>
      <c r="U91" s="35">
        <f t="shared" si="4"/>
        <v>0.64719101123595513</v>
      </c>
    </row>
    <row r="92" spans="20:21" x14ac:dyDescent="0.25">
      <c r="T92">
        <f t="shared" si="5"/>
        <v>22.5</v>
      </c>
      <c r="U92" s="35">
        <f t="shared" si="4"/>
        <v>0.64</v>
      </c>
    </row>
    <row r="93" spans="20:21" x14ac:dyDescent="0.25">
      <c r="T93">
        <f t="shared" si="5"/>
        <v>22.75</v>
      </c>
      <c r="U93" s="35">
        <f t="shared" si="4"/>
        <v>0.63296703296703294</v>
      </c>
    </row>
    <row r="94" spans="20:21" x14ac:dyDescent="0.25">
      <c r="T94">
        <f t="shared" si="5"/>
        <v>23</v>
      </c>
      <c r="U94" s="35">
        <f t="shared" si="4"/>
        <v>0.62608695652173918</v>
      </c>
    </row>
    <row r="95" spans="20:21" x14ac:dyDescent="0.25">
      <c r="T95">
        <f t="shared" si="5"/>
        <v>23.25</v>
      </c>
      <c r="U95" s="35">
        <f t="shared" si="4"/>
        <v>0.61935483870967745</v>
      </c>
    </row>
    <row r="96" spans="20:21" x14ac:dyDescent="0.25">
      <c r="T96">
        <f t="shared" si="5"/>
        <v>23.5</v>
      </c>
      <c r="U96" s="35">
        <f t="shared" si="4"/>
        <v>0.61276595744680851</v>
      </c>
    </row>
    <row r="97" spans="20:21" x14ac:dyDescent="0.25">
      <c r="T97">
        <f t="shared" si="5"/>
        <v>23.75</v>
      </c>
      <c r="U97" s="35">
        <f t="shared" si="4"/>
        <v>0.60631578947368425</v>
      </c>
    </row>
    <row r="98" spans="20:21" x14ac:dyDescent="0.25">
      <c r="T98">
        <f t="shared" si="5"/>
        <v>24</v>
      </c>
      <c r="U98" s="35">
        <f t="shared" si="4"/>
        <v>0.6</v>
      </c>
    </row>
    <row r="99" spans="20:21" x14ac:dyDescent="0.25">
      <c r="T99">
        <f t="shared" si="5"/>
        <v>24.25</v>
      </c>
      <c r="U99" s="35">
        <f t="shared" ref="U99:U130" si="6">MAX(MIN(ReliabilityRatio*(I95_TollDist/T99)^ReliabilityExponent,MaxReliabilityRatio),ReliabilityCoef_Min)</f>
        <v>0.59381443298969072</v>
      </c>
    </row>
    <row r="100" spans="20:21" x14ac:dyDescent="0.25">
      <c r="T100">
        <f t="shared" si="5"/>
        <v>24.5</v>
      </c>
      <c r="U100" s="35">
        <f t="shared" si="6"/>
        <v>0.58775510204081638</v>
      </c>
    </row>
    <row r="101" spans="20:21" x14ac:dyDescent="0.25">
      <c r="T101">
        <f t="shared" si="5"/>
        <v>24.75</v>
      </c>
      <c r="U101" s="35">
        <f t="shared" si="6"/>
        <v>0.58181818181818179</v>
      </c>
    </row>
    <row r="102" spans="20:21" x14ac:dyDescent="0.25">
      <c r="T102">
        <f t="shared" si="5"/>
        <v>25</v>
      </c>
      <c r="U102" s="35">
        <f t="shared" si="6"/>
        <v>0.57600000000000007</v>
      </c>
    </row>
    <row r="103" spans="20:21" x14ac:dyDescent="0.25">
      <c r="T103">
        <f t="shared" si="5"/>
        <v>25.25</v>
      </c>
      <c r="U103" s="35">
        <f t="shared" si="6"/>
        <v>0.57029702970297036</v>
      </c>
    </row>
    <row r="104" spans="20:21" x14ac:dyDescent="0.25">
      <c r="T104">
        <f t="shared" si="5"/>
        <v>25.5</v>
      </c>
      <c r="U104" s="35">
        <f t="shared" si="6"/>
        <v>0.56470588235294117</v>
      </c>
    </row>
    <row r="105" spans="20:21" x14ac:dyDescent="0.25">
      <c r="T105">
        <f t="shared" si="5"/>
        <v>25.75</v>
      </c>
      <c r="U105" s="35">
        <f t="shared" si="6"/>
        <v>0.5592233009708738</v>
      </c>
    </row>
    <row r="106" spans="20:21" x14ac:dyDescent="0.25">
      <c r="T106">
        <f t="shared" si="5"/>
        <v>26</v>
      </c>
      <c r="U106" s="35">
        <f t="shared" si="6"/>
        <v>0.55384615384615388</v>
      </c>
    </row>
    <row r="107" spans="20:21" x14ac:dyDescent="0.25">
      <c r="T107">
        <f t="shared" si="5"/>
        <v>26.25</v>
      </c>
      <c r="U107" s="35">
        <f t="shared" si="6"/>
        <v>0.5485714285714286</v>
      </c>
    </row>
    <row r="108" spans="20:21" x14ac:dyDescent="0.25">
      <c r="T108">
        <f t="shared" si="5"/>
        <v>26.5</v>
      </c>
      <c r="U108" s="35">
        <f t="shared" si="6"/>
        <v>0.54339622641509433</v>
      </c>
    </row>
    <row r="109" spans="20:21" x14ac:dyDescent="0.25">
      <c r="T109">
        <f t="shared" si="5"/>
        <v>26.75</v>
      </c>
      <c r="U109" s="35">
        <f t="shared" si="6"/>
        <v>0.53831775700934581</v>
      </c>
    </row>
    <row r="110" spans="20:21" x14ac:dyDescent="0.25">
      <c r="T110">
        <f t="shared" si="5"/>
        <v>27</v>
      </c>
      <c r="U110" s="35">
        <f t="shared" si="6"/>
        <v>0.53333333333333333</v>
      </c>
    </row>
    <row r="111" spans="20:21" x14ac:dyDescent="0.25">
      <c r="T111">
        <f t="shared" si="5"/>
        <v>27.25</v>
      </c>
      <c r="U111" s="35">
        <f t="shared" si="6"/>
        <v>0.52844036697247709</v>
      </c>
    </row>
    <row r="112" spans="20:21" x14ac:dyDescent="0.25">
      <c r="T112">
        <f t="shared" si="5"/>
        <v>27.5</v>
      </c>
      <c r="U112" s="35">
        <f t="shared" si="6"/>
        <v>0.52363636363636368</v>
      </c>
    </row>
    <row r="113" spans="20:21" x14ac:dyDescent="0.25">
      <c r="T113">
        <f t="shared" si="5"/>
        <v>27.75</v>
      </c>
      <c r="U113" s="35">
        <f t="shared" si="6"/>
        <v>0.51891891891891895</v>
      </c>
    </row>
    <row r="114" spans="20:21" x14ac:dyDescent="0.25">
      <c r="T114">
        <f t="shared" si="5"/>
        <v>28</v>
      </c>
      <c r="U114" s="35">
        <f t="shared" si="6"/>
        <v>0.51428571428571435</v>
      </c>
    </row>
    <row r="115" spans="20:21" x14ac:dyDescent="0.25">
      <c r="T115">
        <f t="shared" si="5"/>
        <v>28.25</v>
      </c>
      <c r="U115" s="35">
        <f t="shared" si="6"/>
        <v>0.50973451327433628</v>
      </c>
    </row>
    <row r="116" spans="20:21" x14ac:dyDescent="0.25">
      <c r="T116">
        <f t="shared" si="5"/>
        <v>28.5</v>
      </c>
      <c r="U116" s="35">
        <f t="shared" si="6"/>
        <v>0.50526315789473686</v>
      </c>
    </row>
    <row r="117" spans="20:21" x14ac:dyDescent="0.25">
      <c r="T117">
        <f t="shared" si="5"/>
        <v>28.75</v>
      </c>
      <c r="U117" s="35">
        <f t="shared" si="6"/>
        <v>0.50086956521739134</v>
      </c>
    </row>
    <row r="118" spans="20:21" x14ac:dyDescent="0.25">
      <c r="T118">
        <f t="shared" si="5"/>
        <v>29</v>
      </c>
      <c r="U118" s="35">
        <f t="shared" si="6"/>
        <v>0.5</v>
      </c>
    </row>
    <row r="119" spans="20:21" x14ac:dyDescent="0.25">
      <c r="T119">
        <f t="shared" si="5"/>
        <v>29.25</v>
      </c>
      <c r="U119" s="35">
        <f t="shared" si="6"/>
        <v>0.5</v>
      </c>
    </row>
    <row r="120" spans="20:21" x14ac:dyDescent="0.25">
      <c r="T120">
        <f t="shared" si="5"/>
        <v>29.5</v>
      </c>
      <c r="U120" s="35">
        <f t="shared" si="6"/>
        <v>0.5</v>
      </c>
    </row>
    <row r="121" spans="20:21" x14ac:dyDescent="0.25">
      <c r="T121">
        <f t="shared" si="5"/>
        <v>29.75</v>
      </c>
      <c r="U121" s="35">
        <f t="shared" si="6"/>
        <v>0.5</v>
      </c>
    </row>
    <row r="122" spans="20:21" x14ac:dyDescent="0.25">
      <c r="T122">
        <f t="shared" si="5"/>
        <v>30</v>
      </c>
      <c r="U122" s="35">
        <f t="shared" si="6"/>
        <v>0.5</v>
      </c>
    </row>
    <row r="123" spans="20:21" x14ac:dyDescent="0.25">
      <c r="T123">
        <f t="shared" si="5"/>
        <v>30.25</v>
      </c>
      <c r="U123" s="35">
        <f t="shared" si="6"/>
        <v>0.5</v>
      </c>
    </row>
    <row r="124" spans="20:21" x14ac:dyDescent="0.25">
      <c r="T124">
        <f t="shared" si="5"/>
        <v>30.5</v>
      </c>
      <c r="U124" s="35">
        <f t="shared" si="6"/>
        <v>0.5</v>
      </c>
    </row>
    <row r="125" spans="20:21" x14ac:dyDescent="0.25">
      <c r="T125">
        <f t="shared" si="5"/>
        <v>30.75</v>
      </c>
      <c r="U125" s="35">
        <f t="shared" si="6"/>
        <v>0.5</v>
      </c>
    </row>
    <row r="126" spans="20:21" x14ac:dyDescent="0.25">
      <c r="T126">
        <f t="shared" si="5"/>
        <v>31</v>
      </c>
      <c r="U126" s="35">
        <f t="shared" si="6"/>
        <v>0.5</v>
      </c>
    </row>
    <row r="127" spans="20:21" x14ac:dyDescent="0.25">
      <c r="T127">
        <f t="shared" si="5"/>
        <v>31.25</v>
      </c>
      <c r="U127" s="35">
        <f t="shared" si="6"/>
        <v>0.5</v>
      </c>
    </row>
    <row r="128" spans="20:21" x14ac:dyDescent="0.25">
      <c r="T128">
        <f t="shared" si="5"/>
        <v>31.5</v>
      </c>
      <c r="U128" s="35">
        <f t="shared" si="6"/>
        <v>0.5</v>
      </c>
    </row>
    <row r="129" spans="20:21" x14ac:dyDescent="0.25">
      <c r="T129">
        <f t="shared" si="5"/>
        <v>31.75</v>
      </c>
      <c r="U129" s="35">
        <f t="shared" si="6"/>
        <v>0.5</v>
      </c>
    </row>
    <row r="130" spans="20:21" x14ac:dyDescent="0.25">
      <c r="T130">
        <f t="shared" si="5"/>
        <v>32</v>
      </c>
      <c r="U130" s="35">
        <f t="shared" si="6"/>
        <v>0.5</v>
      </c>
    </row>
    <row r="131" spans="20:21" x14ac:dyDescent="0.25">
      <c r="T131">
        <f t="shared" si="5"/>
        <v>32.25</v>
      </c>
      <c r="U131" s="35">
        <f t="shared" ref="U131:U162" si="7">MAX(MIN(ReliabilityRatio*(I95_TollDist/T131)^ReliabilityExponent,MaxReliabilityRatio),ReliabilityCoef_Min)</f>
        <v>0.5</v>
      </c>
    </row>
    <row r="132" spans="20:21" x14ac:dyDescent="0.25">
      <c r="T132">
        <f t="shared" si="5"/>
        <v>32.5</v>
      </c>
      <c r="U132" s="35">
        <f t="shared" si="7"/>
        <v>0.5</v>
      </c>
    </row>
    <row r="133" spans="20:21" x14ac:dyDescent="0.25">
      <c r="T133">
        <f t="shared" ref="T133:T162" si="8">T132+0.25</f>
        <v>32.75</v>
      </c>
      <c r="U133" s="35">
        <f t="shared" si="7"/>
        <v>0.5</v>
      </c>
    </row>
    <row r="134" spans="20:21" x14ac:dyDescent="0.25">
      <c r="T134">
        <f t="shared" si="8"/>
        <v>33</v>
      </c>
      <c r="U134" s="35">
        <f t="shared" si="7"/>
        <v>0.5</v>
      </c>
    </row>
    <row r="135" spans="20:21" x14ac:dyDescent="0.25">
      <c r="T135">
        <f t="shared" si="8"/>
        <v>33.25</v>
      </c>
      <c r="U135" s="35">
        <f t="shared" si="7"/>
        <v>0.5</v>
      </c>
    </row>
    <row r="136" spans="20:21" x14ac:dyDescent="0.25">
      <c r="T136">
        <f t="shared" si="8"/>
        <v>33.5</v>
      </c>
      <c r="U136" s="35">
        <f t="shared" si="7"/>
        <v>0.5</v>
      </c>
    </row>
    <row r="137" spans="20:21" x14ac:dyDescent="0.25">
      <c r="T137">
        <f t="shared" si="8"/>
        <v>33.75</v>
      </c>
      <c r="U137" s="35">
        <f t="shared" si="7"/>
        <v>0.5</v>
      </c>
    </row>
    <row r="138" spans="20:21" x14ac:dyDescent="0.25">
      <c r="T138">
        <f t="shared" si="8"/>
        <v>34</v>
      </c>
      <c r="U138" s="35">
        <f t="shared" si="7"/>
        <v>0.5</v>
      </c>
    </row>
    <row r="139" spans="20:21" x14ac:dyDescent="0.25">
      <c r="T139">
        <f t="shared" si="8"/>
        <v>34.25</v>
      </c>
      <c r="U139" s="35">
        <f t="shared" si="7"/>
        <v>0.5</v>
      </c>
    </row>
    <row r="140" spans="20:21" x14ac:dyDescent="0.25">
      <c r="T140">
        <f t="shared" si="8"/>
        <v>34.5</v>
      </c>
      <c r="U140" s="35">
        <f t="shared" si="7"/>
        <v>0.5</v>
      </c>
    </row>
    <row r="141" spans="20:21" x14ac:dyDescent="0.25">
      <c r="T141">
        <f t="shared" si="8"/>
        <v>34.75</v>
      </c>
      <c r="U141" s="35">
        <f t="shared" si="7"/>
        <v>0.5</v>
      </c>
    </row>
    <row r="142" spans="20:21" x14ac:dyDescent="0.25">
      <c r="T142">
        <f t="shared" si="8"/>
        <v>35</v>
      </c>
      <c r="U142" s="35">
        <f t="shared" si="7"/>
        <v>0.5</v>
      </c>
    </row>
    <row r="143" spans="20:21" x14ac:dyDescent="0.25">
      <c r="T143">
        <f t="shared" si="8"/>
        <v>35.25</v>
      </c>
      <c r="U143" s="35">
        <f t="shared" si="7"/>
        <v>0.5</v>
      </c>
    </row>
    <row r="144" spans="20:21" x14ac:dyDescent="0.25">
      <c r="T144">
        <f t="shared" si="8"/>
        <v>35.5</v>
      </c>
      <c r="U144" s="35">
        <f t="shared" si="7"/>
        <v>0.5</v>
      </c>
    </row>
    <row r="145" spans="20:21" x14ac:dyDescent="0.25">
      <c r="T145">
        <f t="shared" si="8"/>
        <v>35.75</v>
      </c>
      <c r="U145" s="35">
        <f t="shared" si="7"/>
        <v>0.5</v>
      </c>
    </row>
    <row r="146" spans="20:21" x14ac:dyDescent="0.25">
      <c r="T146">
        <f t="shared" si="8"/>
        <v>36</v>
      </c>
      <c r="U146" s="35">
        <f t="shared" si="7"/>
        <v>0.5</v>
      </c>
    </row>
    <row r="147" spans="20:21" x14ac:dyDescent="0.25">
      <c r="T147">
        <f t="shared" si="8"/>
        <v>36.25</v>
      </c>
      <c r="U147" s="35">
        <f t="shared" si="7"/>
        <v>0.5</v>
      </c>
    </row>
    <row r="148" spans="20:21" x14ac:dyDescent="0.25">
      <c r="T148">
        <f t="shared" si="8"/>
        <v>36.5</v>
      </c>
      <c r="U148" s="35">
        <f t="shared" si="7"/>
        <v>0.5</v>
      </c>
    </row>
    <row r="149" spans="20:21" x14ac:dyDescent="0.25">
      <c r="T149">
        <f t="shared" si="8"/>
        <v>36.75</v>
      </c>
      <c r="U149" s="35">
        <f t="shared" si="7"/>
        <v>0.5</v>
      </c>
    </row>
    <row r="150" spans="20:21" x14ac:dyDescent="0.25">
      <c r="T150">
        <f t="shared" si="8"/>
        <v>37</v>
      </c>
      <c r="U150" s="35">
        <f t="shared" si="7"/>
        <v>0.5</v>
      </c>
    </row>
    <row r="151" spans="20:21" x14ac:dyDescent="0.25">
      <c r="T151">
        <f t="shared" si="8"/>
        <v>37.25</v>
      </c>
      <c r="U151" s="35">
        <f t="shared" si="7"/>
        <v>0.5</v>
      </c>
    </row>
    <row r="152" spans="20:21" x14ac:dyDescent="0.25">
      <c r="T152">
        <f t="shared" si="8"/>
        <v>37.5</v>
      </c>
      <c r="U152" s="35">
        <f t="shared" si="7"/>
        <v>0.5</v>
      </c>
    </row>
    <row r="153" spans="20:21" x14ac:dyDescent="0.25">
      <c r="T153">
        <f t="shared" si="8"/>
        <v>37.75</v>
      </c>
      <c r="U153" s="35">
        <f t="shared" si="7"/>
        <v>0.5</v>
      </c>
    </row>
    <row r="154" spans="20:21" x14ac:dyDescent="0.25">
      <c r="T154">
        <f t="shared" si="8"/>
        <v>38</v>
      </c>
      <c r="U154" s="35">
        <f t="shared" si="7"/>
        <v>0.5</v>
      </c>
    </row>
    <row r="155" spans="20:21" x14ac:dyDescent="0.25">
      <c r="T155">
        <f t="shared" si="8"/>
        <v>38.25</v>
      </c>
      <c r="U155" s="35">
        <f t="shared" si="7"/>
        <v>0.5</v>
      </c>
    </row>
    <row r="156" spans="20:21" x14ac:dyDescent="0.25">
      <c r="T156">
        <f t="shared" si="8"/>
        <v>38.5</v>
      </c>
      <c r="U156" s="35">
        <f t="shared" si="7"/>
        <v>0.5</v>
      </c>
    </row>
    <row r="157" spans="20:21" x14ac:dyDescent="0.25">
      <c r="T157">
        <f t="shared" si="8"/>
        <v>38.75</v>
      </c>
      <c r="U157" s="35">
        <f t="shared" si="7"/>
        <v>0.5</v>
      </c>
    </row>
    <row r="158" spans="20:21" x14ac:dyDescent="0.25">
      <c r="T158">
        <f t="shared" si="8"/>
        <v>39</v>
      </c>
      <c r="U158" s="35">
        <f t="shared" si="7"/>
        <v>0.5</v>
      </c>
    </row>
    <row r="159" spans="20:21" x14ac:dyDescent="0.25">
      <c r="T159">
        <f t="shared" si="8"/>
        <v>39.25</v>
      </c>
      <c r="U159" s="35">
        <f t="shared" si="7"/>
        <v>0.5</v>
      </c>
    </row>
    <row r="160" spans="20:21" x14ac:dyDescent="0.25">
      <c r="T160">
        <f t="shared" si="8"/>
        <v>39.5</v>
      </c>
      <c r="U160" s="35">
        <f t="shared" si="7"/>
        <v>0.5</v>
      </c>
    </row>
    <row r="161" spans="20:21" x14ac:dyDescent="0.25">
      <c r="T161">
        <f t="shared" si="8"/>
        <v>39.75</v>
      </c>
      <c r="U161" s="35">
        <f t="shared" si="7"/>
        <v>0.5</v>
      </c>
    </row>
    <row r="162" spans="20:21" x14ac:dyDescent="0.25">
      <c r="T162">
        <f t="shared" si="8"/>
        <v>40</v>
      </c>
      <c r="U162" s="35">
        <f t="shared" si="7"/>
        <v>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0000"/>
  </sheetPr>
  <dimension ref="B1:AA190"/>
  <sheetViews>
    <sheetView showGridLines="0" topLeftCell="A19" zoomScaleNormal="100" workbookViewId="0">
      <selection activeCell="D27" sqref="D27"/>
    </sheetView>
  </sheetViews>
  <sheetFormatPr defaultRowHeight="15" x14ac:dyDescent="0.25"/>
  <cols>
    <col min="1" max="1" width="6.7109375" customWidth="1"/>
    <col min="2" max="2" width="20.7109375" customWidth="1"/>
    <col min="3" max="3" width="6.28515625" customWidth="1"/>
    <col min="4" max="4" width="7.85546875" customWidth="1"/>
    <col min="7" max="7" width="20.5703125" customWidth="1"/>
    <col min="8" max="8" width="6.28515625" customWidth="1"/>
    <col min="9" max="9" width="5.7109375" customWidth="1"/>
    <col min="11" max="11" width="7.42578125" customWidth="1"/>
  </cols>
  <sheetData>
    <row r="1" spans="2:27" s="95" customFormat="1" ht="18.75" x14ac:dyDescent="0.3">
      <c r="B1" s="136" t="s">
        <v>139</v>
      </c>
    </row>
    <row r="2" spans="2:27" ht="15.75" thickBot="1" x14ac:dyDescent="0.3"/>
    <row r="3" spans="2:27" ht="15.75" thickBot="1" x14ac:dyDescent="0.3">
      <c r="B3" s="129" t="s">
        <v>120</v>
      </c>
      <c r="C3" s="130" t="s">
        <v>122</v>
      </c>
      <c r="D3" s="131" t="s">
        <v>121</v>
      </c>
      <c r="G3" s="62" t="s">
        <v>175</v>
      </c>
    </row>
    <row r="4" spans="2:27" ht="15.75" thickBot="1" x14ac:dyDescent="0.3">
      <c r="B4" s="125" t="s">
        <v>114</v>
      </c>
      <c r="C4" s="169">
        <v>0</v>
      </c>
      <c r="D4" s="170">
        <v>1</v>
      </c>
    </row>
    <row r="5" spans="2:27" ht="15.75" thickBot="1" x14ac:dyDescent="0.3">
      <c r="B5" s="135" t="s">
        <v>115</v>
      </c>
      <c r="C5" s="171">
        <v>0.5</v>
      </c>
      <c r="D5" s="172">
        <v>1.05</v>
      </c>
      <c r="G5" t="s">
        <v>172</v>
      </c>
      <c r="H5" s="134">
        <v>1.2</v>
      </c>
      <c r="V5">
        <v>0</v>
      </c>
      <c r="W5">
        <v>0.05</v>
      </c>
      <c r="X5">
        <f t="shared" ref="X5:X10" si="0">AVERAGE(V5:W5)</f>
        <v>2.5000000000000001E-2</v>
      </c>
      <c r="Y5">
        <f t="shared" ref="Y5:Y36" si="1">VLOOKUP(X5,$C$4:$D$9,2,TRUE)</f>
        <v>1</v>
      </c>
      <c r="Z5">
        <v>0.01</v>
      </c>
      <c r="AA5">
        <f>($H$5-1)/(1+EXP(-$H$6*(Z5-$H$7)))+1</f>
        <v>1.0000176259899007</v>
      </c>
    </row>
    <row r="6" spans="2:27" ht="15.75" thickBot="1" x14ac:dyDescent="0.3">
      <c r="B6" s="122" t="s">
        <v>116</v>
      </c>
      <c r="C6" s="171">
        <v>0.7</v>
      </c>
      <c r="D6" s="172">
        <v>1.1000000000000001</v>
      </c>
      <c r="G6" t="s">
        <v>173</v>
      </c>
      <c r="H6" s="176">
        <v>13.67</v>
      </c>
      <c r="V6">
        <f t="shared" ref="V6:W11" si="2">V5+0.05</f>
        <v>0.05</v>
      </c>
      <c r="W6">
        <f t="shared" si="2"/>
        <v>0.1</v>
      </c>
      <c r="X6">
        <f t="shared" si="0"/>
        <v>7.5000000000000011E-2</v>
      </c>
      <c r="Y6">
        <f t="shared" si="1"/>
        <v>1</v>
      </c>
      <c r="Z6">
        <f t="shared" ref="Z6:Z11" si="3">Z5+0.01</f>
        <v>0.02</v>
      </c>
      <c r="AA6">
        <f t="shared" ref="AA6:AA69" si="4">($H$5-1)/(1+EXP(-$H$6*(Z6-$H$7)))+1</f>
        <v>1.0000202076572051</v>
      </c>
    </row>
    <row r="7" spans="2:27" ht="15.75" thickBot="1" x14ac:dyDescent="0.3">
      <c r="B7" s="122" t="s">
        <v>117</v>
      </c>
      <c r="C7" s="171">
        <v>0.8</v>
      </c>
      <c r="D7" s="172">
        <v>1.2</v>
      </c>
      <c r="G7" t="s">
        <v>174</v>
      </c>
      <c r="H7" s="155">
        <v>0.69299999999999995</v>
      </c>
      <c r="V7">
        <f t="shared" si="2"/>
        <v>0.1</v>
      </c>
      <c r="W7">
        <f t="shared" si="2"/>
        <v>0.15000000000000002</v>
      </c>
      <c r="X7">
        <f t="shared" si="0"/>
        <v>0.125</v>
      </c>
      <c r="Y7">
        <f t="shared" si="1"/>
        <v>1</v>
      </c>
      <c r="Z7">
        <f t="shared" si="3"/>
        <v>0.03</v>
      </c>
      <c r="AA7">
        <f t="shared" si="4"/>
        <v>1.0000231674158386</v>
      </c>
    </row>
    <row r="8" spans="2:27" x14ac:dyDescent="0.25">
      <c r="B8" s="122" t="s">
        <v>118</v>
      </c>
      <c r="C8" s="171">
        <v>1</v>
      </c>
      <c r="D8" s="172">
        <v>1.4</v>
      </c>
      <c r="V8">
        <f t="shared" si="2"/>
        <v>0.15000000000000002</v>
      </c>
      <c r="W8">
        <f t="shared" si="2"/>
        <v>0.2</v>
      </c>
      <c r="X8">
        <f t="shared" si="0"/>
        <v>0.17500000000000002</v>
      </c>
      <c r="Y8">
        <f t="shared" si="1"/>
        <v>1</v>
      </c>
      <c r="Z8">
        <f t="shared" si="3"/>
        <v>0.04</v>
      </c>
      <c r="AA8">
        <f t="shared" si="4"/>
        <v>1.0000265606244059</v>
      </c>
    </row>
    <row r="9" spans="2:27" ht="15.75" thickBot="1" x14ac:dyDescent="0.3">
      <c r="B9" s="123" t="s">
        <v>119</v>
      </c>
      <c r="C9" s="173">
        <v>1.2</v>
      </c>
      <c r="D9" s="174">
        <v>1.8</v>
      </c>
      <c r="V9">
        <f t="shared" si="2"/>
        <v>0.2</v>
      </c>
      <c r="W9">
        <f t="shared" si="2"/>
        <v>0.25</v>
      </c>
      <c r="X9">
        <f t="shared" si="0"/>
        <v>0.22500000000000001</v>
      </c>
      <c r="Y9">
        <f t="shared" si="1"/>
        <v>1</v>
      </c>
      <c r="Z9">
        <f t="shared" si="3"/>
        <v>0.05</v>
      </c>
      <c r="AA9">
        <f t="shared" si="4"/>
        <v>1.0000304507425648</v>
      </c>
    </row>
    <row r="10" spans="2:27" x14ac:dyDescent="0.25">
      <c r="V10">
        <f t="shared" si="2"/>
        <v>0.25</v>
      </c>
      <c r="W10">
        <f t="shared" si="2"/>
        <v>0.3</v>
      </c>
      <c r="X10">
        <f t="shared" si="0"/>
        <v>0.27500000000000002</v>
      </c>
      <c r="Y10">
        <f t="shared" si="1"/>
        <v>1</v>
      </c>
      <c r="Z10">
        <f t="shared" si="3"/>
        <v>6.0000000000000005E-2</v>
      </c>
      <c r="AA10">
        <f t="shared" si="4"/>
        <v>1.0000349105151567</v>
      </c>
    </row>
    <row r="11" spans="2:27" x14ac:dyDescent="0.25">
      <c r="V11">
        <f t="shared" si="2"/>
        <v>0.3</v>
      </c>
      <c r="W11">
        <f t="shared" si="2"/>
        <v>0.35</v>
      </c>
      <c r="X11">
        <f t="shared" ref="X11:X69" si="5">AVERAGE(V11:W11)</f>
        <v>0.32499999999999996</v>
      </c>
      <c r="Y11">
        <f t="shared" si="1"/>
        <v>1</v>
      </c>
      <c r="Z11">
        <f t="shared" si="3"/>
        <v>7.0000000000000007E-2</v>
      </c>
      <c r="AA11">
        <f t="shared" si="4"/>
        <v>1.0000400233289901</v>
      </c>
    </row>
    <row r="12" spans="2:27" ht="15.75" thickBot="1" x14ac:dyDescent="0.3">
      <c r="B12" s="83" t="s">
        <v>138</v>
      </c>
      <c r="V12">
        <f t="shared" ref="V12:W22" si="6">V11+0.05</f>
        <v>0.35</v>
      </c>
      <c r="W12">
        <f t="shared" si="6"/>
        <v>0.39999999999999997</v>
      </c>
      <c r="X12">
        <f t="shared" si="5"/>
        <v>0.375</v>
      </c>
      <c r="Y12">
        <f t="shared" si="1"/>
        <v>1</v>
      </c>
      <c r="Z12">
        <f t="shared" ref="Z12:Z26" si="7">Z11+0.01</f>
        <v>0.08</v>
      </c>
      <c r="AA12">
        <f t="shared" si="4"/>
        <v>1.0000458847673224</v>
      </c>
    </row>
    <row r="13" spans="2:27" ht="15.75" thickBot="1" x14ac:dyDescent="0.3">
      <c r="B13" s="129" t="s">
        <v>120</v>
      </c>
      <c r="C13" s="129" t="s">
        <v>123</v>
      </c>
      <c r="D13" s="132" t="s">
        <v>122</v>
      </c>
      <c r="E13" s="131" t="s">
        <v>121</v>
      </c>
      <c r="V13">
        <f t="shared" si="6"/>
        <v>0.39999999999999997</v>
      </c>
      <c r="W13">
        <f t="shared" si="6"/>
        <v>0.44999999999999996</v>
      </c>
      <c r="X13">
        <f t="shared" si="5"/>
        <v>0.42499999999999993</v>
      </c>
      <c r="Y13">
        <f t="shared" si="1"/>
        <v>1</v>
      </c>
      <c r="Z13">
        <f t="shared" si="7"/>
        <v>0.09</v>
      </c>
      <c r="AA13">
        <f t="shared" si="4"/>
        <v>1.000052604390665</v>
      </c>
    </row>
    <row r="14" spans="2:27" x14ac:dyDescent="0.25">
      <c r="B14" s="121" t="s">
        <v>124</v>
      </c>
      <c r="C14" s="121" t="s">
        <v>127</v>
      </c>
      <c r="D14" s="124" t="s">
        <v>132</v>
      </c>
      <c r="E14" s="126">
        <v>1</v>
      </c>
      <c r="V14">
        <f t="shared" si="6"/>
        <v>0.44999999999999996</v>
      </c>
      <c r="W14">
        <f t="shared" si="6"/>
        <v>0.49999999999999994</v>
      </c>
      <c r="X14">
        <f t="shared" si="5"/>
        <v>0.47499999999999998</v>
      </c>
      <c r="Y14">
        <f t="shared" si="1"/>
        <v>1</v>
      </c>
      <c r="Z14">
        <f t="shared" si="7"/>
        <v>9.9999999999999992E-2</v>
      </c>
      <c r="AA14">
        <f t="shared" si="4"/>
        <v>1.0000603077766352</v>
      </c>
    </row>
    <row r="15" spans="2:27" x14ac:dyDescent="0.25">
      <c r="B15" s="122" t="s">
        <v>115</v>
      </c>
      <c r="C15" s="122" t="s">
        <v>128</v>
      </c>
      <c r="D15" s="28" t="s">
        <v>133</v>
      </c>
      <c r="E15" s="127">
        <v>1.05</v>
      </c>
      <c r="V15">
        <f t="shared" si="6"/>
        <v>0.49999999999999994</v>
      </c>
      <c r="W15">
        <f t="shared" si="6"/>
        <v>0.54999999999999993</v>
      </c>
      <c r="X15">
        <f t="shared" si="5"/>
        <v>0.52499999999999991</v>
      </c>
      <c r="Y15">
        <f t="shared" si="1"/>
        <v>1.05</v>
      </c>
      <c r="Z15">
        <f t="shared" si="7"/>
        <v>0.10999999999999999</v>
      </c>
      <c r="AA15">
        <f t="shared" si="4"/>
        <v>1.0000691388562257</v>
      </c>
    </row>
    <row r="16" spans="2:27" x14ac:dyDescent="0.25">
      <c r="B16" s="122" t="s">
        <v>125</v>
      </c>
      <c r="C16" s="122" t="s">
        <v>129</v>
      </c>
      <c r="D16" s="28" t="s">
        <v>134</v>
      </c>
      <c r="E16" s="127">
        <v>1.1000000000000001</v>
      </c>
      <c r="V16">
        <f t="shared" si="6"/>
        <v>0.54999999999999993</v>
      </c>
      <c r="W16">
        <f t="shared" si="6"/>
        <v>0.6</v>
      </c>
      <c r="X16">
        <f t="shared" si="5"/>
        <v>0.57499999999999996</v>
      </c>
      <c r="Y16">
        <f t="shared" si="1"/>
        <v>1.05</v>
      </c>
      <c r="Z16">
        <f t="shared" si="7"/>
        <v>0.11999999999999998</v>
      </c>
      <c r="AA16">
        <f t="shared" si="4"/>
        <v>1.0000792625891708</v>
      </c>
    </row>
    <row r="17" spans="2:27" x14ac:dyDescent="0.25">
      <c r="B17" s="122" t="s">
        <v>126</v>
      </c>
      <c r="C17" s="122" t="s">
        <v>130</v>
      </c>
      <c r="D17" s="28" t="s">
        <v>135</v>
      </c>
      <c r="E17" s="127">
        <v>1.2</v>
      </c>
      <c r="V17">
        <f t="shared" si="6"/>
        <v>0.6</v>
      </c>
      <c r="W17">
        <f t="shared" si="6"/>
        <v>0.65</v>
      </c>
      <c r="X17">
        <f t="shared" si="5"/>
        <v>0.625</v>
      </c>
      <c r="Y17">
        <f t="shared" si="1"/>
        <v>1.05</v>
      </c>
      <c r="Z17">
        <f t="shared" si="7"/>
        <v>0.12999999999999998</v>
      </c>
      <c r="AA17">
        <f t="shared" si="4"/>
        <v>1.0000908680270924</v>
      </c>
    </row>
    <row r="18" spans="2:27" x14ac:dyDescent="0.25">
      <c r="B18" s="122" t="s">
        <v>118</v>
      </c>
      <c r="C18" s="122" t="s">
        <v>131</v>
      </c>
      <c r="D18" s="28" t="s">
        <v>136</v>
      </c>
      <c r="E18" s="127">
        <v>1.4</v>
      </c>
      <c r="V18">
        <f t="shared" si="6"/>
        <v>0.65</v>
      </c>
      <c r="W18">
        <f t="shared" si="6"/>
        <v>0.70000000000000007</v>
      </c>
      <c r="X18">
        <f t="shared" si="5"/>
        <v>0.67500000000000004</v>
      </c>
      <c r="Y18">
        <f t="shared" si="1"/>
        <v>1.05</v>
      </c>
      <c r="Z18">
        <f t="shared" si="7"/>
        <v>0.13999999999999999</v>
      </c>
      <c r="AA18">
        <f t="shared" si="4"/>
        <v>1.0001041718199428</v>
      </c>
    </row>
    <row r="19" spans="2:27" ht="15.75" thickBot="1" x14ac:dyDescent="0.3">
      <c r="B19" s="123" t="s">
        <v>119</v>
      </c>
      <c r="C19" s="123" t="s">
        <v>131</v>
      </c>
      <c r="D19" s="133" t="s">
        <v>137</v>
      </c>
      <c r="E19" s="128">
        <v>1.8</v>
      </c>
      <c r="V19">
        <f t="shared" si="6"/>
        <v>0.70000000000000007</v>
      </c>
      <c r="W19">
        <f t="shared" si="6"/>
        <v>0.75000000000000011</v>
      </c>
      <c r="X19">
        <f t="shared" si="5"/>
        <v>0.72500000000000009</v>
      </c>
      <c r="Y19">
        <f t="shared" si="1"/>
        <v>1.1000000000000001</v>
      </c>
      <c r="Z19">
        <f t="shared" si="7"/>
        <v>0.15</v>
      </c>
      <c r="AA19">
        <f t="shared" si="4"/>
        <v>1.0001194222289862</v>
      </c>
    </row>
    <row r="20" spans="2:27" x14ac:dyDescent="0.25">
      <c r="V20">
        <f t="shared" si="6"/>
        <v>0.75000000000000011</v>
      </c>
      <c r="W20">
        <f t="shared" si="6"/>
        <v>0.80000000000000016</v>
      </c>
      <c r="X20">
        <f t="shared" si="5"/>
        <v>0.77500000000000013</v>
      </c>
      <c r="Y20">
        <f t="shared" si="1"/>
        <v>1.1000000000000001</v>
      </c>
      <c r="Z20">
        <f t="shared" si="7"/>
        <v>0.16</v>
      </c>
      <c r="AA20">
        <f t="shared" si="4"/>
        <v>1.0001369037182892</v>
      </c>
    </row>
    <row r="21" spans="2:27" x14ac:dyDescent="0.25">
      <c r="V21">
        <f t="shared" si="6"/>
        <v>0.80000000000000016</v>
      </c>
      <c r="W21">
        <f t="shared" si="6"/>
        <v>0.8500000000000002</v>
      </c>
      <c r="X21">
        <f t="shared" si="5"/>
        <v>0.82500000000000018</v>
      </c>
      <c r="Y21">
        <f t="shared" si="1"/>
        <v>1.2</v>
      </c>
      <c r="Z21">
        <f t="shared" si="7"/>
        <v>0.17</v>
      </c>
      <c r="AA21">
        <f t="shared" si="4"/>
        <v>1.0001569422065528</v>
      </c>
    </row>
    <row r="22" spans="2:27" x14ac:dyDescent="0.25">
      <c r="V22">
        <f t="shared" si="6"/>
        <v>0.8500000000000002</v>
      </c>
      <c r="W22">
        <f t="shared" si="6"/>
        <v>0.90000000000000024</v>
      </c>
      <c r="X22">
        <f t="shared" si="5"/>
        <v>0.87500000000000022</v>
      </c>
      <c r="Y22">
        <f t="shared" si="1"/>
        <v>1.2</v>
      </c>
      <c r="Z22">
        <f t="shared" si="7"/>
        <v>0.18000000000000002</v>
      </c>
      <c r="AA22">
        <f t="shared" si="4"/>
        <v>1.000179911072173</v>
      </c>
    </row>
    <row r="23" spans="2:27" x14ac:dyDescent="0.25">
      <c r="V23">
        <f t="shared" ref="V23:W38" si="8">V22+0.05</f>
        <v>0.90000000000000024</v>
      </c>
      <c r="W23">
        <f t="shared" si="8"/>
        <v>0.95000000000000029</v>
      </c>
      <c r="X23">
        <f t="shared" si="5"/>
        <v>0.92500000000000027</v>
      </c>
      <c r="Y23">
        <f t="shared" si="1"/>
        <v>1.2</v>
      </c>
      <c r="Z23">
        <f t="shared" si="7"/>
        <v>0.19000000000000003</v>
      </c>
      <c r="AA23">
        <f t="shared" si="4"/>
        <v>1.0002062380168495</v>
      </c>
    </row>
    <row r="24" spans="2:27" x14ac:dyDescent="0.25">
      <c r="V24">
        <f t="shared" si="8"/>
        <v>0.95000000000000029</v>
      </c>
      <c r="W24">
        <f t="shared" si="8"/>
        <v>1.0000000000000002</v>
      </c>
      <c r="X24">
        <f t="shared" si="5"/>
        <v>0.97500000000000031</v>
      </c>
      <c r="Y24">
        <f t="shared" si="1"/>
        <v>1.2</v>
      </c>
      <c r="Z24">
        <f t="shared" si="7"/>
        <v>0.20000000000000004</v>
      </c>
      <c r="AA24">
        <f t="shared" si="4"/>
        <v>1.0002364129069117</v>
      </c>
    </row>
    <row r="25" spans="2:27" x14ac:dyDescent="0.25">
      <c r="V25">
        <f t="shared" si="8"/>
        <v>1.0000000000000002</v>
      </c>
      <c r="W25">
        <f t="shared" si="8"/>
        <v>1.0500000000000003</v>
      </c>
      <c r="X25">
        <f t="shared" si="5"/>
        <v>1.0250000000000004</v>
      </c>
      <c r="Y25">
        <f t="shared" si="1"/>
        <v>1.4</v>
      </c>
      <c r="Z25">
        <f t="shared" si="7"/>
        <v>0.21000000000000005</v>
      </c>
      <c r="AA25">
        <f t="shared" si="4"/>
        <v>1.0002709967269348</v>
      </c>
    </row>
    <row r="26" spans="2:27" x14ac:dyDescent="0.25">
      <c r="V26">
        <f t="shared" si="8"/>
        <v>1.0500000000000003</v>
      </c>
      <c r="W26">
        <f t="shared" si="8"/>
        <v>1.1000000000000003</v>
      </c>
      <c r="X26">
        <f t="shared" si="5"/>
        <v>1.0750000000000002</v>
      </c>
      <c r="Y26">
        <f t="shared" si="1"/>
        <v>1.4</v>
      </c>
      <c r="Z26">
        <f t="shared" si="7"/>
        <v>0.22000000000000006</v>
      </c>
      <c r="AA26">
        <f t="shared" si="4"/>
        <v>1.000310631797261</v>
      </c>
    </row>
    <row r="27" spans="2:27" x14ac:dyDescent="0.25">
      <c r="V27">
        <f t="shared" si="8"/>
        <v>1.1000000000000003</v>
      </c>
      <c r="W27">
        <f t="shared" si="8"/>
        <v>1.1500000000000004</v>
      </c>
      <c r="X27">
        <f t="shared" si="5"/>
        <v>1.1250000000000004</v>
      </c>
      <c r="Y27">
        <f t="shared" si="1"/>
        <v>1.4</v>
      </c>
      <c r="Z27">
        <f>Z26+0.01</f>
        <v>0.23000000000000007</v>
      </c>
      <c r="AA27">
        <f t="shared" si="4"/>
        <v>1.0003560534257212</v>
      </c>
    </row>
    <row r="28" spans="2:27" x14ac:dyDescent="0.25">
      <c r="V28">
        <f t="shared" si="8"/>
        <v>1.1500000000000004</v>
      </c>
      <c r="W28">
        <f t="shared" si="8"/>
        <v>1.2000000000000004</v>
      </c>
      <c r="X28">
        <f t="shared" si="5"/>
        <v>1.1750000000000003</v>
      </c>
      <c r="Y28">
        <f t="shared" si="1"/>
        <v>1.4</v>
      </c>
      <c r="Z28">
        <f t="shared" ref="Z28:Z91" si="9">Z27+0.01</f>
        <v>0.24000000000000007</v>
      </c>
      <c r="AA28">
        <f t="shared" si="4"/>
        <v>1.000408103184216</v>
      </c>
    </row>
    <row r="29" spans="2:27" x14ac:dyDescent="0.25">
      <c r="V29">
        <f t="shared" si="8"/>
        <v>1.2000000000000004</v>
      </c>
      <c r="W29">
        <f t="shared" si="8"/>
        <v>1.2500000000000004</v>
      </c>
      <c r="X29">
        <f t="shared" si="5"/>
        <v>1.2250000000000005</v>
      </c>
      <c r="Y29">
        <f t="shared" si="1"/>
        <v>1.8</v>
      </c>
      <c r="Z29">
        <f t="shared" si="9"/>
        <v>0.25000000000000006</v>
      </c>
      <c r="AA29">
        <f t="shared" si="4"/>
        <v>1.0004677440227474</v>
      </c>
    </row>
    <row r="30" spans="2:27" x14ac:dyDescent="0.25">
      <c r="V30">
        <f t="shared" si="8"/>
        <v>1.2500000000000004</v>
      </c>
      <c r="W30">
        <f t="shared" si="8"/>
        <v>1.3000000000000005</v>
      </c>
      <c r="X30">
        <f t="shared" si="5"/>
        <v>1.2750000000000004</v>
      </c>
      <c r="Y30">
        <f t="shared" si="1"/>
        <v>1.8</v>
      </c>
      <c r="Z30">
        <f t="shared" si="9"/>
        <v>0.26000000000000006</v>
      </c>
      <c r="AA30">
        <f t="shared" si="4"/>
        <v>1.0005360774567951</v>
      </c>
    </row>
    <row r="31" spans="2:27" x14ac:dyDescent="0.25">
      <c r="V31">
        <f t="shared" si="8"/>
        <v>1.3000000000000005</v>
      </c>
      <c r="W31">
        <f t="shared" si="8"/>
        <v>1.3500000000000005</v>
      </c>
      <c r="X31">
        <f t="shared" si="5"/>
        <v>1.3250000000000006</v>
      </c>
      <c r="Y31">
        <f t="shared" si="1"/>
        <v>1.8</v>
      </c>
      <c r="Z31">
        <f t="shared" si="9"/>
        <v>0.27000000000000007</v>
      </c>
      <c r="AA31">
        <f t="shared" si="4"/>
        <v>1.0006143630882922</v>
      </c>
    </row>
    <row r="32" spans="2:27" x14ac:dyDescent="0.25">
      <c r="V32">
        <f t="shared" si="8"/>
        <v>1.3500000000000005</v>
      </c>
      <c r="W32">
        <f t="shared" si="8"/>
        <v>1.4000000000000006</v>
      </c>
      <c r="X32">
        <f t="shared" si="5"/>
        <v>1.3750000000000004</v>
      </c>
      <c r="Y32">
        <f t="shared" si="1"/>
        <v>1.8</v>
      </c>
      <c r="Z32">
        <f t="shared" si="9"/>
        <v>0.28000000000000008</v>
      </c>
      <c r="AA32">
        <f t="shared" si="4"/>
        <v>1.0007040407452843</v>
      </c>
    </row>
    <row r="33" spans="22:27" x14ac:dyDescent="0.25">
      <c r="V33">
        <f t="shared" si="8"/>
        <v>1.4000000000000006</v>
      </c>
      <c r="W33">
        <f t="shared" si="8"/>
        <v>1.4500000000000006</v>
      </c>
      <c r="X33">
        <f t="shared" si="5"/>
        <v>1.4250000000000007</v>
      </c>
      <c r="Y33">
        <f t="shared" si="1"/>
        <v>1.8</v>
      </c>
      <c r="Z33">
        <f t="shared" si="9"/>
        <v>0.29000000000000009</v>
      </c>
      <c r="AA33">
        <f t="shared" si="4"/>
        <v>1.0008067555498321</v>
      </c>
    </row>
    <row r="34" spans="22:27" x14ac:dyDescent="0.25">
      <c r="V34">
        <f t="shared" si="8"/>
        <v>1.4500000000000006</v>
      </c>
      <c r="W34">
        <f t="shared" si="8"/>
        <v>1.5000000000000007</v>
      </c>
      <c r="X34">
        <f t="shared" si="5"/>
        <v>1.4750000000000005</v>
      </c>
      <c r="Y34">
        <f t="shared" si="1"/>
        <v>1.8</v>
      </c>
      <c r="Z34">
        <f t="shared" si="9"/>
        <v>0.3000000000000001</v>
      </c>
      <c r="AA34">
        <f t="shared" si="4"/>
        <v>1.0009243862466448</v>
      </c>
    </row>
    <row r="35" spans="22:27" x14ac:dyDescent="0.25">
      <c r="V35">
        <f t="shared" si="8"/>
        <v>1.5000000000000007</v>
      </c>
      <c r="W35">
        <f t="shared" si="8"/>
        <v>1.5500000000000007</v>
      </c>
      <c r="X35">
        <f t="shared" si="5"/>
        <v>1.5250000000000008</v>
      </c>
      <c r="Y35">
        <f t="shared" si="1"/>
        <v>1.8</v>
      </c>
      <c r="Z35">
        <f t="shared" si="9"/>
        <v>0.31000000000000011</v>
      </c>
      <c r="AA35">
        <f t="shared" si="4"/>
        <v>1.0010590771445607</v>
      </c>
    </row>
    <row r="36" spans="22:27" x14ac:dyDescent="0.25">
      <c r="V36">
        <f t="shared" si="8"/>
        <v>1.5500000000000007</v>
      </c>
      <c r="W36">
        <f t="shared" si="8"/>
        <v>1.6000000000000008</v>
      </c>
      <c r="X36">
        <f t="shared" si="5"/>
        <v>1.5750000000000006</v>
      </c>
      <c r="Y36">
        <f t="shared" si="1"/>
        <v>1.8</v>
      </c>
      <c r="Z36">
        <f t="shared" si="9"/>
        <v>0.32000000000000012</v>
      </c>
      <c r="AA36">
        <f t="shared" si="4"/>
        <v>1.0012132740370017</v>
      </c>
    </row>
    <row r="37" spans="22:27" x14ac:dyDescent="0.25">
      <c r="V37">
        <f t="shared" si="8"/>
        <v>1.6000000000000008</v>
      </c>
      <c r="W37">
        <f t="shared" si="8"/>
        <v>1.6500000000000008</v>
      </c>
      <c r="X37">
        <f t="shared" si="5"/>
        <v>1.6250000000000009</v>
      </c>
      <c r="Y37">
        <f t="shared" ref="Y37:Y68" si="10">VLOOKUP(X37,$C$4:$D$9,2,TRUE)</f>
        <v>1.8</v>
      </c>
      <c r="Z37">
        <f t="shared" si="9"/>
        <v>0.33000000000000013</v>
      </c>
      <c r="AA37">
        <f t="shared" si="4"/>
        <v>1.0013897644727052</v>
      </c>
    </row>
    <row r="38" spans="22:27" x14ac:dyDescent="0.25">
      <c r="V38">
        <f t="shared" si="8"/>
        <v>1.6500000000000008</v>
      </c>
      <c r="W38">
        <f t="shared" si="8"/>
        <v>1.7000000000000008</v>
      </c>
      <c r="X38">
        <f t="shared" si="5"/>
        <v>1.6750000000000007</v>
      </c>
      <c r="Y38">
        <f t="shared" si="10"/>
        <v>1.8</v>
      </c>
      <c r="Z38">
        <f t="shared" si="9"/>
        <v>0.34000000000000014</v>
      </c>
      <c r="AA38">
        <f t="shared" si="4"/>
        <v>1.0015917227401225</v>
      </c>
    </row>
    <row r="39" spans="22:27" x14ac:dyDescent="0.25">
      <c r="V39">
        <f t="shared" ref="V39:W54" si="11">V38+0.05</f>
        <v>1.7000000000000008</v>
      </c>
      <c r="W39">
        <f t="shared" si="11"/>
        <v>1.7500000000000009</v>
      </c>
      <c r="X39">
        <f t="shared" si="5"/>
        <v>1.725000000000001</v>
      </c>
      <c r="Y39">
        <f t="shared" si="10"/>
        <v>1.8</v>
      </c>
      <c r="Z39">
        <f t="shared" si="9"/>
        <v>0.35000000000000014</v>
      </c>
      <c r="AA39">
        <f t="shared" si="4"/>
        <v>1.0018227599022789</v>
      </c>
    </row>
    <row r="40" spans="22:27" x14ac:dyDescent="0.25">
      <c r="V40">
        <f t="shared" si="11"/>
        <v>1.7500000000000009</v>
      </c>
      <c r="W40">
        <f t="shared" si="11"/>
        <v>1.8000000000000009</v>
      </c>
      <c r="X40">
        <f t="shared" si="5"/>
        <v>1.7750000000000008</v>
      </c>
      <c r="Y40">
        <f t="shared" si="10"/>
        <v>1.8</v>
      </c>
      <c r="Z40">
        <f t="shared" si="9"/>
        <v>0.36000000000000015</v>
      </c>
      <c r="AA40">
        <f t="shared" si="4"/>
        <v>1.0020869791663447</v>
      </c>
    </row>
    <row r="41" spans="22:27" x14ac:dyDescent="0.25">
      <c r="V41">
        <f t="shared" si="11"/>
        <v>1.8000000000000009</v>
      </c>
      <c r="W41">
        <f t="shared" si="11"/>
        <v>1.850000000000001</v>
      </c>
      <c r="X41">
        <f t="shared" si="5"/>
        <v>1.8250000000000011</v>
      </c>
      <c r="Y41">
        <f t="shared" si="10"/>
        <v>1.8</v>
      </c>
      <c r="Z41">
        <f t="shared" si="9"/>
        <v>0.37000000000000016</v>
      </c>
      <c r="AA41">
        <f t="shared" si="4"/>
        <v>1.0023890367844122</v>
      </c>
    </row>
    <row r="42" spans="22:27" x14ac:dyDescent="0.25">
      <c r="V42">
        <f t="shared" si="11"/>
        <v>1.850000000000001</v>
      </c>
      <c r="W42">
        <f t="shared" si="11"/>
        <v>1.900000000000001</v>
      </c>
      <c r="X42">
        <f t="shared" si="5"/>
        <v>1.8750000000000009</v>
      </c>
      <c r="Y42">
        <f t="shared" si="10"/>
        <v>1.8</v>
      </c>
      <c r="Z42">
        <f t="shared" si="9"/>
        <v>0.38000000000000017</v>
      </c>
      <c r="AA42">
        <f t="shared" si="4"/>
        <v>1.0027342085473072</v>
      </c>
    </row>
    <row r="43" spans="22:27" x14ac:dyDescent="0.25">
      <c r="V43">
        <f t="shared" si="11"/>
        <v>1.900000000000001</v>
      </c>
      <c r="W43">
        <f t="shared" si="11"/>
        <v>1.9500000000000011</v>
      </c>
      <c r="X43">
        <f t="shared" si="5"/>
        <v>1.9250000000000012</v>
      </c>
      <c r="Y43">
        <f t="shared" si="10"/>
        <v>1.8</v>
      </c>
      <c r="Z43">
        <f t="shared" si="9"/>
        <v>0.39000000000000018</v>
      </c>
      <c r="AA43">
        <f t="shared" si="4"/>
        <v>1.0031284617372453</v>
      </c>
    </row>
    <row r="44" spans="22:27" x14ac:dyDescent="0.25">
      <c r="V44">
        <f t="shared" si="11"/>
        <v>1.9500000000000011</v>
      </c>
      <c r="W44">
        <f t="shared" si="11"/>
        <v>2.0000000000000009</v>
      </c>
      <c r="X44">
        <f t="shared" si="5"/>
        <v>1.975000000000001</v>
      </c>
      <c r="Y44">
        <f t="shared" si="10"/>
        <v>1.8</v>
      </c>
      <c r="Z44">
        <f t="shared" si="9"/>
        <v>0.40000000000000019</v>
      </c>
      <c r="AA44">
        <f t="shared" si="4"/>
        <v>1.0035785321301476</v>
      </c>
    </row>
    <row r="45" spans="22:27" x14ac:dyDescent="0.25">
      <c r="V45">
        <f t="shared" si="11"/>
        <v>2.0000000000000009</v>
      </c>
      <c r="W45">
        <f t="shared" si="11"/>
        <v>2.0500000000000007</v>
      </c>
      <c r="X45">
        <f t="shared" si="5"/>
        <v>2.0250000000000008</v>
      </c>
      <c r="Y45">
        <f t="shared" si="10"/>
        <v>1.8</v>
      </c>
      <c r="Z45">
        <f t="shared" si="9"/>
        <v>0.4100000000000002</v>
      </c>
      <c r="AA45">
        <f t="shared" si="4"/>
        <v>1.00409200526363</v>
      </c>
    </row>
    <row r="46" spans="22:27" x14ac:dyDescent="0.25">
      <c r="V46">
        <f t="shared" si="11"/>
        <v>2.0500000000000007</v>
      </c>
      <c r="W46">
        <f t="shared" si="11"/>
        <v>2.1000000000000005</v>
      </c>
      <c r="X46">
        <f t="shared" si="5"/>
        <v>2.0750000000000006</v>
      </c>
      <c r="Y46">
        <f t="shared" si="10"/>
        <v>1.8</v>
      </c>
      <c r="Z46">
        <f t="shared" si="9"/>
        <v>0.42000000000000021</v>
      </c>
      <c r="AA46">
        <f t="shared" si="4"/>
        <v>1.0046774006879327</v>
      </c>
    </row>
    <row r="47" spans="22:27" x14ac:dyDescent="0.25">
      <c r="V47">
        <f t="shared" si="11"/>
        <v>2.1000000000000005</v>
      </c>
      <c r="W47">
        <f t="shared" si="11"/>
        <v>2.1500000000000004</v>
      </c>
      <c r="X47">
        <f t="shared" si="5"/>
        <v>2.1250000000000004</v>
      </c>
      <c r="Y47">
        <f t="shared" si="10"/>
        <v>1.8</v>
      </c>
      <c r="Z47">
        <f t="shared" si="9"/>
        <v>0.43000000000000022</v>
      </c>
      <c r="AA47">
        <f t="shared" si="4"/>
        <v>1.0053442572676887</v>
      </c>
    </row>
    <row r="48" spans="22:27" x14ac:dyDescent="0.25">
      <c r="V48">
        <f t="shared" si="11"/>
        <v>2.1500000000000004</v>
      </c>
      <c r="W48">
        <f t="shared" si="11"/>
        <v>2.2000000000000002</v>
      </c>
      <c r="X48">
        <f t="shared" si="5"/>
        <v>2.1750000000000003</v>
      </c>
      <c r="Y48">
        <f t="shared" si="10"/>
        <v>1.8</v>
      </c>
      <c r="Z48">
        <f t="shared" si="9"/>
        <v>0.44000000000000022</v>
      </c>
      <c r="AA48">
        <f t="shared" si="4"/>
        <v>1.0061032167743897</v>
      </c>
    </row>
    <row r="49" spans="22:27" x14ac:dyDescent="0.25">
      <c r="V49">
        <f t="shared" si="11"/>
        <v>2.2000000000000002</v>
      </c>
      <c r="W49">
        <f t="shared" si="11"/>
        <v>2.25</v>
      </c>
      <c r="X49">
        <f t="shared" si="5"/>
        <v>2.2250000000000001</v>
      </c>
      <c r="Y49">
        <f t="shared" si="10"/>
        <v>1.8</v>
      </c>
      <c r="Z49">
        <f t="shared" si="9"/>
        <v>0.45000000000000023</v>
      </c>
      <c r="AA49">
        <f t="shared" si="4"/>
        <v>1.0069661019758092</v>
      </c>
    </row>
    <row r="50" spans="22:27" x14ac:dyDescent="0.25">
      <c r="V50">
        <f t="shared" si="11"/>
        <v>2.25</v>
      </c>
      <c r="W50">
        <f t="shared" si="11"/>
        <v>2.2999999999999998</v>
      </c>
      <c r="X50">
        <f t="shared" si="5"/>
        <v>2.2749999999999999</v>
      </c>
      <c r="Y50">
        <f t="shared" si="10"/>
        <v>1.8</v>
      </c>
      <c r="Z50">
        <f t="shared" si="9"/>
        <v>0.46000000000000024</v>
      </c>
      <c r="AA50">
        <f t="shared" si="4"/>
        <v>1.0079459841678335</v>
      </c>
    </row>
    <row r="51" spans="22:27" x14ac:dyDescent="0.25">
      <c r="V51">
        <f t="shared" si="11"/>
        <v>2.2999999999999998</v>
      </c>
      <c r="W51">
        <f t="shared" si="11"/>
        <v>2.3499999999999996</v>
      </c>
      <c r="X51">
        <f t="shared" si="5"/>
        <v>2.3249999999999997</v>
      </c>
      <c r="Y51">
        <f t="shared" si="10"/>
        <v>1.8</v>
      </c>
      <c r="Z51">
        <f t="shared" si="9"/>
        <v>0.47000000000000025</v>
      </c>
      <c r="AA51">
        <f t="shared" si="4"/>
        <v>1.0090572335958559</v>
      </c>
    </row>
    <row r="52" spans="22:27" x14ac:dyDescent="0.25">
      <c r="V52">
        <f t="shared" si="11"/>
        <v>2.3499999999999996</v>
      </c>
      <c r="W52">
        <f t="shared" si="11"/>
        <v>2.3999999999999995</v>
      </c>
      <c r="X52">
        <f t="shared" si="5"/>
        <v>2.3749999999999996</v>
      </c>
      <c r="Y52">
        <f t="shared" si="10"/>
        <v>1.8</v>
      </c>
      <c r="Z52">
        <f t="shared" si="9"/>
        <v>0.48000000000000026</v>
      </c>
      <c r="AA52">
        <f t="shared" si="4"/>
        <v>1.0103155444873746</v>
      </c>
    </row>
    <row r="53" spans="22:27" x14ac:dyDescent="0.25">
      <c r="V53">
        <f t="shared" si="11"/>
        <v>2.3999999999999995</v>
      </c>
      <c r="W53">
        <f t="shared" si="11"/>
        <v>2.4499999999999993</v>
      </c>
      <c r="X53">
        <f t="shared" si="5"/>
        <v>2.4249999999999994</v>
      </c>
      <c r="Y53">
        <f t="shared" si="10"/>
        <v>1.8</v>
      </c>
      <c r="Z53">
        <f t="shared" si="9"/>
        <v>0.49000000000000027</v>
      </c>
      <c r="AA53">
        <f t="shared" si="4"/>
        <v>1.0117379245076292</v>
      </c>
    </row>
    <row r="54" spans="22:27" x14ac:dyDescent="0.25">
      <c r="V54">
        <f t="shared" si="11"/>
        <v>2.4499999999999993</v>
      </c>
      <c r="W54">
        <f t="shared" si="11"/>
        <v>2.4999999999999991</v>
      </c>
      <c r="X54">
        <f t="shared" si="5"/>
        <v>2.4749999999999992</v>
      </c>
      <c r="Y54">
        <f t="shared" si="10"/>
        <v>1.8</v>
      </c>
      <c r="Z54">
        <f t="shared" si="9"/>
        <v>0.50000000000000022</v>
      </c>
      <c r="AA54">
        <f t="shared" si="4"/>
        <v>1.013342636447526</v>
      </c>
    </row>
    <row r="55" spans="22:27" x14ac:dyDescent="0.25">
      <c r="V55">
        <f t="shared" ref="V55:W70" si="12">V54+0.05</f>
        <v>2.4999999999999991</v>
      </c>
      <c r="W55">
        <f t="shared" si="12"/>
        <v>2.5499999999999989</v>
      </c>
      <c r="X55">
        <f t="shared" si="5"/>
        <v>2.524999999999999</v>
      </c>
      <c r="Y55">
        <f t="shared" si="10"/>
        <v>1.8</v>
      </c>
      <c r="Z55">
        <f t="shared" si="9"/>
        <v>0.51000000000000023</v>
      </c>
      <c r="AA55">
        <f t="shared" si="4"/>
        <v>1.0151490780165293</v>
      </c>
    </row>
    <row r="56" spans="22:27" x14ac:dyDescent="0.25">
      <c r="V56">
        <f t="shared" si="12"/>
        <v>2.5499999999999989</v>
      </c>
      <c r="W56">
        <f t="shared" si="12"/>
        <v>2.5999999999999988</v>
      </c>
      <c r="X56">
        <f t="shared" si="5"/>
        <v>2.5749999999999988</v>
      </c>
      <c r="Y56">
        <f t="shared" si="10"/>
        <v>1.8</v>
      </c>
      <c r="Z56">
        <f t="shared" si="9"/>
        <v>0.52000000000000024</v>
      </c>
      <c r="AA56">
        <f t="shared" si="4"/>
        <v>1.017177583988909</v>
      </c>
    </row>
    <row r="57" spans="22:27" x14ac:dyDescent="0.25">
      <c r="V57">
        <f t="shared" si="12"/>
        <v>2.5999999999999988</v>
      </c>
      <c r="W57">
        <f t="shared" si="12"/>
        <v>2.6499999999999986</v>
      </c>
      <c r="X57">
        <f t="shared" si="5"/>
        <v>2.6249999999999987</v>
      </c>
      <c r="Y57">
        <f t="shared" si="10"/>
        <v>1.8</v>
      </c>
      <c r="Z57">
        <f t="shared" si="9"/>
        <v>0.53000000000000025</v>
      </c>
      <c r="AA57">
        <f t="shared" si="4"/>
        <v>1.0194491339914955</v>
      </c>
    </row>
    <row r="58" spans="22:27" x14ac:dyDescent="0.25">
      <c r="V58">
        <f t="shared" si="12"/>
        <v>2.6499999999999986</v>
      </c>
      <c r="W58">
        <f t="shared" si="12"/>
        <v>2.6999999999999984</v>
      </c>
      <c r="X58">
        <f t="shared" si="5"/>
        <v>2.6749999999999985</v>
      </c>
      <c r="Y58">
        <f t="shared" si="10"/>
        <v>1.8</v>
      </c>
      <c r="Z58">
        <f t="shared" si="9"/>
        <v>0.54000000000000026</v>
      </c>
      <c r="AA58">
        <f t="shared" si="4"/>
        <v>1.0219849493919637</v>
      </c>
    </row>
    <row r="59" spans="22:27" x14ac:dyDescent="0.25">
      <c r="V59">
        <f t="shared" si="12"/>
        <v>2.6999999999999984</v>
      </c>
      <c r="W59">
        <f t="shared" si="12"/>
        <v>2.7499999999999982</v>
      </c>
      <c r="X59">
        <f t="shared" si="5"/>
        <v>2.7249999999999983</v>
      </c>
      <c r="Y59">
        <f t="shared" si="10"/>
        <v>1.8</v>
      </c>
      <c r="Z59">
        <f t="shared" si="9"/>
        <v>0.55000000000000027</v>
      </c>
      <c r="AA59">
        <f t="shared" si="4"/>
        <v>1.0248059646235588</v>
      </c>
    </row>
    <row r="60" spans="22:27" x14ac:dyDescent="0.25">
      <c r="V60">
        <f t="shared" si="12"/>
        <v>2.7499999999999982</v>
      </c>
      <c r="W60">
        <f t="shared" si="12"/>
        <v>2.799999999999998</v>
      </c>
      <c r="X60">
        <f t="shared" si="5"/>
        <v>2.7749999999999981</v>
      </c>
      <c r="Y60">
        <f t="shared" si="10"/>
        <v>1.8</v>
      </c>
      <c r="Z60">
        <f t="shared" si="9"/>
        <v>0.56000000000000028</v>
      </c>
      <c r="AA60">
        <f t="shared" si="4"/>
        <v>1.0279321625110396</v>
      </c>
    </row>
    <row r="61" spans="22:27" x14ac:dyDescent="0.25">
      <c r="V61">
        <f t="shared" si="12"/>
        <v>2.799999999999998</v>
      </c>
      <c r="W61">
        <f t="shared" si="12"/>
        <v>2.8499999999999979</v>
      </c>
      <c r="X61">
        <f t="shared" si="5"/>
        <v>2.824999999999998</v>
      </c>
      <c r="Y61">
        <f t="shared" si="10"/>
        <v>1.8</v>
      </c>
      <c r="Z61">
        <f t="shared" si="9"/>
        <v>0.57000000000000028</v>
      </c>
      <c r="AA61">
        <f t="shared" si="4"/>
        <v>1.0313817703808876</v>
      </c>
    </row>
    <row r="62" spans="22:27" x14ac:dyDescent="0.25">
      <c r="V62">
        <f t="shared" si="12"/>
        <v>2.8499999999999979</v>
      </c>
      <c r="W62">
        <f t="shared" si="12"/>
        <v>2.8999999999999977</v>
      </c>
      <c r="X62">
        <f t="shared" si="5"/>
        <v>2.8749999999999978</v>
      </c>
      <c r="Y62">
        <f t="shared" si="10"/>
        <v>1.8</v>
      </c>
      <c r="Z62">
        <f t="shared" si="9"/>
        <v>0.58000000000000029</v>
      </c>
      <c r="AA62">
        <f t="shared" si="4"/>
        <v>1.0351703244417214</v>
      </c>
    </row>
    <row r="63" spans="22:27" x14ac:dyDescent="0.25">
      <c r="V63">
        <f t="shared" si="12"/>
        <v>2.8999999999999977</v>
      </c>
      <c r="W63">
        <f t="shared" si="12"/>
        <v>2.9499999999999975</v>
      </c>
      <c r="X63">
        <f t="shared" si="5"/>
        <v>2.9249999999999976</v>
      </c>
      <c r="Y63">
        <f t="shared" si="10"/>
        <v>1.8</v>
      </c>
      <c r="Z63">
        <f t="shared" si="9"/>
        <v>0.5900000000000003</v>
      </c>
      <c r="AA63">
        <f t="shared" si="4"/>
        <v>1.0393096242706137</v>
      </c>
    </row>
    <row r="64" spans="22:27" x14ac:dyDescent="0.25">
      <c r="V64">
        <f t="shared" si="12"/>
        <v>2.9499999999999975</v>
      </c>
      <c r="W64">
        <f t="shared" si="12"/>
        <v>2.9999999999999973</v>
      </c>
      <c r="X64">
        <f t="shared" si="5"/>
        <v>2.9749999999999974</v>
      </c>
      <c r="Y64">
        <f t="shared" si="10"/>
        <v>1.8</v>
      </c>
      <c r="Z64">
        <f t="shared" si="9"/>
        <v>0.60000000000000031</v>
      </c>
      <c r="AA64">
        <f t="shared" si="4"/>
        <v>1.0438066168330804</v>
      </c>
    </row>
    <row r="65" spans="22:27" x14ac:dyDescent="0.25">
      <c r="V65">
        <f t="shared" si="12"/>
        <v>2.9999999999999973</v>
      </c>
      <c r="W65">
        <f t="shared" si="12"/>
        <v>3.0499999999999972</v>
      </c>
      <c r="X65">
        <f t="shared" si="5"/>
        <v>3.0249999999999972</v>
      </c>
      <c r="Y65">
        <f t="shared" si="10"/>
        <v>1.8</v>
      </c>
      <c r="Z65">
        <f t="shared" si="9"/>
        <v>0.61000000000000032</v>
      </c>
      <c r="AA65">
        <f t="shared" si="4"/>
        <v>1.0486622690912766</v>
      </c>
    </row>
    <row r="66" spans="22:27" x14ac:dyDescent="0.25">
      <c r="V66">
        <f t="shared" si="12"/>
        <v>3.0499999999999972</v>
      </c>
      <c r="W66">
        <f t="shared" si="12"/>
        <v>3.099999999999997</v>
      </c>
      <c r="X66">
        <f t="shared" si="5"/>
        <v>3.0749999999999971</v>
      </c>
      <c r="Y66">
        <f t="shared" si="10"/>
        <v>1.8</v>
      </c>
      <c r="Z66">
        <f t="shared" si="9"/>
        <v>0.62000000000000033</v>
      </c>
      <c r="AA66">
        <f t="shared" si="4"/>
        <v>1.0538705077388972</v>
      </c>
    </row>
    <row r="67" spans="22:27" x14ac:dyDescent="0.25">
      <c r="V67">
        <f t="shared" si="12"/>
        <v>3.099999999999997</v>
      </c>
      <c r="W67">
        <f t="shared" si="12"/>
        <v>3.1499999999999968</v>
      </c>
      <c r="X67">
        <f t="shared" si="5"/>
        <v>3.1249999999999969</v>
      </c>
      <c r="Y67">
        <f t="shared" si="10"/>
        <v>1.8</v>
      </c>
      <c r="Z67">
        <f t="shared" si="9"/>
        <v>0.63000000000000034</v>
      </c>
      <c r="AA67">
        <f t="shared" si="4"/>
        <v>1.0594173207971311</v>
      </c>
    </row>
    <row r="68" spans="22:27" x14ac:dyDescent="0.25">
      <c r="V68">
        <f t="shared" si="12"/>
        <v>3.1499999999999968</v>
      </c>
      <c r="W68">
        <f t="shared" si="12"/>
        <v>3.1999999999999966</v>
      </c>
      <c r="X68">
        <f t="shared" si="5"/>
        <v>3.1749999999999967</v>
      </c>
      <c r="Y68">
        <f t="shared" si="10"/>
        <v>1.8</v>
      </c>
      <c r="Z68">
        <f t="shared" si="9"/>
        <v>0.64000000000000035</v>
      </c>
      <c r="AA68">
        <f t="shared" si="4"/>
        <v>1.0652801248751522</v>
      </c>
    </row>
    <row r="69" spans="22:27" x14ac:dyDescent="0.25">
      <c r="V69">
        <f t="shared" si="12"/>
        <v>3.1999999999999966</v>
      </c>
      <c r="W69">
        <f t="shared" si="12"/>
        <v>3.2499999999999964</v>
      </c>
      <c r="X69">
        <f t="shared" si="5"/>
        <v>3.2249999999999965</v>
      </c>
      <c r="Y69">
        <f t="shared" ref="Y69:Y73" si="13">VLOOKUP(X69,$C$4:$D$9,2,TRUE)</f>
        <v>1.8</v>
      </c>
      <c r="Z69">
        <f t="shared" si="9"/>
        <v>0.65000000000000036</v>
      </c>
      <c r="AA69">
        <f t="shared" si="4"/>
        <v>1.071427499922547</v>
      </c>
    </row>
    <row r="70" spans="22:27" x14ac:dyDescent="0.25">
      <c r="V70">
        <f t="shared" si="12"/>
        <v>3.2499999999999964</v>
      </c>
      <c r="W70">
        <f t="shared" si="12"/>
        <v>3.2999999999999963</v>
      </c>
      <c r="X70">
        <f t="shared" ref="X70:X73" si="14">AVERAGE(V70:W70)</f>
        <v>3.2749999999999964</v>
      </c>
      <c r="Y70">
        <f t="shared" si="13"/>
        <v>1.8</v>
      </c>
      <c r="Z70">
        <f t="shared" si="9"/>
        <v>0.66000000000000036</v>
      </c>
      <c r="AA70">
        <f t="shared" ref="AA70:AA133" si="15">($H$5-1)/(1+EXP(-$H$6*(Z70-$H$7)))+1</f>
        <v>1.0778193772078715</v>
      </c>
    </row>
    <row r="71" spans="22:27" x14ac:dyDescent="0.25">
      <c r="V71">
        <f t="shared" ref="V71:W73" si="16">V70+0.05</f>
        <v>3.2999999999999963</v>
      </c>
      <c r="W71">
        <f t="shared" si="16"/>
        <v>3.3499999999999961</v>
      </c>
      <c r="X71">
        <f t="shared" si="14"/>
        <v>3.3249999999999962</v>
      </c>
      <c r="Y71">
        <f t="shared" si="13"/>
        <v>1.8</v>
      </c>
      <c r="Z71">
        <f t="shared" si="9"/>
        <v>0.67000000000000037</v>
      </c>
      <c r="AA71">
        <f t="shared" si="15"/>
        <v>1.0844077348981804</v>
      </c>
    </row>
    <row r="72" spans="22:27" x14ac:dyDescent="0.25">
      <c r="V72">
        <f t="shared" si="16"/>
        <v>3.3499999999999961</v>
      </c>
      <c r="W72">
        <f t="shared" si="16"/>
        <v>3.3999999999999959</v>
      </c>
      <c r="X72">
        <f t="shared" si="14"/>
        <v>3.374999999999996</v>
      </c>
      <c r="Y72">
        <f t="shared" si="13"/>
        <v>1.8</v>
      </c>
      <c r="Z72">
        <f t="shared" si="9"/>
        <v>0.68000000000000038</v>
      </c>
      <c r="AA72">
        <f t="shared" si="15"/>
        <v>1.0911378106848442</v>
      </c>
    </row>
    <row r="73" spans="22:27" x14ac:dyDescent="0.25">
      <c r="V73">
        <f t="shared" si="16"/>
        <v>3.3999999999999959</v>
      </c>
      <c r="W73">
        <f t="shared" si="16"/>
        <v>3.4499999999999957</v>
      </c>
      <c r="X73">
        <f t="shared" si="14"/>
        <v>3.4249999999999958</v>
      </c>
      <c r="Y73">
        <f t="shared" si="13"/>
        <v>1.8</v>
      </c>
      <c r="Z73">
        <f t="shared" si="9"/>
        <v>0.69000000000000039</v>
      </c>
      <c r="AA73">
        <f t="shared" si="15"/>
        <v>1.0979497873326858</v>
      </c>
    </row>
    <row r="74" spans="22:27" x14ac:dyDescent="0.25">
      <c r="Z74">
        <f t="shared" si="9"/>
        <v>0.7000000000000004</v>
      </c>
      <c r="AA74">
        <f t="shared" si="15"/>
        <v>1.1047808525365956</v>
      </c>
    </row>
    <row r="75" spans="22:27" x14ac:dyDescent="0.25">
      <c r="Z75">
        <f t="shared" si="9"/>
        <v>0.71000000000000041</v>
      </c>
      <c r="AA75">
        <f t="shared" si="15"/>
        <v>1.1115674881724062</v>
      </c>
    </row>
    <row r="76" spans="22:27" x14ac:dyDescent="0.25">
      <c r="Z76">
        <f t="shared" si="9"/>
        <v>0.72000000000000042</v>
      </c>
      <c r="AA76">
        <f t="shared" si="15"/>
        <v>1.1182478144126744</v>
      </c>
    </row>
    <row r="77" spans="22:27" x14ac:dyDescent="0.25">
      <c r="Z77">
        <f t="shared" si="9"/>
        <v>0.73000000000000043</v>
      </c>
      <c r="AA77">
        <f t="shared" si="15"/>
        <v>1.1247638069626658</v>
      </c>
    </row>
    <row r="78" spans="22:27" x14ac:dyDescent="0.25">
      <c r="Z78">
        <f t="shared" si="9"/>
        <v>0.74000000000000044</v>
      </c>
      <c r="AA78">
        <f t="shared" si="15"/>
        <v>1.1310632222816699</v>
      </c>
    </row>
    <row r="79" spans="22:27" x14ac:dyDescent="0.25">
      <c r="Z79">
        <f t="shared" si="9"/>
        <v>0.75000000000000044</v>
      </c>
      <c r="AA79">
        <f t="shared" si="15"/>
        <v>1.1371011028285305</v>
      </c>
    </row>
    <row r="80" spans="22:27" x14ac:dyDescent="0.25">
      <c r="Z80">
        <f t="shared" si="9"/>
        <v>0.76000000000000045</v>
      </c>
      <c r="AA80">
        <f t="shared" si="15"/>
        <v>1.142840785049672</v>
      </c>
    </row>
    <row r="81" spans="26:27" x14ac:dyDescent="0.25">
      <c r="Z81">
        <f t="shared" si="9"/>
        <v>0.77000000000000046</v>
      </c>
      <c r="AA81">
        <f t="shared" si="15"/>
        <v>1.1482543880072555</v>
      </c>
    </row>
    <row r="82" spans="26:27" x14ac:dyDescent="0.25">
      <c r="Z82">
        <f t="shared" si="9"/>
        <v>0.78000000000000047</v>
      </c>
      <c r="AA82">
        <f t="shared" si="15"/>
        <v>1.1533228114490421</v>
      </c>
    </row>
    <row r="83" spans="26:27" x14ac:dyDescent="0.25">
      <c r="Z83">
        <f t="shared" si="9"/>
        <v>0.79000000000000048</v>
      </c>
      <c r="AA83">
        <f t="shared" si="15"/>
        <v>1.1580353120335982</v>
      </c>
    </row>
    <row r="84" spans="26:27" x14ac:dyDescent="0.25">
      <c r="Z84">
        <f t="shared" si="9"/>
        <v>0.80000000000000049</v>
      </c>
      <c r="AA84">
        <f t="shared" si="15"/>
        <v>1.1623887517053284</v>
      </c>
    </row>
    <row r="85" spans="26:27" x14ac:dyDescent="0.25">
      <c r="Z85">
        <f t="shared" si="9"/>
        <v>0.8100000000000005</v>
      </c>
      <c r="AA85">
        <f t="shared" si="15"/>
        <v>1.1663866223906019</v>
      </c>
    </row>
    <row r="86" spans="26:27" x14ac:dyDescent="0.25">
      <c r="Z86">
        <f t="shared" si="9"/>
        <v>0.82000000000000051</v>
      </c>
      <c r="AA86">
        <f t="shared" si="15"/>
        <v>1.1700379483045693</v>
      </c>
    </row>
    <row r="87" spans="26:27" x14ac:dyDescent="0.25">
      <c r="Z87">
        <f t="shared" si="9"/>
        <v>0.83000000000000052</v>
      </c>
      <c r="AA87">
        <f t="shared" si="15"/>
        <v>1.1733561547549032</v>
      </c>
    </row>
    <row r="88" spans="26:27" x14ac:dyDescent="0.25">
      <c r="Z88">
        <f t="shared" si="9"/>
        <v>0.84000000000000052</v>
      </c>
      <c r="AA88">
        <f t="shared" si="15"/>
        <v>1.1763579743858277</v>
      </c>
    </row>
    <row r="89" spans="26:27" x14ac:dyDescent="0.25">
      <c r="Z89">
        <f t="shared" si="9"/>
        <v>0.85000000000000053</v>
      </c>
      <c r="AA89">
        <f t="shared" si="15"/>
        <v>1.1790624419387195</v>
      </c>
    </row>
    <row r="90" spans="26:27" x14ac:dyDescent="0.25">
      <c r="Z90">
        <f t="shared" si="9"/>
        <v>0.86000000000000054</v>
      </c>
      <c r="AA90">
        <f t="shared" si="15"/>
        <v>1.1814900095879552</v>
      </c>
    </row>
    <row r="91" spans="26:27" x14ac:dyDescent="0.25">
      <c r="Z91">
        <f t="shared" si="9"/>
        <v>0.87000000000000055</v>
      </c>
      <c r="AA91">
        <f t="shared" si="15"/>
        <v>1.1836617985204898</v>
      </c>
    </row>
    <row r="92" spans="26:27" x14ac:dyDescent="0.25">
      <c r="Z92">
        <f t="shared" ref="Z92:Z155" si="17">Z91+0.01</f>
        <v>0.88000000000000056</v>
      </c>
      <c r="AA92">
        <f t="shared" si="15"/>
        <v>1.1855989895253656</v>
      </c>
    </row>
    <row r="93" spans="26:27" x14ac:dyDescent="0.25">
      <c r="Z93">
        <f t="shared" si="17"/>
        <v>0.89000000000000057</v>
      </c>
      <c r="AA93">
        <f t="shared" si="15"/>
        <v>1.1873223460933147</v>
      </c>
    </row>
    <row r="94" spans="26:27" x14ac:dyDescent="0.25">
      <c r="Z94">
        <f t="shared" si="17"/>
        <v>0.90000000000000058</v>
      </c>
      <c r="AA94">
        <f t="shared" si="15"/>
        <v>1.1888518575751741</v>
      </c>
    </row>
    <row r="95" spans="26:27" x14ac:dyDescent="0.25">
      <c r="Z95">
        <f t="shared" si="17"/>
        <v>0.91000000000000059</v>
      </c>
      <c r="AA95">
        <f t="shared" si="15"/>
        <v>1.1902064867391082</v>
      </c>
    </row>
    <row r="96" spans="26:27" x14ac:dyDescent="0.25">
      <c r="Z96">
        <f t="shared" si="17"/>
        <v>0.9200000000000006</v>
      </c>
      <c r="AA96">
        <f t="shared" si="15"/>
        <v>1.1914040049469339</v>
      </c>
    </row>
    <row r="97" spans="26:27" x14ac:dyDescent="0.25">
      <c r="Z97">
        <f t="shared" si="17"/>
        <v>0.9300000000000006</v>
      </c>
      <c r="AA97">
        <f t="shared" si="15"/>
        <v>1.1924608985148224</v>
      </c>
    </row>
    <row r="98" spans="26:27" x14ac:dyDescent="0.25">
      <c r="Z98">
        <f t="shared" si="17"/>
        <v>0.94000000000000061</v>
      </c>
      <c r="AA98">
        <f t="shared" si="15"/>
        <v>1.193392331099034</v>
      </c>
    </row>
    <row r="99" spans="26:27" x14ac:dyDescent="0.25">
      <c r="Z99">
        <f t="shared" si="17"/>
        <v>0.95000000000000062</v>
      </c>
      <c r="AA99">
        <f t="shared" si="15"/>
        <v>1.1942121487324919</v>
      </c>
    </row>
    <row r="100" spans="26:27" x14ac:dyDescent="0.25">
      <c r="Z100">
        <f t="shared" si="17"/>
        <v>0.96000000000000063</v>
      </c>
      <c r="AA100">
        <f t="shared" si="15"/>
        <v>1.1949329161252</v>
      </c>
    </row>
    <row r="101" spans="26:27" x14ac:dyDescent="0.25">
      <c r="Z101">
        <f t="shared" si="17"/>
        <v>0.97000000000000064</v>
      </c>
      <c r="AA101">
        <f t="shared" si="15"/>
        <v>1.1955659748218084</v>
      </c>
    </row>
    <row r="102" spans="26:27" x14ac:dyDescent="0.25">
      <c r="Z102">
        <f t="shared" si="17"/>
        <v>0.98000000000000065</v>
      </c>
      <c r="AA102">
        <f t="shared" si="15"/>
        <v>1.1961215156535969</v>
      </c>
    </row>
    <row r="103" spans="26:27" x14ac:dyDescent="0.25">
      <c r="Z103">
        <f t="shared" si="17"/>
        <v>0.99000000000000066</v>
      </c>
      <c r="AA103">
        <f t="shared" si="15"/>
        <v>1.196608659559776</v>
      </c>
    </row>
    <row r="104" spans="26:27" x14ac:dyDescent="0.25">
      <c r="Z104">
        <f t="shared" si="17"/>
        <v>1.0000000000000007</v>
      </c>
      <c r="AA104">
        <f t="shared" si="15"/>
        <v>1.1970355422561463</v>
      </c>
    </row>
    <row r="105" spans="26:27" x14ac:dyDescent="0.25">
      <c r="Z105">
        <f t="shared" si="17"/>
        <v>1.0100000000000007</v>
      </c>
      <c r="AA105">
        <f t="shared" si="15"/>
        <v>1.1974093993970509</v>
      </c>
    </row>
    <row r="106" spans="26:27" x14ac:dyDescent="0.25">
      <c r="Z106">
        <f t="shared" si="17"/>
        <v>1.0200000000000007</v>
      </c>
      <c r="AA106">
        <f t="shared" si="15"/>
        <v>1.197736649824916</v>
      </c>
    </row>
    <row r="107" spans="26:27" x14ac:dyDescent="0.25">
      <c r="Z107">
        <f t="shared" si="17"/>
        <v>1.0300000000000007</v>
      </c>
      <c r="AA107">
        <f t="shared" si="15"/>
        <v>1.1980229752548923</v>
      </c>
    </row>
    <row r="108" spans="26:27" x14ac:dyDescent="0.25">
      <c r="Z108">
        <f t="shared" si="17"/>
        <v>1.0400000000000007</v>
      </c>
      <c r="AA108">
        <f t="shared" si="15"/>
        <v>1.1982733953278948</v>
      </c>
    </row>
    <row r="109" spans="26:27" x14ac:dyDescent="0.25">
      <c r="Z109">
        <f t="shared" si="17"/>
        <v>1.0500000000000007</v>
      </c>
      <c r="AA109">
        <f t="shared" si="15"/>
        <v>1.1984923374114256</v>
      </c>
    </row>
    <row r="110" spans="26:27" x14ac:dyDescent="0.25">
      <c r="Z110">
        <f t="shared" si="17"/>
        <v>1.0600000000000007</v>
      </c>
      <c r="AA110">
        <f t="shared" si="15"/>
        <v>1.1986837008597346</v>
      </c>
    </row>
    <row r="111" spans="26:27" x14ac:dyDescent="0.25">
      <c r="Z111">
        <f t="shared" si="17"/>
        <v>1.0700000000000007</v>
      </c>
      <c r="AA111">
        <f t="shared" si="15"/>
        <v>1.1988509156859473</v>
      </c>
    </row>
    <row r="112" spans="26:27" x14ac:dyDescent="0.25">
      <c r="Z112">
        <f t="shared" si="17"/>
        <v>1.0800000000000007</v>
      </c>
      <c r="AA112">
        <f t="shared" si="15"/>
        <v>1.1989969957683448</v>
      </c>
    </row>
    <row r="113" spans="26:27" x14ac:dyDescent="0.25">
      <c r="Z113">
        <f t="shared" si="17"/>
        <v>1.0900000000000007</v>
      </c>
      <c r="AA113">
        <f t="shared" si="15"/>
        <v>1.1991245868273088</v>
      </c>
    </row>
    <row r="114" spans="26:27" x14ac:dyDescent="0.25">
      <c r="Z114">
        <f t="shared" si="17"/>
        <v>1.1000000000000008</v>
      </c>
      <c r="AA114">
        <f t="shared" si="15"/>
        <v>1.1992360094818533</v>
      </c>
    </row>
    <row r="115" spans="26:27" x14ac:dyDescent="0.25">
      <c r="Z115">
        <f t="shared" si="17"/>
        <v>1.1100000000000008</v>
      </c>
      <c r="AA115">
        <f t="shared" si="15"/>
        <v>1.1993332977358442</v>
      </c>
    </row>
    <row r="116" spans="26:27" x14ac:dyDescent="0.25">
      <c r="Z116">
        <f t="shared" si="17"/>
        <v>1.1200000000000008</v>
      </c>
      <c r="AA116">
        <f t="shared" si="15"/>
        <v>1.1994182332623575</v>
      </c>
    </row>
    <row r="117" spans="26:27" x14ac:dyDescent="0.25">
      <c r="Z117">
        <f t="shared" si="17"/>
        <v>1.1300000000000008</v>
      </c>
      <c r="AA117">
        <f t="shared" si="15"/>
        <v>1.1994923758567086</v>
      </c>
    </row>
    <row r="118" spans="26:27" x14ac:dyDescent="0.25">
      <c r="Z118">
        <f t="shared" si="17"/>
        <v>1.1400000000000008</v>
      </c>
      <c r="AA118">
        <f t="shared" si="15"/>
        <v>1.1995570904195436</v>
      </c>
    </row>
    <row r="119" spans="26:27" x14ac:dyDescent="0.25">
      <c r="Z119">
        <f t="shared" si="17"/>
        <v>1.1500000000000008</v>
      </c>
      <c r="AA119">
        <f t="shared" si="15"/>
        <v>1.1996135708147766</v>
      </c>
    </row>
    <row r="120" spans="26:27" x14ac:dyDescent="0.25">
      <c r="Z120">
        <f t="shared" si="17"/>
        <v>1.1600000000000008</v>
      </c>
      <c r="AA120">
        <f t="shared" si="15"/>
        <v>1.199662860925979</v>
      </c>
    </row>
    <row r="121" spans="26:27" x14ac:dyDescent="0.25">
      <c r="Z121">
        <f t="shared" si="17"/>
        <v>1.1700000000000008</v>
      </c>
      <c r="AA121">
        <f t="shared" si="15"/>
        <v>1.1997058732110983</v>
      </c>
    </row>
    <row r="122" spans="26:27" x14ac:dyDescent="0.25">
      <c r="Z122">
        <f t="shared" si="17"/>
        <v>1.1800000000000008</v>
      </c>
      <c r="AA122">
        <f t="shared" si="15"/>
        <v>1.1997434050306488</v>
      </c>
    </row>
    <row r="123" spans="26:27" x14ac:dyDescent="0.25">
      <c r="Z123">
        <f t="shared" si="17"/>
        <v>1.1900000000000008</v>
      </c>
      <c r="AA123">
        <f t="shared" si="15"/>
        <v>1.1997761529997868</v>
      </c>
    </row>
    <row r="124" spans="26:27" x14ac:dyDescent="0.25">
      <c r="Z124">
        <f t="shared" si="17"/>
        <v>1.2000000000000008</v>
      </c>
      <c r="AA124">
        <f t="shared" si="15"/>
        <v>1.1998047255907009</v>
      </c>
    </row>
    <row r="125" spans="26:27" x14ac:dyDescent="0.25">
      <c r="Z125">
        <f t="shared" si="17"/>
        <v>1.2100000000000009</v>
      </c>
      <c r="AA125">
        <f t="shared" si="15"/>
        <v>1.1998296541889502</v>
      </c>
    </row>
    <row r="126" spans="26:27" x14ac:dyDescent="0.25">
      <c r="Z126">
        <f t="shared" si="17"/>
        <v>1.2200000000000009</v>
      </c>
      <c r="AA126">
        <f t="shared" si="15"/>
        <v>1.1998514027860714</v>
      </c>
    </row>
    <row r="127" spans="26:27" x14ac:dyDescent="0.25">
      <c r="Z127">
        <f t="shared" si="17"/>
        <v>1.2300000000000009</v>
      </c>
      <c r="AA127">
        <f t="shared" si="15"/>
        <v>1.1998703764710776</v>
      </c>
    </row>
    <row r="128" spans="26:27" x14ac:dyDescent="0.25">
      <c r="Z128">
        <f t="shared" si="17"/>
        <v>1.2400000000000009</v>
      </c>
      <c r="AA128">
        <f t="shared" si="15"/>
        <v>1.1998869288654457</v>
      </c>
    </row>
    <row r="129" spans="26:27" x14ac:dyDescent="0.25">
      <c r="Z129">
        <f t="shared" si="17"/>
        <v>1.2500000000000009</v>
      </c>
      <c r="AA129">
        <f t="shared" si="15"/>
        <v>1.1999013686298154</v>
      </c>
    </row>
    <row r="130" spans="26:27" x14ac:dyDescent="0.25">
      <c r="Z130">
        <f t="shared" si="17"/>
        <v>1.2600000000000009</v>
      </c>
      <c r="AA130">
        <f t="shared" si="15"/>
        <v>1.1999139651558477</v>
      </c>
    </row>
    <row r="131" spans="26:27" x14ac:dyDescent="0.25">
      <c r="Z131">
        <f t="shared" si="17"/>
        <v>1.2700000000000009</v>
      </c>
      <c r="AA131">
        <f t="shared" si="15"/>
        <v>1.1999249535434209</v>
      </c>
    </row>
    <row r="132" spans="26:27" x14ac:dyDescent="0.25">
      <c r="Z132">
        <f t="shared" si="17"/>
        <v>1.2800000000000009</v>
      </c>
      <c r="AA132">
        <f t="shared" si="15"/>
        <v>1.1999345389514771</v>
      </c>
    </row>
    <row r="133" spans="26:27" x14ac:dyDescent="0.25">
      <c r="Z133">
        <f t="shared" si="17"/>
        <v>1.2900000000000009</v>
      </c>
      <c r="AA133">
        <f t="shared" si="15"/>
        <v>1.1999429004002635</v>
      </c>
    </row>
    <row r="134" spans="26:27" x14ac:dyDescent="0.25">
      <c r="Z134">
        <f t="shared" si="17"/>
        <v>1.3000000000000009</v>
      </c>
      <c r="AA134">
        <f t="shared" ref="AA134:AA190" si="18">($H$5-1)/(1+EXP(-$H$6*(Z134-$H$7)))+1</f>
        <v>1.1999501940933222</v>
      </c>
    </row>
    <row r="135" spans="26:27" x14ac:dyDescent="0.25">
      <c r="Z135">
        <f t="shared" si="17"/>
        <v>1.3100000000000009</v>
      </c>
      <c r="AA135">
        <f t="shared" si="18"/>
        <v>1.1999565563192638</v>
      </c>
    </row>
    <row r="136" spans="26:27" x14ac:dyDescent="0.25">
      <c r="Z136">
        <f t="shared" si="17"/>
        <v>1.320000000000001</v>
      </c>
      <c r="AA136">
        <f t="shared" si="18"/>
        <v>1.1999621059860057</v>
      </c>
    </row>
    <row r="137" spans="26:27" x14ac:dyDescent="0.25">
      <c r="Z137">
        <f t="shared" si="17"/>
        <v>1.330000000000001</v>
      </c>
      <c r="AA137">
        <f t="shared" si="18"/>
        <v>1.1999669468336669</v>
      </c>
    </row>
    <row r="138" spans="26:27" x14ac:dyDescent="0.25">
      <c r="Z138">
        <f t="shared" si="17"/>
        <v>1.340000000000001</v>
      </c>
      <c r="AA138">
        <f t="shared" si="18"/>
        <v>1.1999711693665887</v>
      </c>
    </row>
    <row r="139" spans="26:27" x14ac:dyDescent="0.25">
      <c r="Z139">
        <f t="shared" si="17"/>
        <v>1.350000000000001</v>
      </c>
      <c r="AA139">
        <f t="shared" si="18"/>
        <v>1.1999748525399268</v>
      </c>
    </row>
    <row r="140" spans="26:27" x14ac:dyDescent="0.25">
      <c r="Z140">
        <f t="shared" si="17"/>
        <v>1.360000000000001</v>
      </c>
      <c r="AA140">
        <f t="shared" si="18"/>
        <v>1.1999780652318286</v>
      </c>
    </row>
    <row r="141" spans="26:27" x14ac:dyDescent="0.25">
      <c r="Z141">
        <f t="shared" si="17"/>
        <v>1.370000000000001</v>
      </c>
      <c r="AA141">
        <f t="shared" si="18"/>
        <v>1.1999808675283372</v>
      </c>
    </row>
    <row r="142" spans="26:27" x14ac:dyDescent="0.25">
      <c r="Z142">
        <f t="shared" si="17"/>
        <v>1.380000000000001</v>
      </c>
      <c r="AA142">
        <f t="shared" si="18"/>
        <v>1.1999833118447505</v>
      </c>
    </row>
    <row r="143" spans="26:27" x14ac:dyDescent="0.25">
      <c r="Z143">
        <f t="shared" si="17"/>
        <v>1.390000000000001</v>
      </c>
      <c r="AA143">
        <f t="shared" si="18"/>
        <v>1.1999854439041826</v>
      </c>
    </row>
    <row r="144" spans="26:27" x14ac:dyDescent="0.25">
      <c r="Z144">
        <f t="shared" si="17"/>
        <v>1.400000000000001</v>
      </c>
      <c r="AA144">
        <f t="shared" si="18"/>
        <v>1.1999873035914583</v>
      </c>
    </row>
    <row r="145" spans="26:27" x14ac:dyDescent="0.25">
      <c r="Z145">
        <f t="shared" si="17"/>
        <v>1.410000000000001</v>
      </c>
      <c r="AA145">
        <f t="shared" si="18"/>
        <v>1.1999889256981842</v>
      </c>
    </row>
    <row r="146" spans="26:27" x14ac:dyDescent="0.25">
      <c r="Z146">
        <f t="shared" si="17"/>
        <v>1.420000000000001</v>
      </c>
      <c r="AA146">
        <f t="shared" si="18"/>
        <v>1.1999903405728305</v>
      </c>
    </row>
    <row r="147" spans="26:27" x14ac:dyDescent="0.25">
      <c r="Z147">
        <f t="shared" si="17"/>
        <v>1.430000000000001</v>
      </c>
      <c r="AA147">
        <f t="shared" si="18"/>
        <v>1.1999915746879166</v>
      </c>
    </row>
    <row r="148" spans="26:27" x14ac:dyDescent="0.25">
      <c r="Z148">
        <f t="shared" si="17"/>
        <v>1.4400000000000011</v>
      </c>
      <c r="AA148">
        <f t="shared" si="18"/>
        <v>1.1999926511348455</v>
      </c>
    </row>
    <row r="149" spans="26:27" x14ac:dyDescent="0.25">
      <c r="Z149">
        <f t="shared" si="17"/>
        <v>1.4500000000000011</v>
      </c>
      <c r="AA149">
        <f t="shared" si="18"/>
        <v>1.1999935900556105</v>
      </c>
    </row>
    <row r="150" spans="26:27" x14ac:dyDescent="0.25">
      <c r="Z150">
        <f t="shared" si="17"/>
        <v>1.4600000000000011</v>
      </c>
      <c r="AA150">
        <f t="shared" si="18"/>
        <v>1.1999944090194108</v>
      </c>
    </row>
    <row r="151" spans="26:27" x14ac:dyDescent="0.25">
      <c r="Z151">
        <f t="shared" si="17"/>
        <v>1.4700000000000011</v>
      </c>
      <c r="AA151">
        <f t="shared" si="18"/>
        <v>1.1999951233512032</v>
      </c>
    </row>
    <row r="152" spans="26:27" x14ac:dyDescent="0.25">
      <c r="Z152">
        <f t="shared" si="17"/>
        <v>1.4800000000000011</v>
      </c>
      <c r="AA152">
        <f t="shared" si="18"/>
        <v>1.1999957464183151</v>
      </c>
    </row>
    <row r="153" spans="26:27" x14ac:dyDescent="0.25">
      <c r="Z153">
        <f t="shared" si="17"/>
        <v>1.4900000000000011</v>
      </c>
      <c r="AA153">
        <f t="shared" si="18"/>
        <v>1.1999962898804688</v>
      </c>
    </row>
    <row r="154" spans="26:27" x14ac:dyDescent="0.25">
      <c r="Z154">
        <f t="shared" si="17"/>
        <v>1.5000000000000011</v>
      </c>
      <c r="AA154">
        <f t="shared" si="18"/>
        <v>1.1999967639078835</v>
      </c>
    </row>
    <row r="155" spans="26:27" x14ac:dyDescent="0.25">
      <c r="Z155">
        <f t="shared" si="17"/>
        <v>1.5100000000000011</v>
      </c>
      <c r="AA155">
        <f t="shared" si="18"/>
        <v>1.1999971773715303</v>
      </c>
    </row>
    <row r="156" spans="26:27" x14ac:dyDescent="0.25">
      <c r="Z156">
        <f t="shared" ref="Z156:Z190" si="19">Z155+0.01</f>
        <v>1.5200000000000011</v>
      </c>
      <c r="AA156">
        <f t="shared" si="18"/>
        <v>1.1999975380090904</v>
      </c>
    </row>
    <row r="157" spans="26:27" x14ac:dyDescent="0.25">
      <c r="Z157">
        <f t="shared" si="19"/>
        <v>1.5300000000000011</v>
      </c>
      <c r="AA157">
        <f t="shared" si="18"/>
        <v>1.1999978525697208</v>
      </c>
    </row>
    <row r="158" spans="26:27" x14ac:dyDescent="0.25">
      <c r="Z158">
        <f t="shared" si="19"/>
        <v>1.5400000000000011</v>
      </c>
      <c r="AA158">
        <f t="shared" si="18"/>
        <v>1.1999981269403313</v>
      </c>
    </row>
    <row r="159" spans="26:27" x14ac:dyDescent="0.25">
      <c r="Z159">
        <f t="shared" si="19"/>
        <v>1.5500000000000012</v>
      </c>
      <c r="AA159">
        <f t="shared" si="18"/>
        <v>1.199998366255733</v>
      </c>
    </row>
    <row r="160" spans="26:27" x14ac:dyDescent="0.25">
      <c r="Z160">
        <f t="shared" si="19"/>
        <v>1.5600000000000012</v>
      </c>
      <c r="AA160">
        <f t="shared" si="18"/>
        <v>1.1999985749947177</v>
      </c>
    </row>
    <row r="161" spans="26:27" x14ac:dyDescent="0.25">
      <c r="Z161">
        <f t="shared" si="19"/>
        <v>1.5700000000000012</v>
      </c>
      <c r="AA161">
        <f t="shared" si="18"/>
        <v>1.1999987570638657</v>
      </c>
    </row>
    <row r="162" spans="26:27" x14ac:dyDescent="0.25">
      <c r="Z162">
        <f t="shared" si="19"/>
        <v>1.5800000000000012</v>
      </c>
      <c r="AA162">
        <f t="shared" si="18"/>
        <v>1.1999989158706474</v>
      </c>
    </row>
    <row r="163" spans="26:27" x14ac:dyDescent="0.25">
      <c r="Z163">
        <f t="shared" si="19"/>
        <v>1.5900000000000012</v>
      </c>
      <c r="AA163">
        <f t="shared" si="18"/>
        <v>1.1999990543871872</v>
      </c>
    </row>
    <row r="164" spans="26:27" x14ac:dyDescent="0.25">
      <c r="Z164">
        <f t="shared" si="19"/>
        <v>1.6000000000000012</v>
      </c>
      <c r="AA164">
        <f t="shared" si="18"/>
        <v>1.1999991752058825</v>
      </c>
    </row>
    <row r="165" spans="26:27" x14ac:dyDescent="0.25">
      <c r="Z165">
        <f t="shared" si="19"/>
        <v>1.6100000000000012</v>
      </c>
      <c r="AA165">
        <f t="shared" si="18"/>
        <v>1.1999992805879167</v>
      </c>
    </row>
    <row r="166" spans="26:27" x14ac:dyDescent="0.25">
      <c r="Z166">
        <f t="shared" si="19"/>
        <v>1.6200000000000012</v>
      </c>
      <c r="AA166">
        <f t="shared" si="18"/>
        <v>1.1999993725055746</v>
      </c>
    </row>
    <row r="167" spans="26:27" x14ac:dyDescent="0.25">
      <c r="Z167">
        <f t="shared" si="19"/>
        <v>1.6300000000000012</v>
      </c>
      <c r="AA167">
        <f t="shared" si="18"/>
        <v>1.1999994526791531</v>
      </c>
    </row>
    <row r="168" spans="26:27" x14ac:dyDescent="0.25">
      <c r="Z168">
        <f t="shared" si="19"/>
        <v>1.6400000000000012</v>
      </c>
      <c r="AA168">
        <f t="shared" si="18"/>
        <v>1.1999995226091547</v>
      </c>
    </row>
    <row r="169" spans="26:27" x14ac:dyDescent="0.25">
      <c r="Z169">
        <f t="shared" si="19"/>
        <v>1.6500000000000012</v>
      </c>
      <c r="AA169">
        <f t="shared" si="18"/>
        <v>1.1999995836043698</v>
      </c>
    </row>
    <row r="170" spans="26:27" x14ac:dyDescent="0.25">
      <c r="Z170">
        <f t="shared" si="19"/>
        <v>1.6600000000000013</v>
      </c>
      <c r="AA170">
        <f t="shared" si="18"/>
        <v>1.1999996368063697</v>
      </c>
    </row>
    <row r="171" spans="26:27" x14ac:dyDescent="0.25">
      <c r="Z171">
        <f t="shared" si="19"/>
        <v>1.6700000000000013</v>
      </c>
      <c r="AA171">
        <f t="shared" si="18"/>
        <v>1.1999996832108721</v>
      </c>
    </row>
    <row r="172" spans="26:27" x14ac:dyDescent="0.25">
      <c r="Z172">
        <f t="shared" si="19"/>
        <v>1.6800000000000013</v>
      </c>
      <c r="AA172">
        <f t="shared" si="18"/>
        <v>1.1999997236863751</v>
      </c>
    </row>
    <row r="173" spans="26:27" x14ac:dyDescent="0.25">
      <c r="Z173">
        <f t="shared" si="19"/>
        <v>1.6900000000000013</v>
      </c>
      <c r="AA173">
        <f t="shared" si="18"/>
        <v>1.1999997589904114</v>
      </c>
    </row>
    <row r="174" spans="26:27" x14ac:dyDescent="0.25">
      <c r="Z174">
        <f t="shared" si="19"/>
        <v>1.7000000000000013</v>
      </c>
      <c r="AA174">
        <f t="shared" si="18"/>
        <v>1.1999997897837267</v>
      </c>
    </row>
    <row r="175" spans="26:27" x14ac:dyDescent="0.25">
      <c r="Z175">
        <f t="shared" si="19"/>
        <v>1.7100000000000013</v>
      </c>
      <c r="AA175">
        <f t="shared" si="18"/>
        <v>1.1999998166426451</v>
      </c>
    </row>
    <row r="176" spans="26:27" x14ac:dyDescent="0.25">
      <c r="Z176">
        <f t="shared" si="19"/>
        <v>1.7200000000000013</v>
      </c>
      <c r="AA176">
        <f t="shared" si="18"/>
        <v>1.1999998400698551</v>
      </c>
    </row>
    <row r="177" spans="26:27" x14ac:dyDescent="0.25">
      <c r="Z177">
        <f t="shared" si="19"/>
        <v>1.7300000000000013</v>
      </c>
      <c r="AA177">
        <f t="shared" si="18"/>
        <v>1.1999998605038187</v>
      </c>
    </row>
    <row r="178" spans="26:27" x14ac:dyDescent="0.25">
      <c r="Z178">
        <f t="shared" si="19"/>
        <v>1.7400000000000013</v>
      </c>
      <c r="AA178">
        <f t="shared" si="18"/>
        <v>1.1999998783269759</v>
      </c>
    </row>
    <row r="179" spans="26:27" x14ac:dyDescent="0.25">
      <c r="Z179">
        <f t="shared" si="19"/>
        <v>1.7500000000000013</v>
      </c>
      <c r="AA179">
        <f t="shared" si="18"/>
        <v>1.199999893872904</v>
      </c>
    </row>
    <row r="180" spans="26:27" x14ac:dyDescent="0.25">
      <c r="Z180">
        <f t="shared" si="19"/>
        <v>1.7600000000000013</v>
      </c>
      <c r="AA180">
        <f t="shared" si="18"/>
        <v>1.1999999074325598</v>
      </c>
    </row>
    <row r="181" spans="26:27" x14ac:dyDescent="0.25">
      <c r="Z181">
        <f t="shared" si="19"/>
        <v>1.7700000000000014</v>
      </c>
      <c r="AA181">
        <f t="shared" si="18"/>
        <v>1.199999919259725</v>
      </c>
    </row>
    <row r="182" spans="26:27" x14ac:dyDescent="0.25">
      <c r="Z182">
        <f t="shared" si="19"/>
        <v>1.7800000000000014</v>
      </c>
      <c r="AA182">
        <f t="shared" si="18"/>
        <v>1.1999999295757564</v>
      </c>
    </row>
    <row r="183" spans="26:27" x14ac:dyDescent="0.25">
      <c r="Z183">
        <f t="shared" si="19"/>
        <v>1.7900000000000014</v>
      </c>
      <c r="AA183">
        <f t="shared" si="18"/>
        <v>1.1999999385737286</v>
      </c>
    </row>
    <row r="184" spans="26:27" x14ac:dyDescent="0.25">
      <c r="Z184">
        <f t="shared" si="19"/>
        <v>1.8000000000000014</v>
      </c>
      <c r="AA184">
        <f t="shared" si="18"/>
        <v>1.199999946422047</v>
      </c>
    </row>
    <row r="185" spans="26:27" x14ac:dyDescent="0.25">
      <c r="Z185">
        <f t="shared" si="19"/>
        <v>1.8100000000000014</v>
      </c>
      <c r="AA185">
        <f t="shared" si="18"/>
        <v>1.1999999532676011</v>
      </c>
    </row>
    <row r="186" spans="26:27" x14ac:dyDescent="0.25">
      <c r="Z186">
        <f t="shared" si="19"/>
        <v>1.8200000000000014</v>
      </c>
      <c r="AA186">
        <f t="shared" si="18"/>
        <v>1.1999999592385118</v>
      </c>
    </row>
    <row r="187" spans="26:27" x14ac:dyDescent="0.25">
      <c r="Z187">
        <f t="shared" si="19"/>
        <v>1.8300000000000014</v>
      </c>
      <c r="AA187">
        <f t="shared" si="18"/>
        <v>1.1999999644465305</v>
      </c>
    </row>
    <row r="188" spans="26:27" x14ac:dyDescent="0.25">
      <c r="Z188">
        <f t="shared" si="19"/>
        <v>1.8400000000000014</v>
      </c>
      <c r="AA188">
        <f t="shared" si="18"/>
        <v>1.1999999689891305</v>
      </c>
    </row>
    <row r="189" spans="26:27" x14ac:dyDescent="0.25">
      <c r="Z189">
        <f t="shared" si="19"/>
        <v>1.8500000000000014</v>
      </c>
      <c r="AA189">
        <f t="shared" si="18"/>
        <v>1.1999999729513311</v>
      </c>
    </row>
    <row r="190" spans="26:27" x14ac:dyDescent="0.25">
      <c r="Z190">
        <f t="shared" si="19"/>
        <v>1.8600000000000014</v>
      </c>
      <c r="AA190">
        <f t="shared" si="18"/>
        <v>1.1999999764072891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0000"/>
  </sheetPr>
  <dimension ref="B1:Z31"/>
  <sheetViews>
    <sheetView showGridLines="0" tabSelected="1" workbookViewId="0">
      <selection activeCell="U12" sqref="U12"/>
    </sheetView>
  </sheetViews>
  <sheetFormatPr defaultRowHeight="15" x14ac:dyDescent="0.25"/>
  <cols>
    <col min="1" max="1" width="6.7109375" customWidth="1"/>
    <col min="2" max="2" width="20.85546875" customWidth="1"/>
    <col min="3" max="3" width="6.85546875" customWidth="1"/>
    <col min="4" max="4" width="8.7109375" customWidth="1"/>
    <col min="5" max="5" width="7.5703125" style="5" customWidth="1"/>
    <col min="6" max="6" width="8.5703125" customWidth="1"/>
    <col min="7" max="7" width="7.7109375" customWidth="1"/>
    <col min="8" max="8" width="8" customWidth="1"/>
    <col min="9" max="9" width="6.7109375" customWidth="1"/>
    <col min="10" max="10" width="7" customWidth="1"/>
    <col min="11" max="12" width="4.28515625" customWidth="1"/>
    <col min="13" max="13" width="15.7109375" customWidth="1"/>
    <col min="14" max="14" width="8.5703125" customWidth="1"/>
    <col min="15" max="15" width="5.7109375" style="5" customWidth="1"/>
    <col min="17" max="17" width="10.5703125" customWidth="1"/>
    <col min="18" max="18" width="7.42578125" customWidth="1"/>
    <col min="19" max="19" width="8" customWidth="1"/>
    <col min="20" max="20" width="7.85546875" customWidth="1"/>
    <col min="21" max="21" width="11.5703125" bestFit="1" customWidth="1"/>
    <col min="22" max="22" width="8.140625" customWidth="1"/>
    <col min="23" max="23" width="9.42578125" customWidth="1"/>
    <col min="24" max="24" width="8.5703125" bestFit="1" customWidth="1"/>
  </cols>
  <sheetData>
    <row r="1" spans="2:26" s="95" customFormat="1" ht="18" customHeight="1" x14ac:dyDescent="0.3">
      <c r="B1" s="136" t="s">
        <v>141</v>
      </c>
    </row>
    <row r="2" spans="2:26" s="141" customFormat="1" ht="15.6" customHeight="1" x14ac:dyDescent="0.3">
      <c r="B2" s="142"/>
    </row>
    <row r="3" spans="2:26" ht="16.899999999999999" customHeight="1" thickBot="1" x14ac:dyDescent="0.4">
      <c r="B3" s="195" t="s">
        <v>74</v>
      </c>
      <c r="C3" s="196"/>
      <c r="D3" s="196"/>
      <c r="E3" s="196"/>
      <c r="F3" s="196"/>
      <c r="G3" s="196"/>
      <c r="H3" s="196"/>
      <c r="I3" s="196"/>
      <c r="J3" s="196"/>
      <c r="M3" s="197" t="s">
        <v>204</v>
      </c>
      <c r="N3" s="198"/>
      <c r="O3" s="198"/>
      <c r="P3" s="198"/>
      <c r="Q3" s="198"/>
      <c r="R3" s="198"/>
      <c r="S3" s="198"/>
      <c r="T3" s="198"/>
      <c r="U3" s="56"/>
    </row>
    <row r="4" spans="2:26" ht="15.75" thickBot="1" x14ac:dyDescent="0.3">
      <c r="Q4" s="45"/>
      <c r="R4" s="46"/>
      <c r="S4" s="45"/>
      <c r="T4" s="46"/>
    </row>
    <row r="5" spans="2:26" ht="16.5" thickTop="1" thickBot="1" x14ac:dyDescent="0.3">
      <c r="B5" s="8" t="s">
        <v>78</v>
      </c>
      <c r="C5" s="186">
        <v>0.1</v>
      </c>
      <c r="G5" s="193" t="s">
        <v>79</v>
      </c>
      <c r="H5" s="199"/>
      <c r="I5" s="193" t="s">
        <v>80</v>
      </c>
      <c r="J5" s="199"/>
      <c r="M5" s="8" t="s">
        <v>71</v>
      </c>
      <c r="N5" s="79">
        <v>0.11</v>
      </c>
      <c r="O5" s="44"/>
      <c r="Q5" s="193" t="s">
        <v>41</v>
      </c>
      <c r="R5" s="194"/>
      <c r="S5" s="193" t="s">
        <v>40</v>
      </c>
      <c r="T5" s="194"/>
      <c r="U5" s="187" t="s">
        <v>214</v>
      </c>
    </row>
    <row r="6" spans="2:26" ht="16.5" thickTop="1" thickBot="1" x14ac:dyDescent="0.3">
      <c r="B6" s="8" t="s">
        <v>72</v>
      </c>
      <c r="C6" s="180">
        <v>0.25</v>
      </c>
      <c r="F6" s="36" t="s">
        <v>44</v>
      </c>
      <c r="G6" s="42" t="s">
        <v>69</v>
      </c>
      <c r="H6" s="43" t="s">
        <v>70</v>
      </c>
      <c r="I6" s="60" t="s">
        <v>69</v>
      </c>
      <c r="J6" s="61" t="s">
        <v>70</v>
      </c>
      <c r="M6" s="8" t="s">
        <v>75</v>
      </c>
      <c r="N6" s="80">
        <v>0.5</v>
      </c>
      <c r="P6" s="36" t="s">
        <v>44</v>
      </c>
      <c r="Q6" s="42" t="s">
        <v>38</v>
      </c>
      <c r="R6" s="43" t="s">
        <v>39</v>
      </c>
      <c r="S6" s="60" t="s">
        <v>38</v>
      </c>
      <c r="T6" s="61" t="s">
        <v>39</v>
      </c>
      <c r="U6" s="8">
        <f>'Ref - Toll mode choice model'!B28</f>
        <v>0.112</v>
      </c>
      <c r="V6" s="8">
        <f>-Y6</f>
        <v>0.112</v>
      </c>
      <c r="Y6">
        <v>-0.112</v>
      </c>
      <c r="Z6" s="188"/>
    </row>
    <row r="7" spans="2:26" ht="16.5" thickTop="1" thickBot="1" x14ac:dyDescent="0.3">
      <c r="B7" s="8"/>
      <c r="C7" s="49"/>
      <c r="F7" s="40" t="s">
        <v>43</v>
      </c>
      <c r="G7" s="50" t="s">
        <v>184</v>
      </c>
      <c r="H7" s="51" t="s">
        <v>184</v>
      </c>
      <c r="I7" s="67">
        <f>VLOOKUP(G7,$C$12:$D$15,2,FALSE)</f>
        <v>-2.0341618189297126</v>
      </c>
      <c r="J7" s="68">
        <f t="shared" ref="J7:J30" si="0">VLOOKUP(H7,$C$12:$D$15,2,FALSE)</f>
        <v>-2.0341618189297126</v>
      </c>
      <c r="P7" s="40" t="s">
        <v>43</v>
      </c>
      <c r="Q7" s="99" t="s">
        <v>184</v>
      </c>
      <c r="R7" s="47" t="s">
        <v>184</v>
      </c>
      <c r="S7" s="67">
        <f t="shared" ref="S7:S30" si="1">VLOOKUP(Q7,$M$12:$N$15,2,FALSE)</f>
        <v>-1.7862410969337694</v>
      </c>
      <c r="T7" s="68">
        <f t="shared" ref="T7:T30" si="2">VLOOKUP(R7,$M$12:$N$15,2,FALSE)</f>
        <v>-1.7862410969337694</v>
      </c>
      <c r="U7" s="189">
        <f>-S7/U$6</f>
        <v>15.948581222622941</v>
      </c>
      <c r="V7" s="190">
        <f>-U7 * V$6</f>
        <v>-1.7862410969337694</v>
      </c>
      <c r="W7" s="188">
        <f>T7/U$6*V$6</f>
        <v>-1.7862410969337694</v>
      </c>
      <c r="X7" s="29">
        <f>MIN(S7:T7)/Y$6</f>
        <v>15.948581222622941</v>
      </c>
      <c r="Y7">
        <v>-0.86099999999999999</v>
      </c>
      <c r="Z7" s="188"/>
    </row>
    <row r="8" spans="2:26" ht="15.75" thickBot="1" x14ac:dyDescent="0.3">
      <c r="B8" s="8" t="s">
        <v>73</v>
      </c>
      <c r="C8" s="149">
        <f>1/D22</f>
        <v>1.3333333333333333</v>
      </c>
      <c r="F8" s="38" t="s">
        <v>45</v>
      </c>
      <c r="G8" s="52" t="s">
        <v>184</v>
      </c>
      <c r="H8" s="53" t="s">
        <v>184</v>
      </c>
      <c r="I8" s="69">
        <f t="shared" ref="I8:I30" si="3">VLOOKUP(G8,$C$12:$D$15,2,FALSE)</f>
        <v>-2.0341618189297126</v>
      </c>
      <c r="J8" s="70">
        <f t="shared" si="0"/>
        <v>-2.0341618189297126</v>
      </c>
      <c r="P8" s="38" t="s">
        <v>45</v>
      </c>
      <c r="Q8" s="100" t="s">
        <v>184</v>
      </c>
      <c r="R8" s="27" t="s">
        <v>184</v>
      </c>
      <c r="S8" s="69">
        <f t="shared" si="1"/>
        <v>-1.7862410969337694</v>
      </c>
      <c r="T8" s="70">
        <f t="shared" si="2"/>
        <v>-1.7862410969337694</v>
      </c>
      <c r="U8" s="189">
        <f t="shared" ref="U8:U30" si="4">-S8/U$6</f>
        <v>15.948581222622941</v>
      </c>
      <c r="V8" s="190">
        <f t="shared" ref="V8:V30" si="5">-U8 * V$6</f>
        <v>-1.7862410969337694</v>
      </c>
      <c r="W8" s="188">
        <f t="shared" ref="W8:W30" si="6">T8/U$6*V$6</f>
        <v>-1.7862410969337694</v>
      </c>
      <c r="X8" s="29">
        <f t="shared" ref="X8:X30" si="7">MIN(S8:T8)/Y$6</f>
        <v>15.948581222622941</v>
      </c>
      <c r="Y8" s="29">
        <f>Y6/Y7*60</f>
        <v>7.8048780487804885</v>
      </c>
      <c r="Z8" s="20" t="s">
        <v>213</v>
      </c>
    </row>
    <row r="9" spans="2:26" x14ac:dyDescent="0.25">
      <c r="B9" s="184" t="s">
        <v>205</v>
      </c>
      <c r="F9" s="38" t="s">
        <v>46</v>
      </c>
      <c r="G9" s="52" t="s">
        <v>184</v>
      </c>
      <c r="H9" s="53" t="s">
        <v>184</v>
      </c>
      <c r="I9" s="69">
        <f t="shared" si="3"/>
        <v>-2.0341618189297126</v>
      </c>
      <c r="J9" s="70">
        <f t="shared" si="0"/>
        <v>-2.0341618189297126</v>
      </c>
      <c r="P9" s="38" t="s">
        <v>46</v>
      </c>
      <c r="Q9" s="100" t="s">
        <v>184</v>
      </c>
      <c r="R9" s="27" t="s">
        <v>184</v>
      </c>
      <c r="S9" s="69">
        <f t="shared" si="1"/>
        <v>-1.7862410969337694</v>
      </c>
      <c r="T9" s="70">
        <f t="shared" si="2"/>
        <v>-1.7862410969337694</v>
      </c>
      <c r="U9" s="189">
        <f t="shared" si="4"/>
        <v>15.948581222622941</v>
      </c>
      <c r="V9" s="190">
        <f t="shared" si="5"/>
        <v>-1.7862410969337694</v>
      </c>
      <c r="W9" s="188">
        <f t="shared" si="6"/>
        <v>-1.7862410969337694</v>
      </c>
      <c r="X9" s="29">
        <f t="shared" si="7"/>
        <v>15.948581222622941</v>
      </c>
    </row>
    <row r="10" spans="2:26" ht="15.75" thickBot="1" x14ac:dyDescent="0.3">
      <c r="C10" t="s">
        <v>212</v>
      </c>
      <c r="D10">
        <v>-2.0341618189297126</v>
      </c>
      <c r="F10" s="38" t="s">
        <v>47</v>
      </c>
      <c r="G10" s="52" t="s">
        <v>184</v>
      </c>
      <c r="H10" s="53" t="s">
        <v>184</v>
      </c>
      <c r="I10" s="69">
        <f t="shared" si="3"/>
        <v>-2.0341618189297126</v>
      </c>
      <c r="J10" s="70">
        <f t="shared" si="0"/>
        <v>-2.0341618189297126</v>
      </c>
      <c r="P10" s="38" t="s">
        <v>47</v>
      </c>
      <c r="Q10" s="100" t="s">
        <v>184</v>
      </c>
      <c r="R10" s="27" t="s">
        <v>184</v>
      </c>
      <c r="S10" s="69">
        <f t="shared" si="1"/>
        <v>-1.7862410969337694</v>
      </c>
      <c r="T10" s="70">
        <f t="shared" si="2"/>
        <v>-1.7862410969337694</v>
      </c>
      <c r="U10" s="189">
        <f t="shared" si="4"/>
        <v>15.948581222622941</v>
      </c>
      <c r="V10" s="190">
        <f t="shared" si="5"/>
        <v>-1.7862410969337694</v>
      </c>
      <c r="W10" s="188">
        <f t="shared" si="6"/>
        <v>-1.7862410969337694</v>
      </c>
      <c r="X10" s="29">
        <f t="shared" si="7"/>
        <v>15.948581222622941</v>
      </c>
    </row>
    <row r="11" spans="2:26" ht="16.5" thickTop="1" thickBot="1" x14ac:dyDescent="0.3">
      <c r="B11" s="36" t="s">
        <v>41</v>
      </c>
      <c r="C11" s="37" t="s">
        <v>77</v>
      </c>
      <c r="D11" s="75" t="s">
        <v>40</v>
      </c>
      <c r="F11" s="38" t="s">
        <v>48</v>
      </c>
      <c r="G11" s="52" t="s">
        <v>184</v>
      </c>
      <c r="H11" s="53" t="s">
        <v>184</v>
      </c>
      <c r="I11" s="69">
        <f t="shared" si="3"/>
        <v>-2.0341618189297126</v>
      </c>
      <c r="J11" s="70">
        <f t="shared" si="0"/>
        <v>-2.0341618189297126</v>
      </c>
      <c r="M11" s="40" t="s">
        <v>41</v>
      </c>
      <c r="N11" s="66" t="s">
        <v>40</v>
      </c>
      <c r="P11" s="38" t="s">
        <v>48</v>
      </c>
      <c r="Q11" s="100" t="s">
        <v>184</v>
      </c>
      <c r="R11" s="27" t="s">
        <v>184</v>
      </c>
      <c r="S11" s="69">
        <f t="shared" si="1"/>
        <v>-1.7862410969337694</v>
      </c>
      <c r="T11" s="70">
        <f t="shared" si="2"/>
        <v>-1.7862410969337694</v>
      </c>
      <c r="U11" s="189">
        <f t="shared" si="4"/>
        <v>15.948581222622941</v>
      </c>
      <c r="V11" s="190">
        <f t="shared" si="5"/>
        <v>-1.7862410969337694</v>
      </c>
      <c r="W11" s="188">
        <f t="shared" si="6"/>
        <v>-1.7862410969337694</v>
      </c>
      <c r="X11" s="29">
        <f t="shared" si="7"/>
        <v>15.948581222622941</v>
      </c>
    </row>
    <row r="12" spans="2:26" ht="15.75" thickTop="1" x14ac:dyDescent="0.25">
      <c r="B12" s="57" t="s">
        <v>188</v>
      </c>
      <c r="C12" s="47" t="s">
        <v>184</v>
      </c>
      <c r="D12" s="76">
        <f xml:space="preserve"> LN(MidnightShare/(1-MidnightShare))-CostCoef*MinToll</f>
        <v>-2.0341618189297126</v>
      </c>
      <c r="F12" s="38" t="s">
        <v>49</v>
      </c>
      <c r="G12" s="52" t="s">
        <v>186</v>
      </c>
      <c r="H12" s="177" t="s">
        <v>186</v>
      </c>
      <c r="I12" s="69">
        <f t="shared" si="3"/>
        <v>-1.1705609626612574</v>
      </c>
      <c r="J12" s="70">
        <f t="shared" si="0"/>
        <v>-1.1705609626612574</v>
      </c>
      <c r="M12" s="99" t="s">
        <v>184</v>
      </c>
      <c r="N12" s="76">
        <f>LN(N5/(1-N5)) - -1*N6*'Ref - Toll mode choice model'!B29</f>
        <v>-1.7862410969337694</v>
      </c>
      <c r="P12" s="38" t="s">
        <v>49</v>
      </c>
      <c r="Q12" s="100" t="s">
        <v>186</v>
      </c>
      <c r="R12" s="27" t="s">
        <v>186</v>
      </c>
      <c r="S12" s="69">
        <f t="shared" si="1"/>
        <v>-0.84</v>
      </c>
      <c r="T12" s="70">
        <f t="shared" si="2"/>
        <v>-0.84</v>
      </c>
      <c r="U12" s="189">
        <f t="shared" si="4"/>
        <v>7.5</v>
      </c>
      <c r="V12" s="190">
        <f t="shared" si="5"/>
        <v>-0.84</v>
      </c>
      <c r="W12" s="188">
        <f t="shared" si="6"/>
        <v>-0.84</v>
      </c>
      <c r="X12" s="29">
        <f t="shared" si="7"/>
        <v>7.5</v>
      </c>
    </row>
    <row r="13" spans="2:26" x14ac:dyDescent="0.25">
      <c r="B13" s="58" t="s">
        <v>185</v>
      </c>
      <c r="C13" s="27" t="s">
        <v>186</v>
      </c>
      <c r="D13" s="77">
        <f>N13+($D$12-$N$12)*$C$8</f>
        <v>-1.1705609626612574</v>
      </c>
      <c r="F13" s="185" t="s">
        <v>50</v>
      </c>
      <c r="G13" s="53" t="s">
        <v>109</v>
      </c>
      <c r="H13" s="53" t="s">
        <v>109</v>
      </c>
      <c r="I13" s="69">
        <f t="shared" si="3"/>
        <v>-0.33056096266125756</v>
      </c>
      <c r="J13" s="70">
        <f t="shared" si="0"/>
        <v>-0.33056096266125756</v>
      </c>
      <c r="M13" s="100" t="s">
        <v>186</v>
      </c>
      <c r="N13" s="77">
        <v>-0.84</v>
      </c>
      <c r="P13" s="38" t="s">
        <v>50</v>
      </c>
      <c r="Q13" s="100" t="s">
        <v>187</v>
      </c>
      <c r="R13" s="27" t="s">
        <v>109</v>
      </c>
      <c r="S13" s="69">
        <f t="shared" si="1"/>
        <v>-0.44800000000000001</v>
      </c>
      <c r="T13" s="70">
        <f t="shared" si="2"/>
        <v>0</v>
      </c>
      <c r="U13" s="189">
        <f t="shared" si="4"/>
        <v>4</v>
      </c>
      <c r="V13" s="191">
        <f>-U13 * V$6</f>
        <v>-0.44800000000000001</v>
      </c>
      <c r="W13" s="192">
        <f t="shared" ref="W13:W27" si="8">-V13 * W$6 *0.5</f>
        <v>0</v>
      </c>
      <c r="X13" s="29">
        <f t="shared" si="7"/>
        <v>4</v>
      </c>
    </row>
    <row r="14" spans="2:26" x14ac:dyDescent="0.25">
      <c r="B14" s="58" t="s">
        <v>189</v>
      </c>
      <c r="C14" s="27" t="s">
        <v>187</v>
      </c>
      <c r="D14" s="77">
        <f>N14+($D$12-$N$12)*$C$8</f>
        <v>-0.77856096266125752</v>
      </c>
      <c r="F14" s="185" t="s">
        <v>51</v>
      </c>
      <c r="G14" s="53" t="s">
        <v>109</v>
      </c>
      <c r="H14" s="53" t="s">
        <v>109</v>
      </c>
      <c r="I14" s="69">
        <f t="shared" si="3"/>
        <v>-0.33056096266125756</v>
      </c>
      <c r="J14" s="70">
        <f t="shared" si="0"/>
        <v>-0.33056096266125756</v>
      </c>
      <c r="M14" s="100" t="s">
        <v>187</v>
      </c>
      <c r="N14" s="77">
        <v>-0.44800000000000001</v>
      </c>
      <c r="P14" s="38" t="s">
        <v>51</v>
      </c>
      <c r="Q14" s="100" t="s">
        <v>187</v>
      </c>
      <c r="R14" s="27" t="s">
        <v>109</v>
      </c>
      <c r="S14" s="69">
        <f t="shared" si="1"/>
        <v>-0.44800000000000001</v>
      </c>
      <c r="T14" s="70">
        <f t="shared" si="2"/>
        <v>0</v>
      </c>
      <c r="U14" s="189">
        <f t="shared" si="4"/>
        <v>4</v>
      </c>
      <c r="V14" s="191">
        <f t="shared" ref="V14:V27" si="9">-U14 * V$6</f>
        <v>-0.44800000000000001</v>
      </c>
      <c r="W14" s="192">
        <f t="shared" si="8"/>
        <v>0</v>
      </c>
      <c r="X14" s="29">
        <f t="shared" si="7"/>
        <v>4</v>
      </c>
    </row>
    <row r="15" spans="2:26" ht="15.75" thickBot="1" x14ac:dyDescent="0.3">
      <c r="B15" s="59" t="s">
        <v>42</v>
      </c>
      <c r="C15" s="48" t="s">
        <v>109</v>
      </c>
      <c r="D15" s="78">
        <f>N15+($D$12-$N$12)*$C$8</f>
        <v>-0.33056096266125756</v>
      </c>
      <c r="F15" s="185" t="s">
        <v>52</v>
      </c>
      <c r="G15" s="53" t="s">
        <v>109</v>
      </c>
      <c r="H15" s="53" t="s">
        <v>109</v>
      </c>
      <c r="I15" s="69">
        <f t="shared" si="3"/>
        <v>-0.33056096266125756</v>
      </c>
      <c r="J15" s="70">
        <f t="shared" si="0"/>
        <v>-0.33056096266125756</v>
      </c>
      <c r="M15" s="101" t="s">
        <v>109</v>
      </c>
      <c r="N15" s="78">
        <v>0</v>
      </c>
      <c r="P15" s="38" t="s">
        <v>52</v>
      </c>
      <c r="Q15" s="100" t="s">
        <v>187</v>
      </c>
      <c r="R15" s="27" t="s">
        <v>109</v>
      </c>
      <c r="S15" s="69">
        <f t="shared" si="1"/>
        <v>-0.44800000000000001</v>
      </c>
      <c r="T15" s="70">
        <f t="shared" si="2"/>
        <v>0</v>
      </c>
      <c r="U15" s="189">
        <f t="shared" si="4"/>
        <v>4</v>
      </c>
      <c r="V15" s="191">
        <f t="shared" si="9"/>
        <v>-0.44800000000000001</v>
      </c>
      <c r="W15" s="192">
        <f t="shared" si="8"/>
        <v>0</v>
      </c>
      <c r="X15" s="29">
        <f t="shared" si="7"/>
        <v>4</v>
      </c>
    </row>
    <row r="16" spans="2:26" ht="15.75" thickTop="1" x14ac:dyDescent="0.25">
      <c r="F16" s="185" t="s">
        <v>53</v>
      </c>
      <c r="G16" s="53" t="s">
        <v>109</v>
      </c>
      <c r="H16" s="53" t="s">
        <v>109</v>
      </c>
      <c r="I16" s="69">
        <f t="shared" si="3"/>
        <v>-0.33056096266125756</v>
      </c>
      <c r="J16" s="70">
        <f t="shared" si="0"/>
        <v>-0.33056096266125756</v>
      </c>
      <c r="P16" s="38" t="s">
        <v>53</v>
      </c>
      <c r="Q16" s="100" t="s">
        <v>187</v>
      </c>
      <c r="R16" s="27" t="s">
        <v>109</v>
      </c>
      <c r="S16" s="69">
        <f t="shared" si="1"/>
        <v>-0.44800000000000001</v>
      </c>
      <c r="T16" s="70">
        <f t="shared" si="2"/>
        <v>0</v>
      </c>
      <c r="U16" s="189">
        <f t="shared" si="4"/>
        <v>4</v>
      </c>
      <c r="V16" s="191">
        <f t="shared" si="9"/>
        <v>-0.44800000000000001</v>
      </c>
      <c r="W16" s="192">
        <f t="shared" si="8"/>
        <v>0</v>
      </c>
      <c r="X16" s="29">
        <f t="shared" si="7"/>
        <v>4</v>
      </c>
    </row>
    <row r="17" spans="3:24" x14ac:dyDescent="0.25">
      <c r="F17" s="185" t="s">
        <v>54</v>
      </c>
      <c r="G17" s="53" t="s">
        <v>187</v>
      </c>
      <c r="H17" s="53" t="s">
        <v>187</v>
      </c>
      <c r="I17" s="69">
        <f t="shared" si="3"/>
        <v>-0.77856096266125752</v>
      </c>
      <c r="J17" s="70">
        <f t="shared" si="0"/>
        <v>-0.77856096266125752</v>
      </c>
      <c r="P17" s="38" t="s">
        <v>54</v>
      </c>
      <c r="Q17" s="100" t="s">
        <v>187</v>
      </c>
      <c r="R17" s="27" t="s">
        <v>187</v>
      </c>
      <c r="S17" s="69">
        <f t="shared" si="1"/>
        <v>-0.44800000000000001</v>
      </c>
      <c r="T17" s="70">
        <f t="shared" si="2"/>
        <v>-0.44800000000000001</v>
      </c>
      <c r="U17" s="189">
        <f t="shared" si="4"/>
        <v>4</v>
      </c>
      <c r="V17" s="191">
        <f t="shared" si="9"/>
        <v>-0.44800000000000001</v>
      </c>
      <c r="W17" s="192">
        <f t="shared" si="8"/>
        <v>0</v>
      </c>
      <c r="X17" s="29">
        <f t="shared" si="7"/>
        <v>4</v>
      </c>
    </row>
    <row r="18" spans="3:24" x14ac:dyDescent="0.25">
      <c r="D18">
        <f>LN(MidnightShare/(1-MidnightShare))-CostCoef*MinToll</f>
        <v>-2.0341618189297126</v>
      </c>
      <c r="F18" s="185" t="s">
        <v>55</v>
      </c>
      <c r="G18" s="53" t="s">
        <v>187</v>
      </c>
      <c r="H18" s="53" t="s">
        <v>187</v>
      </c>
      <c r="I18" s="69">
        <f t="shared" si="3"/>
        <v>-0.77856096266125752</v>
      </c>
      <c r="J18" s="70">
        <f t="shared" si="0"/>
        <v>-0.77856096266125752</v>
      </c>
      <c r="P18" s="38" t="s">
        <v>55</v>
      </c>
      <c r="Q18" s="100" t="s">
        <v>187</v>
      </c>
      <c r="R18" s="27" t="s">
        <v>187</v>
      </c>
      <c r="S18" s="69">
        <f t="shared" si="1"/>
        <v>-0.44800000000000001</v>
      </c>
      <c r="T18" s="70">
        <f t="shared" si="2"/>
        <v>-0.44800000000000001</v>
      </c>
      <c r="U18" s="189">
        <f t="shared" si="4"/>
        <v>4</v>
      </c>
      <c r="V18" s="191">
        <f t="shared" si="9"/>
        <v>-0.44800000000000001</v>
      </c>
      <c r="W18" s="192">
        <f t="shared" si="8"/>
        <v>0</v>
      </c>
      <c r="X18" s="29">
        <f t="shared" si="7"/>
        <v>4</v>
      </c>
    </row>
    <row r="19" spans="3:24" x14ac:dyDescent="0.25">
      <c r="D19">
        <f>MidnightShare</f>
        <v>0.1</v>
      </c>
      <c r="F19" s="38" t="s">
        <v>56</v>
      </c>
      <c r="G19" s="52" t="s">
        <v>187</v>
      </c>
      <c r="H19" s="53" t="s">
        <v>187</v>
      </c>
      <c r="I19" s="69">
        <f t="shared" si="3"/>
        <v>-0.77856096266125752</v>
      </c>
      <c r="J19" s="70">
        <f t="shared" si="0"/>
        <v>-0.77856096266125752</v>
      </c>
      <c r="P19" s="38" t="s">
        <v>56</v>
      </c>
      <c r="Q19" s="100" t="s">
        <v>187</v>
      </c>
      <c r="R19" s="27" t="s">
        <v>187</v>
      </c>
      <c r="S19" s="69">
        <f t="shared" si="1"/>
        <v>-0.44800000000000001</v>
      </c>
      <c r="T19" s="70">
        <f t="shared" si="2"/>
        <v>-0.44800000000000001</v>
      </c>
      <c r="U19" s="189">
        <f t="shared" si="4"/>
        <v>4</v>
      </c>
      <c r="V19" s="191">
        <f t="shared" si="9"/>
        <v>-0.44800000000000001</v>
      </c>
      <c r="W19" s="192">
        <f t="shared" si="8"/>
        <v>0</v>
      </c>
      <c r="X19" s="29">
        <f t="shared" si="7"/>
        <v>4</v>
      </c>
    </row>
    <row r="20" spans="3:24" x14ac:dyDescent="0.25">
      <c r="D20">
        <f>MinToll</f>
        <v>0.25</v>
      </c>
      <c r="F20" s="38" t="s">
        <v>57</v>
      </c>
      <c r="G20" s="52" t="s">
        <v>187</v>
      </c>
      <c r="H20" s="53" t="s">
        <v>187</v>
      </c>
      <c r="I20" s="69">
        <f t="shared" si="3"/>
        <v>-0.77856096266125752</v>
      </c>
      <c r="J20" s="70">
        <f t="shared" si="0"/>
        <v>-0.77856096266125752</v>
      </c>
      <c r="P20" s="38" t="s">
        <v>57</v>
      </c>
      <c r="Q20" s="100" t="s">
        <v>187</v>
      </c>
      <c r="R20" s="27" t="s">
        <v>187</v>
      </c>
      <c r="S20" s="69">
        <f t="shared" si="1"/>
        <v>-0.44800000000000001</v>
      </c>
      <c r="T20" s="70">
        <f t="shared" si="2"/>
        <v>-0.44800000000000001</v>
      </c>
      <c r="U20" s="189">
        <f t="shared" si="4"/>
        <v>4</v>
      </c>
      <c r="V20" s="191">
        <f t="shared" si="9"/>
        <v>-0.44800000000000001</v>
      </c>
      <c r="W20" s="192">
        <f t="shared" si="8"/>
        <v>0</v>
      </c>
      <c r="X20" s="29">
        <f t="shared" si="7"/>
        <v>4</v>
      </c>
    </row>
    <row r="21" spans="3:24" x14ac:dyDescent="0.25">
      <c r="D21" s="29">
        <f>C8</f>
        <v>1.3333333333333333</v>
      </c>
      <c r="F21" s="38" t="s">
        <v>58</v>
      </c>
      <c r="G21" s="52" t="s">
        <v>187</v>
      </c>
      <c r="H21" s="53" t="s">
        <v>187</v>
      </c>
      <c r="I21" s="69">
        <f t="shared" si="3"/>
        <v>-0.77856096266125752</v>
      </c>
      <c r="J21" s="70">
        <f t="shared" si="0"/>
        <v>-0.77856096266125752</v>
      </c>
      <c r="P21" s="38" t="s">
        <v>58</v>
      </c>
      <c r="Q21" s="100" t="s">
        <v>187</v>
      </c>
      <c r="R21" s="27" t="s">
        <v>187</v>
      </c>
      <c r="S21" s="69">
        <f t="shared" si="1"/>
        <v>-0.44800000000000001</v>
      </c>
      <c r="T21" s="70">
        <f t="shared" si="2"/>
        <v>-0.44800000000000001</v>
      </c>
      <c r="U21" s="189">
        <v>2</v>
      </c>
      <c r="V21" s="191">
        <f t="shared" si="9"/>
        <v>-0.224</v>
      </c>
      <c r="W21" s="192">
        <f t="shared" si="8"/>
        <v>0</v>
      </c>
      <c r="X21" s="29">
        <f t="shared" si="7"/>
        <v>4</v>
      </c>
    </row>
    <row r="22" spans="3:24" x14ac:dyDescent="0.25">
      <c r="C22" s="20" t="s">
        <v>210</v>
      </c>
      <c r="D22">
        <v>0.75</v>
      </c>
      <c r="F22" s="38" t="s">
        <v>59</v>
      </c>
      <c r="G22" s="52" t="s">
        <v>109</v>
      </c>
      <c r="H22" s="53" t="s">
        <v>109</v>
      </c>
      <c r="I22" s="69">
        <f t="shared" si="3"/>
        <v>-0.33056096266125756</v>
      </c>
      <c r="J22" s="70">
        <f t="shared" si="0"/>
        <v>-0.33056096266125756</v>
      </c>
      <c r="P22" s="38" t="s">
        <v>59</v>
      </c>
      <c r="Q22" s="100" t="s">
        <v>109</v>
      </c>
      <c r="R22" s="27" t="s">
        <v>187</v>
      </c>
      <c r="S22" s="69">
        <f t="shared" si="1"/>
        <v>0</v>
      </c>
      <c r="T22" s="70">
        <f t="shared" si="2"/>
        <v>-0.44800000000000001</v>
      </c>
      <c r="U22" s="189">
        <v>2</v>
      </c>
      <c r="V22" s="191">
        <f t="shared" si="9"/>
        <v>-0.224</v>
      </c>
      <c r="W22" s="192">
        <f t="shared" si="8"/>
        <v>0</v>
      </c>
      <c r="X22" s="29">
        <f t="shared" si="7"/>
        <v>4</v>
      </c>
    </row>
    <row r="23" spans="3:24" x14ac:dyDescent="0.25">
      <c r="F23" s="38" t="s">
        <v>60</v>
      </c>
      <c r="G23" s="52" t="s">
        <v>109</v>
      </c>
      <c r="H23" s="53" t="s">
        <v>109</v>
      </c>
      <c r="I23" s="69">
        <f t="shared" si="3"/>
        <v>-0.33056096266125756</v>
      </c>
      <c r="J23" s="70">
        <f t="shared" si="0"/>
        <v>-0.33056096266125756</v>
      </c>
      <c r="P23" s="38" t="s">
        <v>60</v>
      </c>
      <c r="Q23" s="100" t="s">
        <v>109</v>
      </c>
      <c r="R23" s="27" t="s">
        <v>187</v>
      </c>
      <c r="S23" s="69">
        <f t="shared" si="1"/>
        <v>0</v>
      </c>
      <c r="T23" s="70">
        <f t="shared" si="2"/>
        <v>-0.44800000000000001</v>
      </c>
      <c r="U23" s="189">
        <v>2</v>
      </c>
      <c r="V23" s="191">
        <f t="shared" si="9"/>
        <v>-0.224</v>
      </c>
      <c r="W23" s="192">
        <f t="shared" si="8"/>
        <v>0</v>
      </c>
      <c r="X23" s="29">
        <f t="shared" si="7"/>
        <v>4</v>
      </c>
    </row>
    <row r="24" spans="3:24" x14ac:dyDescent="0.25">
      <c r="C24" s="20" t="s">
        <v>211</v>
      </c>
      <c r="D24" s="5">
        <f>D12/-0.112</f>
        <v>18.16215909758672</v>
      </c>
      <c r="F24" s="38" t="s">
        <v>61</v>
      </c>
      <c r="G24" s="52" t="s">
        <v>109</v>
      </c>
      <c r="H24" s="53" t="s">
        <v>109</v>
      </c>
      <c r="I24" s="69">
        <f t="shared" si="3"/>
        <v>-0.33056096266125756</v>
      </c>
      <c r="J24" s="70">
        <f t="shared" si="0"/>
        <v>-0.33056096266125756</v>
      </c>
      <c r="P24" s="38" t="s">
        <v>61</v>
      </c>
      <c r="Q24" s="100" t="s">
        <v>109</v>
      </c>
      <c r="R24" s="27" t="s">
        <v>187</v>
      </c>
      <c r="S24" s="69">
        <f t="shared" si="1"/>
        <v>0</v>
      </c>
      <c r="T24" s="70">
        <f t="shared" si="2"/>
        <v>-0.44800000000000001</v>
      </c>
      <c r="U24" s="189">
        <v>2</v>
      </c>
      <c r="V24" s="191">
        <f t="shared" si="9"/>
        <v>-0.224</v>
      </c>
      <c r="W24" s="192">
        <f t="shared" si="8"/>
        <v>0</v>
      </c>
      <c r="X24" s="29">
        <f t="shared" si="7"/>
        <v>4</v>
      </c>
    </row>
    <row r="25" spans="3:24" x14ac:dyDescent="0.25">
      <c r="F25" s="38" t="s">
        <v>62</v>
      </c>
      <c r="G25" s="52" t="s">
        <v>109</v>
      </c>
      <c r="H25" s="53" t="s">
        <v>109</v>
      </c>
      <c r="I25" s="69">
        <f t="shared" si="3"/>
        <v>-0.33056096266125756</v>
      </c>
      <c r="J25" s="70">
        <f t="shared" si="0"/>
        <v>-0.33056096266125756</v>
      </c>
      <c r="P25" s="38" t="s">
        <v>62</v>
      </c>
      <c r="Q25" s="100" t="s">
        <v>109</v>
      </c>
      <c r="R25" s="27" t="s">
        <v>187</v>
      </c>
      <c r="S25" s="69">
        <f t="shared" si="1"/>
        <v>0</v>
      </c>
      <c r="T25" s="70">
        <f t="shared" si="2"/>
        <v>-0.44800000000000001</v>
      </c>
      <c r="U25" s="189">
        <v>2</v>
      </c>
      <c r="V25" s="191">
        <f t="shared" si="9"/>
        <v>-0.224</v>
      </c>
      <c r="W25" s="192">
        <f t="shared" si="8"/>
        <v>0</v>
      </c>
      <c r="X25" s="29">
        <f t="shared" si="7"/>
        <v>4</v>
      </c>
    </row>
    <row r="26" spans="3:24" x14ac:dyDescent="0.25">
      <c r="F26" s="38" t="s">
        <v>63</v>
      </c>
      <c r="G26" s="52" t="s">
        <v>186</v>
      </c>
      <c r="H26" s="177" t="s">
        <v>186</v>
      </c>
      <c r="I26" s="69">
        <f t="shared" si="3"/>
        <v>-1.1705609626612574</v>
      </c>
      <c r="J26" s="70">
        <f t="shared" si="0"/>
        <v>-1.1705609626612574</v>
      </c>
      <c r="P26" s="38" t="s">
        <v>63</v>
      </c>
      <c r="Q26" s="100" t="s">
        <v>187</v>
      </c>
      <c r="R26" s="27" t="s">
        <v>187</v>
      </c>
      <c r="S26" s="69">
        <f t="shared" si="1"/>
        <v>-0.44800000000000001</v>
      </c>
      <c r="T26" s="70">
        <f t="shared" si="2"/>
        <v>-0.44800000000000001</v>
      </c>
      <c r="U26" s="189">
        <f t="shared" si="4"/>
        <v>4</v>
      </c>
      <c r="V26" s="191">
        <f t="shared" si="9"/>
        <v>-0.44800000000000001</v>
      </c>
      <c r="W26" s="192">
        <f t="shared" si="8"/>
        <v>0</v>
      </c>
      <c r="X26" s="29">
        <f t="shared" si="7"/>
        <v>4</v>
      </c>
    </row>
    <row r="27" spans="3:24" x14ac:dyDescent="0.25">
      <c r="F27" s="38" t="s">
        <v>64</v>
      </c>
      <c r="G27" s="52" t="s">
        <v>184</v>
      </c>
      <c r="H27" s="53" t="s">
        <v>184</v>
      </c>
      <c r="I27" s="69">
        <f t="shared" si="3"/>
        <v>-2.0341618189297126</v>
      </c>
      <c r="J27" s="70">
        <f t="shared" si="0"/>
        <v>-2.0341618189297126</v>
      </c>
      <c r="P27" s="38" t="s">
        <v>64</v>
      </c>
      <c r="Q27" s="100" t="s">
        <v>187</v>
      </c>
      <c r="R27" s="27" t="s">
        <v>187</v>
      </c>
      <c r="S27" s="69">
        <f t="shared" si="1"/>
        <v>-0.44800000000000001</v>
      </c>
      <c r="T27" s="70">
        <f t="shared" si="2"/>
        <v>-0.44800000000000001</v>
      </c>
      <c r="U27" s="189">
        <f t="shared" si="4"/>
        <v>4</v>
      </c>
      <c r="V27" s="191">
        <f t="shared" si="9"/>
        <v>-0.44800000000000001</v>
      </c>
      <c r="W27" s="192">
        <f t="shared" si="8"/>
        <v>0</v>
      </c>
      <c r="X27" s="29">
        <f t="shared" si="7"/>
        <v>4</v>
      </c>
    </row>
    <row r="28" spans="3:24" x14ac:dyDescent="0.25">
      <c r="F28" s="38" t="s">
        <v>65</v>
      </c>
      <c r="G28" s="52" t="s">
        <v>184</v>
      </c>
      <c r="H28" s="53" t="s">
        <v>184</v>
      </c>
      <c r="I28" s="69">
        <f t="shared" si="3"/>
        <v>-2.0341618189297126</v>
      </c>
      <c r="J28" s="70">
        <f t="shared" si="0"/>
        <v>-2.0341618189297126</v>
      </c>
      <c r="P28" s="38" t="s">
        <v>65</v>
      </c>
      <c r="Q28" s="100" t="s">
        <v>186</v>
      </c>
      <c r="R28" s="27" t="s">
        <v>186</v>
      </c>
      <c r="S28" s="69">
        <f t="shared" si="1"/>
        <v>-0.84</v>
      </c>
      <c r="T28" s="70">
        <f t="shared" si="2"/>
        <v>-0.84</v>
      </c>
      <c r="U28" s="189">
        <f t="shared" si="4"/>
        <v>7.5</v>
      </c>
      <c r="V28" s="190">
        <f t="shared" si="5"/>
        <v>-0.84</v>
      </c>
      <c r="W28" s="188">
        <f t="shared" si="6"/>
        <v>-0.84</v>
      </c>
      <c r="X28" s="29">
        <f t="shared" si="7"/>
        <v>7.5</v>
      </c>
    </row>
    <row r="29" spans="3:24" x14ac:dyDescent="0.25">
      <c r="F29" s="38" t="s">
        <v>66</v>
      </c>
      <c r="G29" s="52" t="s">
        <v>184</v>
      </c>
      <c r="H29" s="53" t="s">
        <v>184</v>
      </c>
      <c r="I29" s="69">
        <f t="shared" si="3"/>
        <v>-2.0341618189297126</v>
      </c>
      <c r="J29" s="70">
        <f t="shared" si="0"/>
        <v>-2.0341618189297126</v>
      </c>
      <c r="P29" s="38" t="s">
        <v>66</v>
      </c>
      <c r="Q29" s="100" t="s">
        <v>186</v>
      </c>
      <c r="R29" s="27" t="s">
        <v>186</v>
      </c>
      <c r="S29" s="69">
        <f t="shared" si="1"/>
        <v>-0.84</v>
      </c>
      <c r="T29" s="70">
        <f t="shared" si="2"/>
        <v>-0.84</v>
      </c>
      <c r="U29" s="189">
        <f t="shared" si="4"/>
        <v>7.5</v>
      </c>
      <c r="V29" s="190">
        <f t="shared" si="5"/>
        <v>-0.84</v>
      </c>
      <c r="W29" s="188">
        <f t="shared" si="6"/>
        <v>-0.84</v>
      </c>
      <c r="X29" s="29">
        <f t="shared" si="7"/>
        <v>7.5</v>
      </c>
    </row>
    <row r="30" spans="3:24" ht="15.75" thickBot="1" x14ac:dyDescent="0.3">
      <c r="F30" s="39" t="s">
        <v>67</v>
      </c>
      <c r="G30" s="54" t="s">
        <v>184</v>
      </c>
      <c r="H30" s="55" t="s">
        <v>184</v>
      </c>
      <c r="I30" s="71">
        <f t="shared" si="3"/>
        <v>-2.0341618189297126</v>
      </c>
      <c r="J30" s="72">
        <f t="shared" si="0"/>
        <v>-2.0341618189297126</v>
      </c>
      <c r="P30" s="39" t="s">
        <v>67</v>
      </c>
      <c r="Q30" s="101" t="s">
        <v>186</v>
      </c>
      <c r="R30" s="102" t="s">
        <v>186</v>
      </c>
      <c r="S30" s="71">
        <f t="shared" si="1"/>
        <v>-0.84</v>
      </c>
      <c r="T30" s="72">
        <f t="shared" si="2"/>
        <v>-0.84</v>
      </c>
      <c r="U30" s="189">
        <f t="shared" si="4"/>
        <v>7.5</v>
      </c>
      <c r="V30" s="190">
        <f t="shared" si="5"/>
        <v>-0.84</v>
      </c>
      <c r="W30" s="188">
        <f t="shared" si="6"/>
        <v>-0.84</v>
      </c>
      <c r="X30" s="29">
        <f t="shared" si="7"/>
        <v>7.5</v>
      </c>
    </row>
    <row r="31" spans="3:24" ht="15.75" thickTop="1" x14ac:dyDescent="0.25"/>
  </sheetData>
  <mergeCells count="6">
    <mergeCell ref="S5:T5"/>
    <mergeCell ref="Q5:R5"/>
    <mergeCell ref="B3:J3"/>
    <mergeCell ref="M3:T3"/>
    <mergeCell ref="G5:H5"/>
    <mergeCell ref="I5:J5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0000"/>
  </sheetPr>
  <dimension ref="B1:P77"/>
  <sheetViews>
    <sheetView showGridLines="0" workbookViewId="0">
      <selection activeCell="M19" sqref="M19"/>
    </sheetView>
  </sheetViews>
  <sheetFormatPr defaultRowHeight="15" x14ac:dyDescent="0.25"/>
  <cols>
    <col min="1" max="1" width="6.7109375" customWidth="1"/>
    <col min="2" max="2" width="18.85546875" customWidth="1"/>
    <col min="3" max="3" width="7" customWidth="1"/>
  </cols>
  <sheetData>
    <row r="1" spans="2:16" s="95" customFormat="1" ht="18.75" x14ac:dyDescent="0.3">
      <c r="B1" s="136" t="s">
        <v>158</v>
      </c>
    </row>
    <row r="3" spans="2:16" ht="15.75" thickBot="1" x14ac:dyDescent="0.3">
      <c r="B3" s="62" t="s">
        <v>157</v>
      </c>
    </row>
    <row r="4" spans="2:16" ht="15.75" thickBot="1" x14ac:dyDescent="0.3">
      <c r="B4" t="s">
        <v>154</v>
      </c>
      <c r="C4" s="155">
        <v>0.55000000000000004</v>
      </c>
      <c r="O4" t="s">
        <v>153</v>
      </c>
    </row>
    <row r="5" spans="2:16" ht="15.75" thickBot="1" x14ac:dyDescent="0.3">
      <c r="B5" t="s">
        <v>155</v>
      </c>
      <c r="C5" s="155">
        <v>2</v>
      </c>
      <c r="O5">
        <v>0</v>
      </c>
      <c r="P5">
        <f>MIN(MAX($C$4-$C$4*(O5-$C$5)/($C$6-$C$5),0),$C$4)</f>
        <v>0.55000000000000004</v>
      </c>
    </row>
    <row r="6" spans="2:16" ht="15.75" thickBot="1" x14ac:dyDescent="0.3">
      <c r="B6" t="s">
        <v>156</v>
      </c>
      <c r="C6" s="155">
        <v>4</v>
      </c>
      <c r="O6">
        <f>O5+0.1</f>
        <v>0.1</v>
      </c>
      <c r="P6">
        <f t="shared" ref="P6:P69" si="0">MIN(MAX($C$4-$C$4*(O6-$C$5)/($C$6-$C$5),0),$C$4)</f>
        <v>0.55000000000000004</v>
      </c>
    </row>
    <row r="7" spans="2:16" x14ac:dyDescent="0.25">
      <c r="O7">
        <f t="shared" ref="O7:O70" si="1">O6+0.1</f>
        <v>0.2</v>
      </c>
      <c r="P7">
        <f t="shared" si="0"/>
        <v>0.55000000000000004</v>
      </c>
    </row>
    <row r="8" spans="2:16" x14ac:dyDescent="0.25">
      <c r="O8">
        <f t="shared" si="1"/>
        <v>0.30000000000000004</v>
      </c>
      <c r="P8">
        <f t="shared" si="0"/>
        <v>0.55000000000000004</v>
      </c>
    </row>
    <row r="9" spans="2:16" x14ac:dyDescent="0.25">
      <c r="O9">
        <f t="shared" si="1"/>
        <v>0.4</v>
      </c>
      <c r="P9">
        <f t="shared" si="0"/>
        <v>0.55000000000000004</v>
      </c>
    </row>
    <row r="10" spans="2:16" x14ac:dyDescent="0.25">
      <c r="O10">
        <f t="shared" si="1"/>
        <v>0.5</v>
      </c>
      <c r="P10">
        <f t="shared" si="0"/>
        <v>0.55000000000000004</v>
      </c>
    </row>
    <row r="11" spans="2:16" x14ac:dyDescent="0.25">
      <c r="O11">
        <f t="shared" si="1"/>
        <v>0.6</v>
      </c>
      <c r="P11">
        <f t="shared" si="0"/>
        <v>0.55000000000000004</v>
      </c>
    </row>
    <row r="12" spans="2:16" x14ac:dyDescent="0.25">
      <c r="O12">
        <f t="shared" si="1"/>
        <v>0.7</v>
      </c>
      <c r="P12">
        <f t="shared" si="0"/>
        <v>0.55000000000000004</v>
      </c>
    </row>
    <row r="13" spans="2:16" x14ac:dyDescent="0.25">
      <c r="O13">
        <f t="shared" si="1"/>
        <v>0.79999999999999993</v>
      </c>
      <c r="P13">
        <f t="shared" si="0"/>
        <v>0.55000000000000004</v>
      </c>
    </row>
    <row r="14" spans="2:16" x14ac:dyDescent="0.25">
      <c r="O14">
        <f t="shared" si="1"/>
        <v>0.89999999999999991</v>
      </c>
      <c r="P14">
        <f t="shared" si="0"/>
        <v>0.55000000000000004</v>
      </c>
    </row>
    <row r="15" spans="2:16" x14ac:dyDescent="0.25">
      <c r="O15">
        <f t="shared" si="1"/>
        <v>0.99999999999999989</v>
      </c>
      <c r="P15">
        <f t="shared" si="0"/>
        <v>0.55000000000000004</v>
      </c>
    </row>
    <row r="16" spans="2:16" x14ac:dyDescent="0.25">
      <c r="O16">
        <f t="shared" si="1"/>
        <v>1.0999999999999999</v>
      </c>
      <c r="P16">
        <f t="shared" si="0"/>
        <v>0.55000000000000004</v>
      </c>
    </row>
    <row r="17" spans="15:16" x14ac:dyDescent="0.25">
      <c r="O17">
        <f t="shared" si="1"/>
        <v>1.2</v>
      </c>
      <c r="P17">
        <f t="shared" si="0"/>
        <v>0.55000000000000004</v>
      </c>
    </row>
    <row r="18" spans="15:16" x14ac:dyDescent="0.25">
      <c r="O18">
        <f t="shared" si="1"/>
        <v>1.3</v>
      </c>
      <c r="P18">
        <f t="shared" si="0"/>
        <v>0.55000000000000004</v>
      </c>
    </row>
    <row r="19" spans="15:16" x14ac:dyDescent="0.25">
      <c r="O19">
        <f t="shared" si="1"/>
        <v>1.4000000000000001</v>
      </c>
      <c r="P19">
        <f t="shared" si="0"/>
        <v>0.55000000000000004</v>
      </c>
    </row>
    <row r="20" spans="15:16" x14ac:dyDescent="0.25">
      <c r="O20">
        <f t="shared" si="1"/>
        <v>1.5000000000000002</v>
      </c>
      <c r="P20">
        <f t="shared" si="0"/>
        <v>0.55000000000000004</v>
      </c>
    </row>
    <row r="21" spans="15:16" x14ac:dyDescent="0.25">
      <c r="O21">
        <f>O20+0.1</f>
        <v>1.6000000000000003</v>
      </c>
      <c r="P21">
        <f t="shared" si="0"/>
        <v>0.55000000000000004</v>
      </c>
    </row>
    <row r="22" spans="15:16" x14ac:dyDescent="0.25">
      <c r="O22">
        <f t="shared" si="1"/>
        <v>1.7000000000000004</v>
      </c>
      <c r="P22">
        <f t="shared" si="0"/>
        <v>0.55000000000000004</v>
      </c>
    </row>
    <row r="23" spans="15:16" x14ac:dyDescent="0.25">
      <c r="O23">
        <f t="shared" si="1"/>
        <v>1.8000000000000005</v>
      </c>
      <c r="P23">
        <f t="shared" si="0"/>
        <v>0.55000000000000004</v>
      </c>
    </row>
    <row r="24" spans="15:16" x14ac:dyDescent="0.25">
      <c r="O24">
        <f t="shared" si="1"/>
        <v>1.9000000000000006</v>
      </c>
      <c r="P24">
        <f t="shared" si="0"/>
        <v>0.55000000000000004</v>
      </c>
    </row>
    <row r="25" spans="15:16" x14ac:dyDescent="0.25">
      <c r="O25">
        <f t="shared" si="1"/>
        <v>2.0000000000000004</v>
      </c>
      <c r="P25">
        <f t="shared" si="0"/>
        <v>0.54999999999999993</v>
      </c>
    </row>
    <row r="26" spans="15:16" x14ac:dyDescent="0.25">
      <c r="O26">
        <f t="shared" si="1"/>
        <v>2.1000000000000005</v>
      </c>
      <c r="P26">
        <f t="shared" si="0"/>
        <v>0.52249999999999985</v>
      </c>
    </row>
    <row r="27" spans="15:16" x14ac:dyDescent="0.25">
      <c r="O27">
        <f t="shared" si="1"/>
        <v>2.2000000000000006</v>
      </c>
      <c r="P27">
        <f t="shared" si="0"/>
        <v>0.49499999999999988</v>
      </c>
    </row>
    <row r="28" spans="15:16" x14ac:dyDescent="0.25">
      <c r="O28">
        <f t="shared" si="1"/>
        <v>2.3000000000000007</v>
      </c>
      <c r="P28">
        <f t="shared" si="0"/>
        <v>0.46749999999999986</v>
      </c>
    </row>
    <row r="29" spans="15:16" x14ac:dyDescent="0.25">
      <c r="O29">
        <f t="shared" si="1"/>
        <v>2.4000000000000008</v>
      </c>
      <c r="P29">
        <f t="shared" si="0"/>
        <v>0.43999999999999984</v>
      </c>
    </row>
    <row r="30" spans="15:16" x14ac:dyDescent="0.25">
      <c r="O30">
        <f t="shared" si="1"/>
        <v>2.5000000000000009</v>
      </c>
      <c r="P30">
        <f t="shared" si="0"/>
        <v>0.41249999999999976</v>
      </c>
    </row>
    <row r="31" spans="15:16" x14ac:dyDescent="0.25">
      <c r="O31">
        <f t="shared" si="1"/>
        <v>2.600000000000001</v>
      </c>
      <c r="P31">
        <f t="shared" si="0"/>
        <v>0.38499999999999979</v>
      </c>
    </row>
    <row r="32" spans="15:16" x14ac:dyDescent="0.25">
      <c r="O32">
        <f t="shared" si="1"/>
        <v>2.7000000000000011</v>
      </c>
      <c r="P32">
        <f t="shared" si="0"/>
        <v>0.35749999999999971</v>
      </c>
    </row>
    <row r="33" spans="15:16" x14ac:dyDescent="0.25">
      <c r="O33">
        <f t="shared" si="1"/>
        <v>2.8000000000000012</v>
      </c>
      <c r="P33">
        <f t="shared" si="0"/>
        <v>0.32999999999999974</v>
      </c>
    </row>
    <row r="34" spans="15:16" x14ac:dyDescent="0.25">
      <c r="O34">
        <f t="shared" si="1"/>
        <v>2.9000000000000012</v>
      </c>
      <c r="P34">
        <f t="shared" si="0"/>
        <v>0.30249999999999966</v>
      </c>
    </row>
    <row r="35" spans="15:16" x14ac:dyDescent="0.25">
      <c r="O35">
        <f t="shared" si="1"/>
        <v>3.0000000000000013</v>
      </c>
      <c r="P35">
        <f t="shared" si="0"/>
        <v>0.27499999999999963</v>
      </c>
    </row>
    <row r="36" spans="15:16" x14ac:dyDescent="0.25">
      <c r="O36">
        <f t="shared" si="1"/>
        <v>3.1000000000000014</v>
      </c>
      <c r="P36">
        <f t="shared" si="0"/>
        <v>0.24749999999999961</v>
      </c>
    </row>
    <row r="37" spans="15:16" x14ac:dyDescent="0.25">
      <c r="O37">
        <f t="shared" si="1"/>
        <v>3.2000000000000015</v>
      </c>
      <c r="P37">
        <f t="shared" si="0"/>
        <v>0.21999999999999958</v>
      </c>
    </row>
    <row r="38" spans="15:16" x14ac:dyDescent="0.25">
      <c r="O38">
        <f t="shared" si="1"/>
        <v>3.3000000000000016</v>
      </c>
      <c r="P38">
        <f t="shared" si="0"/>
        <v>0.19249999999999956</v>
      </c>
    </row>
    <row r="39" spans="15:16" x14ac:dyDescent="0.25">
      <c r="O39">
        <f t="shared" si="1"/>
        <v>3.4000000000000017</v>
      </c>
      <c r="P39">
        <f t="shared" si="0"/>
        <v>0.16499999999999954</v>
      </c>
    </row>
    <row r="40" spans="15:16" x14ac:dyDescent="0.25">
      <c r="O40">
        <f t="shared" si="1"/>
        <v>3.5000000000000018</v>
      </c>
      <c r="P40">
        <f t="shared" si="0"/>
        <v>0.13749999999999951</v>
      </c>
    </row>
    <row r="41" spans="15:16" x14ac:dyDescent="0.25">
      <c r="O41">
        <f t="shared" si="1"/>
        <v>3.6000000000000019</v>
      </c>
      <c r="P41">
        <f t="shared" si="0"/>
        <v>0.10999999999999949</v>
      </c>
    </row>
    <row r="42" spans="15:16" x14ac:dyDescent="0.25">
      <c r="O42">
        <f t="shared" si="1"/>
        <v>3.700000000000002</v>
      </c>
      <c r="P42">
        <f t="shared" si="0"/>
        <v>8.2499999999999463E-2</v>
      </c>
    </row>
    <row r="43" spans="15:16" x14ac:dyDescent="0.25">
      <c r="O43">
        <f t="shared" si="1"/>
        <v>3.800000000000002</v>
      </c>
      <c r="P43">
        <f t="shared" si="0"/>
        <v>5.4999999999999438E-2</v>
      </c>
    </row>
    <row r="44" spans="15:16" x14ac:dyDescent="0.25">
      <c r="O44">
        <f t="shared" si="1"/>
        <v>3.9000000000000021</v>
      </c>
      <c r="P44">
        <f t="shared" si="0"/>
        <v>2.7499999999999414E-2</v>
      </c>
    </row>
    <row r="45" spans="15:16" x14ac:dyDescent="0.25">
      <c r="O45">
        <f t="shared" si="1"/>
        <v>4.0000000000000018</v>
      </c>
      <c r="P45">
        <f t="shared" si="0"/>
        <v>0</v>
      </c>
    </row>
    <row r="46" spans="15:16" x14ac:dyDescent="0.25">
      <c r="O46">
        <f t="shared" si="1"/>
        <v>4.1000000000000014</v>
      </c>
      <c r="P46">
        <f t="shared" si="0"/>
        <v>0</v>
      </c>
    </row>
    <row r="47" spans="15:16" x14ac:dyDescent="0.25">
      <c r="O47">
        <f t="shared" si="1"/>
        <v>4.2000000000000011</v>
      </c>
      <c r="P47">
        <f t="shared" si="0"/>
        <v>0</v>
      </c>
    </row>
    <row r="48" spans="15:16" x14ac:dyDescent="0.25">
      <c r="O48">
        <f t="shared" si="1"/>
        <v>4.3000000000000007</v>
      </c>
      <c r="P48">
        <f t="shared" si="0"/>
        <v>0</v>
      </c>
    </row>
    <row r="49" spans="15:16" x14ac:dyDescent="0.25">
      <c r="O49">
        <f t="shared" si="1"/>
        <v>4.4000000000000004</v>
      </c>
      <c r="P49">
        <f t="shared" si="0"/>
        <v>0</v>
      </c>
    </row>
    <row r="50" spans="15:16" x14ac:dyDescent="0.25">
      <c r="O50">
        <f t="shared" si="1"/>
        <v>4.5</v>
      </c>
      <c r="P50">
        <f t="shared" si="0"/>
        <v>0</v>
      </c>
    </row>
    <row r="51" spans="15:16" x14ac:dyDescent="0.25">
      <c r="O51">
        <f t="shared" si="1"/>
        <v>4.5999999999999996</v>
      </c>
      <c r="P51">
        <f t="shared" si="0"/>
        <v>0</v>
      </c>
    </row>
    <row r="52" spans="15:16" x14ac:dyDescent="0.25">
      <c r="O52">
        <f t="shared" si="1"/>
        <v>4.6999999999999993</v>
      </c>
      <c r="P52">
        <f t="shared" si="0"/>
        <v>0</v>
      </c>
    </row>
    <row r="53" spans="15:16" x14ac:dyDescent="0.25">
      <c r="O53">
        <f t="shared" si="1"/>
        <v>4.7999999999999989</v>
      </c>
      <c r="P53">
        <f t="shared" si="0"/>
        <v>0</v>
      </c>
    </row>
    <row r="54" spans="15:16" x14ac:dyDescent="0.25">
      <c r="O54">
        <f t="shared" si="1"/>
        <v>4.8999999999999986</v>
      </c>
      <c r="P54">
        <f t="shared" si="0"/>
        <v>0</v>
      </c>
    </row>
    <row r="55" spans="15:16" x14ac:dyDescent="0.25">
      <c r="O55">
        <f t="shared" si="1"/>
        <v>4.9999999999999982</v>
      </c>
      <c r="P55">
        <f t="shared" si="0"/>
        <v>0</v>
      </c>
    </row>
    <row r="56" spans="15:16" x14ac:dyDescent="0.25">
      <c r="O56">
        <f t="shared" si="1"/>
        <v>5.0999999999999979</v>
      </c>
      <c r="P56">
        <f t="shared" si="0"/>
        <v>0</v>
      </c>
    </row>
    <row r="57" spans="15:16" x14ac:dyDescent="0.25">
      <c r="O57">
        <f t="shared" si="1"/>
        <v>5.1999999999999975</v>
      </c>
      <c r="P57">
        <f t="shared" si="0"/>
        <v>0</v>
      </c>
    </row>
    <row r="58" spans="15:16" x14ac:dyDescent="0.25">
      <c r="O58">
        <f t="shared" si="1"/>
        <v>5.2999999999999972</v>
      </c>
      <c r="P58">
        <f t="shared" si="0"/>
        <v>0</v>
      </c>
    </row>
    <row r="59" spans="15:16" x14ac:dyDescent="0.25">
      <c r="O59">
        <f t="shared" si="1"/>
        <v>5.3999999999999968</v>
      </c>
      <c r="P59">
        <f t="shared" si="0"/>
        <v>0</v>
      </c>
    </row>
    <row r="60" spans="15:16" x14ac:dyDescent="0.25">
      <c r="O60">
        <f t="shared" si="1"/>
        <v>5.4999999999999964</v>
      </c>
      <c r="P60">
        <f t="shared" si="0"/>
        <v>0</v>
      </c>
    </row>
    <row r="61" spans="15:16" x14ac:dyDescent="0.25">
      <c r="O61">
        <f t="shared" si="1"/>
        <v>5.5999999999999961</v>
      </c>
      <c r="P61">
        <f t="shared" si="0"/>
        <v>0</v>
      </c>
    </row>
    <row r="62" spans="15:16" x14ac:dyDescent="0.25">
      <c r="O62">
        <f t="shared" si="1"/>
        <v>5.6999999999999957</v>
      </c>
      <c r="P62">
        <f t="shared" si="0"/>
        <v>0</v>
      </c>
    </row>
    <row r="63" spans="15:16" x14ac:dyDescent="0.25">
      <c r="O63">
        <f>O62+0.1</f>
        <v>5.7999999999999954</v>
      </c>
      <c r="P63">
        <f t="shared" si="0"/>
        <v>0</v>
      </c>
    </row>
    <row r="64" spans="15:16" x14ac:dyDescent="0.25">
      <c r="O64">
        <f t="shared" si="1"/>
        <v>5.899999999999995</v>
      </c>
      <c r="P64">
        <f t="shared" si="0"/>
        <v>0</v>
      </c>
    </row>
    <row r="65" spans="15:16" x14ac:dyDescent="0.25">
      <c r="O65">
        <f t="shared" si="1"/>
        <v>5.9999999999999947</v>
      </c>
      <c r="P65">
        <f t="shared" si="0"/>
        <v>0</v>
      </c>
    </row>
    <row r="66" spans="15:16" x14ac:dyDescent="0.25">
      <c r="O66">
        <f t="shared" si="1"/>
        <v>6.0999999999999943</v>
      </c>
      <c r="P66">
        <f t="shared" si="0"/>
        <v>0</v>
      </c>
    </row>
    <row r="67" spans="15:16" x14ac:dyDescent="0.25">
      <c r="O67">
        <f t="shared" si="1"/>
        <v>6.199999999999994</v>
      </c>
      <c r="P67">
        <f t="shared" si="0"/>
        <v>0</v>
      </c>
    </row>
    <row r="68" spans="15:16" x14ac:dyDescent="0.25">
      <c r="O68">
        <f t="shared" si="1"/>
        <v>6.2999999999999936</v>
      </c>
      <c r="P68">
        <f t="shared" si="0"/>
        <v>0</v>
      </c>
    </row>
    <row r="69" spans="15:16" x14ac:dyDescent="0.25">
      <c r="O69">
        <f t="shared" si="1"/>
        <v>6.3999999999999932</v>
      </c>
      <c r="P69">
        <f t="shared" si="0"/>
        <v>0</v>
      </c>
    </row>
    <row r="70" spans="15:16" x14ac:dyDescent="0.25">
      <c r="O70">
        <f t="shared" si="1"/>
        <v>6.4999999999999929</v>
      </c>
      <c r="P70">
        <f t="shared" ref="P70:P77" si="2">MIN(MAX($C$4-$C$4*(O70-$C$5)/($C$6-$C$5),0),$C$4)</f>
        <v>0</v>
      </c>
    </row>
    <row r="71" spans="15:16" x14ac:dyDescent="0.25">
      <c r="O71">
        <f t="shared" ref="O71:O77" si="3">O70+0.1</f>
        <v>6.5999999999999925</v>
      </c>
      <c r="P71">
        <f t="shared" si="2"/>
        <v>0</v>
      </c>
    </row>
    <row r="72" spans="15:16" x14ac:dyDescent="0.25">
      <c r="O72">
        <f t="shared" si="3"/>
        <v>6.6999999999999922</v>
      </c>
      <c r="P72">
        <f t="shared" si="2"/>
        <v>0</v>
      </c>
    </row>
    <row r="73" spans="15:16" x14ac:dyDescent="0.25">
      <c r="O73">
        <f t="shared" si="3"/>
        <v>6.7999999999999918</v>
      </c>
      <c r="P73">
        <f t="shared" si="2"/>
        <v>0</v>
      </c>
    </row>
    <row r="74" spans="15:16" x14ac:dyDescent="0.25">
      <c r="O74">
        <f t="shared" si="3"/>
        <v>6.8999999999999915</v>
      </c>
      <c r="P74">
        <f t="shared" si="2"/>
        <v>0</v>
      </c>
    </row>
    <row r="75" spans="15:16" x14ac:dyDescent="0.25">
      <c r="O75">
        <f t="shared" si="3"/>
        <v>6.9999999999999911</v>
      </c>
      <c r="P75">
        <f t="shared" si="2"/>
        <v>0</v>
      </c>
    </row>
    <row r="76" spans="15:16" x14ac:dyDescent="0.25">
      <c r="O76">
        <f t="shared" si="3"/>
        <v>7.0999999999999908</v>
      </c>
      <c r="P76">
        <f t="shared" si="2"/>
        <v>0</v>
      </c>
    </row>
    <row r="77" spans="15:16" x14ac:dyDescent="0.25">
      <c r="O77">
        <f t="shared" si="3"/>
        <v>7.1999999999999904</v>
      </c>
      <c r="P77">
        <f t="shared" si="2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4" tint="-0.499984740745262"/>
  </sheetPr>
  <dimension ref="B1:E45"/>
  <sheetViews>
    <sheetView showGridLines="0" workbookViewId="0">
      <selection activeCell="D8" sqref="D8"/>
    </sheetView>
  </sheetViews>
  <sheetFormatPr defaultRowHeight="15" x14ac:dyDescent="0.25"/>
  <cols>
    <col min="1" max="1" width="5.7109375" customWidth="1"/>
    <col min="2" max="2" width="12.7109375" customWidth="1"/>
    <col min="3" max="3" width="30.7109375" customWidth="1"/>
    <col min="4" max="4" width="7.42578125" customWidth="1"/>
    <col min="5" max="5" width="8.42578125" customWidth="1"/>
  </cols>
  <sheetData>
    <row r="1" spans="2:4" s="95" customFormat="1" ht="18" customHeight="1" x14ac:dyDescent="0.3">
      <c r="B1" s="136" t="s">
        <v>142</v>
      </c>
      <c r="C1" s="96"/>
    </row>
    <row r="3" spans="2:4" ht="15.75" thickBot="1" x14ac:dyDescent="0.3">
      <c r="C3" s="62" t="s">
        <v>106</v>
      </c>
      <c r="D3" s="111" t="s">
        <v>107</v>
      </c>
    </row>
    <row r="4" spans="2:4" ht="15.75" thickTop="1" x14ac:dyDescent="0.25">
      <c r="B4" s="200" t="s">
        <v>108</v>
      </c>
      <c r="C4" s="40" t="s">
        <v>195</v>
      </c>
      <c r="D4" s="103">
        <f>'(Input) Time Cost Coefs'!C46</f>
        <v>-0.65225103362602688</v>
      </c>
    </row>
    <row r="5" spans="2:4" ht="15.75" thickBot="1" x14ac:dyDescent="0.3">
      <c r="B5" s="200"/>
      <c r="C5" s="39" t="s">
        <v>194</v>
      </c>
      <c r="D5" s="104">
        <f>'(Input) Time Cost Coefs'!C45</f>
        <v>-0.10457323405194872</v>
      </c>
    </row>
    <row r="6" spans="2:4" ht="15.75" thickTop="1" x14ac:dyDescent="0.25">
      <c r="C6" s="28"/>
      <c r="D6" s="181"/>
    </row>
    <row r="7" spans="2:4" ht="15.75" thickBot="1" x14ac:dyDescent="0.3">
      <c r="C7" s="62" t="s">
        <v>106</v>
      </c>
      <c r="D7" s="111" t="s">
        <v>107</v>
      </c>
    </row>
    <row r="8" spans="2:4" ht="15" customHeight="1" thickTop="1" thickBot="1" x14ac:dyDescent="0.3">
      <c r="B8" s="175" t="s">
        <v>68</v>
      </c>
      <c r="C8" s="178" t="s">
        <v>193</v>
      </c>
      <c r="D8" s="179">
        <f>'(Input) Reliability'!C8</f>
        <v>0.9</v>
      </c>
    </row>
    <row r="9" spans="2:4" ht="15.75" thickTop="1" x14ac:dyDescent="0.25"/>
    <row r="10" spans="2:4" ht="15.75" thickBot="1" x14ac:dyDescent="0.3">
      <c r="C10" s="62" t="s">
        <v>106</v>
      </c>
      <c r="D10" s="111" t="s">
        <v>107</v>
      </c>
    </row>
    <row r="11" spans="2:4" ht="15.75" thickTop="1" x14ac:dyDescent="0.25">
      <c r="B11" s="200" t="s">
        <v>139</v>
      </c>
      <c r="C11" s="40" t="s">
        <v>196</v>
      </c>
      <c r="D11" s="103">
        <f>'(Input) Perceived Time'!H6</f>
        <v>13.67</v>
      </c>
    </row>
    <row r="12" spans="2:4" x14ac:dyDescent="0.25">
      <c r="B12" s="200"/>
      <c r="C12" s="38" t="s">
        <v>197</v>
      </c>
      <c r="D12" s="182">
        <f>'(Input) Perceived Time'!H7</f>
        <v>0.69299999999999995</v>
      </c>
    </row>
    <row r="13" spans="2:4" ht="15.75" thickBot="1" x14ac:dyDescent="0.3">
      <c r="B13" s="200"/>
      <c r="C13" s="39" t="s">
        <v>198</v>
      </c>
      <c r="D13" s="104">
        <f>'(Input) Perceived Time'!H5</f>
        <v>1.2</v>
      </c>
    </row>
    <row r="14" spans="2:4" ht="15.75" thickTop="1" x14ac:dyDescent="0.25"/>
    <row r="15" spans="2:4" ht="15.75" thickBot="1" x14ac:dyDescent="0.3">
      <c r="C15" s="62" t="s">
        <v>106</v>
      </c>
      <c r="D15" s="111" t="s">
        <v>107</v>
      </c>
    </row>
    <row r="16" spans="2:4" ht="15.75" thickTop="1" x14ac:dyDescent="0.25">
      <c r="B16" s="200" t="s">
        <v>37</v>
      </c>
      <c r="C16" s="40" t="s">
        <v>199</v>
      </c>
      <c r="D16" s="152">
        <f>'(Input) Distance Penalty'!C4</f>
        <v>0.55000000000000004</v>
      </c>
    </row>
    <row r="17" spans="2:5" x14ac:dyDescent="0.25">
      <c r="B17" s="200"/>
      <c r="C17" s="38" t="s">
        <v>200</v>
      </c>
      <c r="D17" s="153">
        <f>'(Input) Distance Penalty'!C5</f>
        <v>2</v>
      </c>
    </row>
    <row r="18" spans="2:5" ht="15.75" thickBot="1" x14ac:dyDescent="0.3">
      <c r="B18" s="200"/>
      <c r="C18" s="39" t="s">
        <v>201</v>
      </c>
      <c r="D18" s="154">
        <f>'(Input) Distance Penalty'!C6</f>
        <v>4</v>
      </c>
    </row>
    <row r="19" spans="2:5" ht="16.5" thickTop="1" x14ac:dyDescent="0.25">
      <c r="B19" s="166"/>
      <c r="C19" s="41"/>
      <c r="D19" s="167"/>
    </row>
    <row r="20" spans="2:5" ht="15.75" thickBot="1" x14ac:dyDescent="0.3">
      <c r="C20" s="105" t="str">
        <f>'(Input) Toll Constants'!F6</f>
        <v>Hour</v>
      </c>
      <c r="D20" s="106" t="str">
        <f>'(Input) Toll Constants'!G6</f>
        <v>Dir 1</v>
      </c>
      <c r="E20" s="106" t="str">
        <f>'(Input) Toll Constants'!H6</f>
        <v>Dir 2</v>
      </c>
    </row>
    <row r="21" spans="2:5" ht="16.5" thickTop="1" x14ac:dyDescent="0.25">
      <c r="B21" s="110" t="s">
        <v>13</v>
      </c>
      <c r="C21" s="40" t="str">
        <f>'(Input) Toll Constants'!F7</f>
        <v>0 to 1</v>
      </c>
      <c r="D21" s="107">
        <f>'(Input) Toll Constants'!I7</f>
        <v>-2.0341618189297126</v>
      </c>
      <c r="E21" s="68">
        <f>'(Input) Toll Constants'!J7</f>
        <v>-2.0341618189297126</v>
      </c>
    </row>
    <row r="22" spans="2:5" x14ac:dyDescent="0.25">
      <c r="C22" s="38" t="str">
        <f>'(Input) Toll Constants'!F8</f>
        <v>1 to 2</v>
      </c>
      <c r="D22" s="108">
        <f>'(Input) Toll Constants'!I8</f>
        <v>-2.0341618189297126</v>
      </c>
      <c r="E22" s="70">
        <f>'(Input) Toll Constants'!J8</f>
        <v>-2.0341618189297126</v>
      </c>
    </row>
    <row r="23" spans="2:5" x14ac:dyDescent="0.25">
      <c r="C23" s="38" t="str">
        <f>'(Input) Toll Constants'!F9</f>
        <v>2 to 3</v>
      </c>
      <c r="D23" s="108">
        <f>'(Input) Toll Constants'!I9</f>
        <v>-2.0341618189297126</v>
      </c>
      <c r="E23" s="70">
        <f>'(Input) Toll Constants'!J9</f>
        <v>-2.0341618189297126</v>
      </c>
    </row>
    <row r="24" spans="2:5" x14ac:dyDescent="0.25">
      <c r="C24" s="38" t="str">
        <f>'(Input) Toll Constants'!F10</f>
        <v>3 to 4</v>
      </c>
      <c r="D24" s="108">
        <f>'(Input) Toll Constants'!I10</f>
        <v>-2.0341618189297126</v>
      </c>
      <c r="E24" s="70">
        <f>'(Input) Toll Constants'!J10</f>
        <v>-2.0341618189297126</v>
      </c>
    </row>
    <row r="25" spans="2:5" x14ac:dyDescent="0.25">
      <c r="C25" s="38" t="str">
        <f>'(Input) Toll Constants'!F11</f>
        <v>4 to 5</v>
      </c>
      <c r="D25" s="108">
        <f>'(Input) Toll Constants'!I11</f>
        <v>-2.0341618189297126</v>
      </c>
      <c r="E25" s="70">
        <f>'(Input) Toll Constants'!J11</f>
        <v>-2.0341618189297126</v>
      </c>
    </row>
    <row r="26" spans="2:5" x14ac:dyDescent="0.25">
      <c r="C26" s="38" t="str">
        <f>'(Input) Toll Constants'!F12</f>
        <v>5 to 6</v>
      </c>
      <c r="D26" s="108">
        <f>'(Input) Toll Constants'!I12</f>
        <v>-1.1705609626612574</v>
      </c>
      <c r="E26" s="70">
        <f>'(Input) Toll Constants'!J12</f>
        <v>-1.1705609626612574</v>
      </c>
    </row>
    <row r="27" spans="2:5" x14ac:dyDescent="0.25">
      <c r="C27" s="38" t="str">
        <f>'(Input) Toll Constants'!F13</f>
        <v>6 to 7</v>
      </c>
      <c r="D27" s="108">
        <f>'(Input) Toll Constants'!I13</f>
        <v>-0.33056096266125756</v>
      </c>
      <c r="E27" s="70">
        <f>'(Input) Toll Constants'!J13</f>
        <v>-0.33056096266125756</v>
      </c>
    </row>
    <row r="28" spans="2:5" x14ac:dyDescent="0.25">
      <c r="C28" s="38" t="str">
        <f>'(Input) Toll Constants'!F14</f>
        <v>7 to 8</v>
      </c>
      <c r="D28" s="108">
        <f>'(Input) Toll Constants'!I14</f>
        <v>-0.33056096266125756</v>
      </c>
      <c r="E28" s="70">
        <f>'(Input) Toll Constants'!J14</f>
        <v>-0.33056096266125756</v>
      </c>
    </row>
    <row r="29" spans="2:5" x14ac:dyDescent="0.25">
      <c r="C29" s="38" t="str">
        <f>'(Input) Toll Constants'!F15</f>
        <v>8 to 9</v>
      </c>
      <c r="D29" s="108">
        <f>'(Input) Toll Constants'!I15</f>
        <v>-0.33056096266125756</v>
      </c>
      <c r="E29" s="70">
        <f>'(Input) Toll Constants'!J15</f>
        <v>-0.33056096266125756</v>
      </c>
    </row>
    <row r="30" spans="2:5" x14ac:dyDescent="0.25">
      <c r="C30" s="38" t="str">
        <f>'(Input) Toll Constants'!F16</f>
        <v>9 to 10</v>
      </c>
      <c r="D30" s="108">
        <f>'(Input) Toll Constants'!I16</f>
        <v>-0.33056096266125756</v>
      </c>
      <c r="E30" s="70">
        <f>'(Input) Toll Constants'!J16</f>
        <v>-0.33056096266125756</v>
      </c>
    </row>
    <row r="31" spans="2:5" x14ac:dyDescent="0.25">
      <c r="C31" s="38" t="str">
        <f>'(Input) Toll Constants'!F17</f>
        <v>10 to 11</v>
      </c>
      <c r="D31" s="108">
        <f>'(Input) Toll Constants'!I17</f>
        <v>-0.77856096266125752</v>
      </c>
      <c r="E31" s="70">
        <f>'(Input) Toll Constants'!J17</f>
        <v>-0.77856096266125752</v>
      </c>
    </row>
    <row r="32" spans="2:5" x14ac:dyDescent="0.25">
      <c r="C32" s="38" t="str">
        <f>'(Input) Toll Constants'!F18</f>
        <v>11 to 12</v>
      </c>
      <c r="D32" s="108">
        <f>'(Input) Toll Constants'!I18</f>
        <v>-0.77856096266125752</v>
      </c>
      <c r="E32" s="70">
        <f>'(Input) Toll Constants'!J18</f>
        <v>-0.77856096266125752</v>
      </c>
    </row>
    <row r="33" spans="3:5" x14ac:dyDescent="0.25">
      <c r="C33" s="38" t="str">
        <f>'(Input) Toll Constants'!F19</f>
        <v>12 to 13</v>
      </c>
      <c r="D33" s="108">
        <f>'(Input) Toll Constants'!I19</f>
        <v>-0.77856096266125752</v>
      </c>
      <c r="E33" s="70">
        <f>'(Input) Toll Constants'!J19</f>
        <v>-0.77856096266125752</v>
      </c>
    </row>
    <row r="34" spans="3:5" x14ac:dyDescent="0.25">
      <c r="C34" s="38" t="str">
        <f>'(Input) Toll Constants'!F20</f>
        <v>13 to 14</v>
      </c>
      <c r="D34" s="108">
        <f>'(Input) Toll Constants'!I20</f>
        <v>-0.77856096266125752</v>
      </c>
      <c r="E34" s="70">
        <f>'(Input) Toll Constants'!J20</f>
        <v>-0.77856096266125752</v>
      </c>
    </row>
    <row r="35" spans="3:5" x14ac:dyDescent="0.25">
      <c r="C35" s="38" t="str">
        <f>'(Input) Toll Constants'!F21</f>
        <v>14 to 15</v>
      </c>
      <c r="D35" s="108">
        <f>'(Input) Toll Constants'!I21</f>
        <v>-0.77856096266125752</v>
      </c>
      <c r="E35" s="70">
        <f>'(Input) Toll Constants'!J21</f>
        <v>-0.77856096266125752</v>
      </c>
    </row>
    <row r="36" spans="3:5" x14ac:dyDescent="0.25">
      <c r="C36" s="38" t="str">
        <f>'(Input) Toll Constants'!F22</f>
        <v>15 to 16</v>
      </c>
      <c r="D36" s="108">
        <f>'(Input) Toll Constants'!I22</f>
        <v>-0.33056096266125756</v>
      </c>
      <c r="E36" s="70">
        <f>'(Input) Toll Constants'!J22</f>
        <v>-0.33056096266125756</v>
      </c>
    </row>
    <row r="37" spans="3:5" x14ac:dyDescent="0.25">
      <c r="C37" s="38" t="str">
        <f>'(Input) Toll Constants'!F23</f>
        <v>16 to 17</v>
      </c>
      <c r="D37" s="108">
        <f>'(Input) Toll Constants'!I23</f>
        <v>-0.33056096266125756</v>
      </c>
      <c r="E37" s="70">
        <f>'(Input) Toll Constants'!J23</f>
        <v>-0.33056096266125756</v>
      </c>
    </row>
    <row r="38" spans="3:5" x14ac:dyDescent="0.25">
      <c r="C38" s="38" t="str">
        <f>'(Input) Toll Constants'!F24</f>
        <v>17 to 18</v>
      </c>
      <c r="D38" s="108">
        <f>'(Input) Toll Constants'!I24</f>
        <v>-0.33056096266125756</v>
      </c>
      <c r="E38" s="70">
        <f>'(Input) Toll Constants'!J24</f>
        <v>-0.33056096266125756</v>
      </c>
    </row>
    <row r="39" spans="3:5" x14ac:dyDescent="0.25">
      <c r="C39" s="38" t="str">
        <f>'(Input) Toll Constants'!F25</f>
        <v>18 to 19</v>
      </c>
      <c r="D39" s="108">
        <f>'(Input) Toll Constants'!I25</f>
        <v>-0.33056096266125756</v>
      </c>
      <c r="E39" s="70">
        <f>'(Input) Toll Constants'!J25</f>
        <v>-0.33056096266125756</v>
      </c>
    </row>
    <row r="40" spans="3:5" x14ac:dyDescent="0.25">
      <c r="C40" s="38" t="str">
        <f>'(Input) Toll Constants'!F26</f>
        <v>19 to 20</v>
      </c>
      <c r="D40" s="108">
        <f>'(Input) Toll Constants'!I26</f>
        <v>-1.1705609626612574</v>
      </c>
      <c r="E40" s="70">
        <f>'(Input) Toll Constants'!J26</f>
        <v>-1.1705609626612574</v>
      </c>
    </row>
    <row r="41" spans="3:5" x14ac:dyDescent="0.25">
      <c r="C41" s="38" t="str">
        <f>'(Input) Toll Constants'!F27</f>
        <v>20 to 21</v>
      </c>
      <c r="D41" s="108">
        <f>'(Input) Toll Constants'!I27</f>
        <v>-2.0341618189297126</v>
      </c>
      <c r="E41" s="70">
        <f>'(Input) Toll Constants'!J27</f>
        <v>-2.0341618189297126</v>
      </c>
    </row>
    <row r="42" spans="3:5" x14ac:dyDescent="0.25">
      <c r="C42" s="38" t="str">
        <f>'(Input) Toll Constants'!F28</f>
        <v>21 to 22</v>
      </c>
      <c r="D42" s="108">
        <f>'(Input) Toll Constants'!I28</f>
        <v>-2.0341618189297126</v>
      </c>
      <c r="E42" s="70">
        <f>'(Input) Toll Constants'!J28</f>
        <v>-2.0341618189297126</v>
      </c>
    </row>
    <row r="43" spans="3:5" x14ac:dyDescent="0.25">
      <c r="C43" s="38" t="str">
        <f>'(Input) Toll Constants'!F29</f>
        <v>22 to 23</v>
      </c>
      <c r="D43" s="108">
        <f>'(Input) Toll Constants'!I29</f>
        <v>-2.0341618189297126</v>
      </c>
      <c r="E43" s="70">
        <f>'(Input) Toll Constants'!J29</f>
        <v>-2.0341618189297126</v>
      </c>
    </row>
    <row r="44" spans="3:5" ht="15.75" thickBot="1" x14ac:dyDescent="0.3">
      <c r="C44" s="39" t="str">
        <f>'(Input) Toll Constants'!F30</f>
        <v>23 to 24</v>
      </c>
      <c r="D44" s="109">
        <f>'(Input) Toll Constants'!I30</f>
        <v>-2.0341618189297126</v>
      </c>
      <c r="E44" s="72">
        <f>'(Input) Toll Constants'!J30</f>
        <v>-2.0341618189297126</v>
      </c>
    </row>
    <row r="45" spans="3:5" ht="15.75" thickTop="1" x14ac:dyDescent="0.25"/>
  </sheetData>
  <mergeCells count="3">
    <mergeCell ref="B4:B5"/>
    <mergeCell ref="B11:B13"/>
    <mergeCell ref="B16:B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3:AN68"/>
  <sheetViews>
    <sheetView topLeftCell="A4" workbookViewId="0">
      <selection activeCell="B28" sqref="B28"/>
    </sheetView>
  </sheetViews>
  <sheetFormatPr defaultRowHeight="15" x14ac:dyDescent="0.25"/>
  <cols>
    <col min="1" max="1" width="23.28515625" bestFit="1" customWidth="1"/>
    <col min="2" max="4" width="10.42578125" customWidth="1"/>
    <col min="6" max="6" width="14.85546875" bestFit="1" customWidth="1"/>
    <col min="7" max="7" width="10.5703125" bestFit="1" customWidth="1"/>
  </cols>
  <sheetData>
    <row r="3" spans="1:7" x14ac:dyDescent="0.25">
      <c r="B3" s="201" t="s">
        <v>21</v>
      </c>
      <c r="C3" s="201"/>
      <c r="D3" s="201"/>
    </row>
    <row r="4" spans="1:7" x14ac:dyDescent="0.25">
      <c r="B4" s="1" t="s">
        <v>2</v>
      </c>
      <c r="C4" s="1" t="s">
        <v>3</v>
      </c>
      <c r="D4" s="9" t="s">
        <v>4</v>
      </c>
    </row>
    <row r="5" spans="1:7" x14ac:dyDescent="0.25">
      <c r="A5" s="2" t="s">
        <v>0</v>
      </c>
      <c r="B5" s="3">
        <v>-3.7542600000000002E-2</v>
      </c>
      <c r="C5" s="4">
        <v>-41.213999999999999</v>
      </c>
      <c r="D5" s="10">
        <f>B5/B6*60*LN(G6)*LN(G5)</f>
        <v>13.031129535218867</v>
      </c>
      <c r="F5" t="s">
        <v>22</v>
      </c>
      <c r="G5">
        <v>11.04</v>
      </c>
    </row>
    <row r="6" spans="1:7" x14ac:dyDescent="0.25">
      <c r="A6" s="2" t="s">
        <v>1</v>
      </c>
      <c r="B6" s="6">
        <v>-4.4915787199999997</v>
      </c>
      <c r="C6" s="7">
        <v>-19.582999999999998</v>
      </c>
      <c r="D6" s="11"/>
      <c r="F6" t="s">
        <v>23</v>
      </c>
      <c r="G6" s="19">
        <v>50000</v>
      </c>
    </row>
    <row r="7" spans="1:7" x14ac:dyDescent="0.25">
      <c r="A7" s="2" t="s">
        <v>6</v>
      </c>
      <c r="B7" s="6">
        <v>-5.7136399999999999E-3</v>
      </c>
      <c r="C7" s="7">
        <v>-8.3520000000000003</v>
      </c>
      <c r="D7" s="11">
        <f>B7/B6*60*LN(G6)*LN(G5)</f>
        <v>1.9832186091961648</v>
      </c>
    </row>
    <row r="8" spans="1:7" x14ac:dyDescent="0.25">
      <c r="A8" s="2" t="s">
        <v>7</v>
      </c>
      <c r="B8" s="6">
        <v>-4.5292099999999997E-3</v>
      </c>
      <c r="C8" s="7">
        <v>-6.2869999999999999</v>
      </c>
      <c r="D8" s="11">
        <f>B8/B6*60*LN(G6)*LN(G5)</f>
        <v>1.5721000197697719</v>
      </c>
    </row>
    <row r="9" spans="1:7" x14ac:dyDescent="0.25">
      <c r="A9" s="2" t="s">
        <v>8</v>
      </c>
      <c r="B9" s="6">
        <v>-2.8091850000000002E-2</v>
      </c>
      <c r="C9" s="7">
        <v>-27.25</v>
      </c>
      <c r="D9" s="11"/>
    </row>
    <row r="10" spans="1:7" x14ac:dyDescent="0.25">
      <c r="A10" s="2" t="s">
        <v>9</v>
      </c>
      <c r="B10" s="6">
        <v>-2.7414609999999999E-2</v>
      </c>
      <c r="C10" s="7">
        <v>-4.718</v>
      </c>
      <c r="D10" s="12"/>
    </row>
    <row r="11" spans="1:7" x14ac:dyDescent="0.25">
      <c r="A11" s="2" t="s">
        <v>10</v>
      </c>
      <c r="B11" s="6">
        <v>-9.9238599999999996E-3</v>
      </c>
      <c r="C11" s="7">
        <v>-5.4189999999999996</v>
      </c>
      <c r="D11" s="12"/>
    </row>
    <row r="12" spans="1:7" x14ac:dyDescent="0.25">
      <c r="A12" s="2" t="s">
        <v>11</v>
      </c>
      <c r="B12" s="6">
        <v>-0.20914721</v>
      </c>
      <c r="C12" s="7">
        <v>-3.4390000000000001</v>
      </c>
      <c r="D12" s="12"/>
    </row>
    <row r="13" spans="1:7" x14ac:dyDescent="0.25">
      <c r="A13" s="2" t="s">
        <v>12</v>
      </c>
      <c r="B13" s="6">
        <v>-8.1999069999999993E-2</v>
      </c>
      <c r="C13" s="7">
        <v>-4.1189999999999998</v>
      </c>
      <c r="D13" s="12"/>
    </row>
    <row r="14" spans="1:7" x14ac:dyDescent="0.25">
      <c r="A14" s="2" t="s">
        <v>13</v>
      </c>
      <c r="B14" s="6">
        <v>-2.5393242499999999</v>
      </c>
      <c r="C14" s="7">
        <v>-91.015000000000001</v>
      </c>
      <c r="D14" s="11"/>
    </row>
    <row r="15" spans="1:7" x14ac:dyDescent="0.25">
      <c r="A15" s="2" t="s">
        <v>14</v>
      </c>
      <c r="B15" s="6">
        <v>-2.9090343999999999</v>
      </c>
      <c r="C15" s="7">
        <v>-34.963000000000001</v>
      </c>
      <c r="D15" s="11"/>
    </row>
    <row r="16" spans="1:7" x14ac:dyDescent="0.25">
      <c r="A16" s="2" t="s">
        <v>15</v>
      </c>
      <c r="B16" s="6">
        <v>-2.0335800499999999</v>
      </c>
      <c r="C16" s="7">
        <v>-33.152999999999999</v>
      </c>
      <c r="D16" s="12"/>
    </row>
    <row r="17" spans="1:4" x14ac:dyDescent="0.25">
      <c r="A17" s="2" t="s">
        <v>16</v>
      </c>
      <c r="B17" s="6">
        <v>-0.60617776000000001</v>
      </c>
      <c r="C17" s="7">
        <v>-10.507</v>
      </c>
      <c r="D17" s="12"/>
    </row>
    <row r="18" spans="1:4" x14ac:dyDescent="0.25">
      <c r="A18" s="2" t="s">
        <v>17</v>
      </c>
      <c r="B18" s="6">
        <v>-1.6059E-2</v>
      </c>
      <c r="C18" s="7">
        <v>-0.26700000000000002</v>
      </c>
      <c r="D18" s="12"/>
    </row>
    <row r="19" spans="1:4" x14ac:dyDescent="0.25">
      <c r="A19" s="2" t="s">
        <v>18</v>
      </c>
      <c r="B19" s="13">
        <v>-0.49413082000000003</v>
      </c>
      <c r="C19" s="14">
        <v>-6.2590000000000003</v>
      </c>
      <c r="D19" s="15"/>
    </row>
    <row r="20" spans="1:4" x14ac:dyDescent="0.25">
      <c r="B20" s="5"/>
      <c r="C20" s="5"/>
      <c r="D20" s="5"/>
    </row>
    <row r="21" spans="1:4" x14ac:dyDescent="0.25">
      <c r="B21" s="202" t="s">
        <v>19</v>
      </c>
      <c r="C21" s="202"/>
      <c r="D21" s="202"/>
    </row>
    <row r="22" spans="1:4" x14ac:dyDescent="0.25">
      <c r="B22" s="17" t="s">
        <v>20</v>
      </c>
      <c r="C22" s="18">
        <v>32031</v>
      </c>
      <c r="D22" s="16"/>
    </row>
    <row r="23" spans="1:4" x14ac:dyDescent="0.25">
      <c r="D23" s="5"/>
    </row>
    <row r="24" spans="1:4" x14ac:dyDescent="0.25">
      <c r="A24" s="20" t="s">
        <v>24</v>
      </c>
      <c r="B24" t="s">
        <v>25</v>
      </c>
    </row>
    <row r="25" spans="1:4" x14ac:dyDescent="0.25">
      <c r="B25" t="s">
        <v>26</v>
      </c>
    </row>
    <row r="28" spans="1:4" x14ac:dyDescent="0.25">
      <c r="A28" t="s">
        <v>27</v>
      </c>
      <c r="B28">
        <v>0.112</v>
      </c>
    </row>
    <row r="29" spans="1:4" x14ac:dyDescent="0.25">
      <c r="A29" t="s">
        <v>28</v>
      </c>
      <c r="B29">
        <v>0.60899999999999999</v>
      </c>
    </row>
    <row r="30" spans="1:4" x14ac:dyDescent="0.25">
      <c r="A30" t="s">
        <v>29</v>
      </c>
      <c r="B30" s="29">
        <f>B28/B29*60</f>
        <v>11.03448275862069</v>
      </c>
    </row>
    <row r="35" spans="7:40" x14ac:dyDescent="0.25">
      <c r="G35" s="14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7:40" x14ac:dyDescent="0.25">
      <c r="G36" s="14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7:40" x14ac:dyDescent="0.25">
      <c r="G37" s="14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7:40" x14ac:dyDescent="0.25">
      <c r="G38" s="148"/>
      <c r="H38" s="29"/>
      <c r="I38" s="29"/>
    </row>
    <row r="39" spans="7:40" x14ac:dyDescent="0.25">
      <c r="G39" s="148"/>
      <c r="H39" s="29"/>
      <c r="I39" s="29"/>
      <c r="J39" s="148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7:40" x14ac:dyDescent="0.25">
      <c r="G40" s="148"/>
      <c r="H40" s="29"/>
      <c r="I40" s="29"/>
      <c r="J40" s="148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7:40" x14ac:dyDescent="0.25">
      <c r="G41" s="148"/>
      <c r="H41" s="29"/>
      <c r="I41" s="29"/>
      <c r="J41" s="148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7:40" x14ac:dyDescent="0.25">
      <c r="G42" s="148"/>
      <c r="H42" s="29"/>
      <c r="I42" s="29"/>
      <c r="J42" s="148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7:40" x14ac:dyDescent="0.25">
      <c r="G43" s="148"/>
      <c r="H43" s="29"/>
      <c r="I43" s="29"/>
      <c r="J43" s="148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7:40" x14ac:dyDescent="0.25">
      <c r="G44" s="148"/>
      <c r="H44" s="29"/>
      <c r="I44" s="29"/>
      <c r="J44" s="148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7:40" x14ac:dyDescent="0.25">
      <c r="G45" s="148"/>
      <c r="H45" s="29"/>
      <c r="I45" s="29"/>
      <c r="J45" s="14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7:40" x14ac:dyDescent="0.25">
      <c r="G46" s="148"/>
      <c r="H46" s="29"/>
      <c r="I46" s="29"/>
      <c r="J46" s="14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7:40" x14ac:dyDescent="0.25">
      <c r="G47" s="148"/>
      <c r="H47" s="29"/>
      <c r="I47" s="29"/>
      <c r="J47" s="148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7:40" x14ac:dyDescent="0.25">
      <c r="G48" s="148"/>
      <c r="H48" s="29"/>
      <c r="I48" s="29"/>
      <c r="J48" s="148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7:40" x14ac:dyDescent="0.25">
      <c r="G49" s="148"/>
      <c r="H49" s="29"/>
      <c r="I49" s="29"/>
      <c r="J49" s="148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7:40" x14ac:dyDescent="0.25">
      <c r="G50" s="148"/>
      <c r="H50" s="29"/>
      <c r="I50" s="29"/>
      <c r="J50" s="148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7:40" x14ac:dyDescent="0.25">
      <c r="G51" s="148"/>
      <c r="H51" s="29"/>
      <c r="I51" s="29"/>
      <c r="J51" s="148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7:40" x14ac:dyDescent="0.25">
      <c r="G52" s="148"/>
      <c r="H52" s="29"/>
      <c r="I52" s="29"/>
      <c r="J52" s="148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7:40" x14ac:dyDescent="0.25">
      <c r="G53" s="148"/>
      <c r="H53" s="29"/>
      <c r="I53" s="29"/>
      <c r="J53" s="148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7:40" x14ac:dyDescent="0.25">
      <c r="G54" s="148"/>
      <c r="H54" s="29"/>
      <c r="I54" s="29"/>
      <c r="J54" s="148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7:40" x14ac:dyDescent="0.25">
      <c r="G55" s="148"/>
      <c r="H55" s="29"/>
      <c r="I55" s="29"/>
      <c r="J55" s="148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7:40" x14ac:dyDescent="0.25">
      <c r="G56" s="148"/>
      <c r="H56" s="29"/>
      <c r="I56" s="29"/>
      <c r="J56" s="148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7:40" x14ac:dyDescent="0.25">
      <c r="G57" s="148"/>
      <c r="H57" s="29"/>
      <c r="I57" s="29"/>
      <c r="J57" s="148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7:40" x14ac:dyDescent="0.25">
      <c r="G58" s="148"/>
      <c r="H58" s="29"/>
      <c r="I58" s="29"/>
      <c r="J58" s="148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7:40" x14ac:dyDescent="0.25">
      <c r="G59" s="148"/>
      <c r="H59" s="29"/>
      <c r="I59" s="29"/>
      <c r="J59" s="148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7:40" x14ac:dyDescent="0.25">
      <c r="G60" s="148"/>
      <c r="H60" s="29"/>
      <c r="I60" s="29"/>
      <c r="J60" s="148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7:40" x14ac:dyDescent="0.25">
      <c r="G61" s="148"/>
      <c r="H61" s="29"/>
      <c r="I61" s="29"/>
      <c r="J61" s="148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7:40" x14ac:dyDescent="0.25">
      <c r="G62" s="148"/>
      <c r="H62" s="29"/>
      <c r="I62" s="29"/>
      <c r="J62" s="148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7:40" x14ac:dyDescent="0.25">
      <c r="G63" s="148"/>
      <c r="H63" s="29"/>
      <c r="I63" s="29"/>
      <c r="J63" s="148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7:40" x14ac:dyDescent="0.25">
      <c r="G64" s="148"/>
      <c r="H64" s="29"/>
      <c r="I64" s="29"/>
      <c r="J64" s="148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0:40" x14ac:dyDescent="0.25">
      <c r="J65" s="148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0:40" x14ac:dyDescent="0.25">
      <c r="J66" s="148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0:40" x14ac:dyDescent="0.25">
      <c r="J67" s="148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</row>
    <row r="68" spans="10:40" x14ac:dyDescent="0.25">
      <c r="J68" s="148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</row>
  </sheetData>
  <mergeCells count="2">
    <mergeCell ref="B3:D3"/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Instructions</vt:lpstr>
      <vt:lpstr>About</vt:lpstr>
      <vt:lpstr>(Input) Time Cost Coefs</vt:lpstr>
      <vt:lpstr>(Input) Reliability</vt:lpstr>
      <vt:lpstr>(Input) Perceived Time</vt:lpstr>
      <vt:lpstr>(Input) Toll Constants</vt:lpstr>
      <vt:lpstr>(Input) Distance Penalty</vt:lpstr>
      <vt:lpstr>Output</vt:lpstr>
      <vt:lpstr>Ref - Toll mode choice model</vt:lpstr>
      <vt:lpstr>Ref - Express on Turnpike</vt:lpstr>
      <vt:lpstr>CostCoef</vt:lpstr>
      <vt:lpstr>I95_TollDist</vt:lpstr>
      <vt:lpstr>MaxReliabilityRatio</vt:lpstr>
      <vt:lpstr>MidnightShare</vt:lpstr>
      <vt:lpstr>MinToll</vt:lpstr>
      <vt:lpstr>ReliabilityCoef_Min</vt:lpstr>
      <vt:lpstr>ReliabilityExponent</vt:lpstr>
      <vt:lpstr>ReliabilityRatio</vt:lpstr>
      <vt:lpstr>TimeCoef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J. Adler</dc:creator>
  <cp:lastModifiedBy>Sarvepalli, Venkat</cp:lastModifiedBy>
  <dcterms:created xsi:type="dcterms:W3CDTF">2015-12-03T18:23:49Z</dcterms:created>
  <dcterms:modified xsi:type="dcterms:W3CDTF">2017-08-15T20:38:23Z</dcterms:modified>
</cp:coreProperties>
</file>