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24 data aggregation" sheetId="1" r:id="rId4"/>
    <sheet state="visible" name="924 Only Individuals" sheetId="2" r:id="rId5"/>
    <sheet state="visible" name="924 Only Teams" sheetId="3" r:id="rId6"/>
    <sheet state="visible" name="924 Number Zoo" sheetId="4" r:id="rId7"/>
    <sheet state="visible" name="924 Format Nicer" sheetId="5" r:id="rId8"/>
    <sheet state="visible" name="924 Final format" sheetId="6" r:id="rId9"/>
    <sheet state="visible" name="original" sheetId="7" r:id="rId10"/>
    <sheet state="visible" name="no team1" sheetId="8" r:id="rId11"/>
    <sheet state="visible" name="team" sheetId="9" r:id="rId12"/>
    <sheet state="visible" name="Sheet2" sheetId="10" r:id="rId13"/>
    <sheet state="visible" name="Sheet3" sheetId="11" r:id="rId14"/>
    <sheet state="visible" name="output" sheetId="12" r:id="rId15"/>
    <sheet state="visible" name="output2" sheetId="13" r:id="rId16"/>
    <sheet state="visible" name="number zoo" sheetId="14" r:id="rId17"/>
    <sheet state="visible" name="transform numbers" sheetId="15" r:id="rId18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G53">
      <text>
        <t xml:space="preserve">Responder updated this value.</t>
      </text>
    </comment>
    <comment authorId="0" ref="K53">
      <text>
        <t xml:space="preserve">Responder updated this value.</t>
      </text>
    </comment>
    <comment authorId="0" ref="N53">
      <text>
        <t xml:space="preserve">Responder updated this value.</t>
      </text>
    </comment>
    <comment authorId="0" ref="A61">
      <text>
        <t xml:space="preserve">Responder updated this value.</t>
      </text>
    </comment>
    <comment authorId="0" ref="B61">
      <text>
        <t xml:space="preserve">Responder updated this value.</t>
      </text>
    </comment>
    <comment authorId="0" ref="C61">
      <text>
        <t xml:space="preserve">Responder updated this value.</t>
      </text>
    </comment>
    <comment authorId="0" ref="G61">
      <text>
        <t xml:space="preserve">Responder updated this value.</t>
      </text>
    </comment>
    <comment authorId="0" ref="K61">
      <text>
        <t xml:space="preserve">Responder updated this value.</t>
      </text>
    </comment>
    <comment authorId="0" ref="N61">
      <text>
        <t xml:space="preserve">Responder updated this value.</t>
      </text>
    </comment>
    <comment authorId="0" ref="L100">
      <text>
        <t xml:space="preserve">Responder updated this value.</t>
      </text>
    </comment>
    <comment authorId="0" ref="L137">
      <text>
        <t xml:space="preserve">Responder updated this value.</t>
      </text>
    </comment>
    <comment authorId="0" ref="E141">
      <text>
        <t xml:space="preserve">Responder updated this value.</t>
      </text>
    </comment>
    <comment authorId="0" ref="G141">
      <text>
        <t xml:space="preserve">Responder updated this value.</t>
      </text>
    </comment>
    <comment authorId="0" ref="I141">
      <text>
        <t xml:space="preserve">Responder updated this value.</t>
      </text>
    </comment>
    <comment authorId="0" ref="L141">
      <text>
        <t xml:space="preserve">Responder updated this value.</t>
      </text>
    </comment>
    <comment authorId="0" ref="N145">
      <text>
        <t xml:space="preserve">Responder updated this value.</t>
      </text>
    </comment>
    <comment authorId="0" ref="E150">
      <text>
        <t xml:space="preserve">Responder updated this value.</t>
      </text>
    </comment>
    <comment authorId="0" ref="G150">
      <text>
        <t xml:space="preserve">Responder updated this value.</t>
      </text>
    </comment>
    <comment authorId="0" ref="K150">
      <text>
        <t xml:space="preserve">Responder updated this value.</t>
      </text>
    </comment>
    <comment authorId="0" ref="L150">
      <text>
        <t xml:space="preserve">Responder updated this value.</t>
      </text>
    </comment>
    <comment authorId="0" ref="N150">
      <text>
        <t xml:space="preserve">Responder updated this value.</t>
      </text>
    </comment>
    <comment authorId="0" ref="C151">
      <text>
        <t xml:space="preserve">Responder updated this value.</t>
      </text>
    </comment>
    <comment authorId="0" ref="G151">
      <text>
        <t xml:space="preserve">Responder updated this value.</t>
      </text>
    </comment>
    <comment authorId="0" ref="K151">
      <text>
        <t xml:space="preserve">Responder updated this value.</t>
      </text>
    </comment>
    <comment authorId="0" ref="N151">
      <text>
        <t xml:space="preserve">Responder updated this value.</t>
      </text>
    </comment>
    <comment authorId="0" ref="E155">
      <text>
        <t xml:space="preserve">Responder updated this value.</t>
      </text>
    </comment>
    <comment authorId="0" ref="G155">
      <text>
        <t xml:space="preserve">Responder updated this value.</t>
      </text>
    </comment>
    <comment authorId="0" ref="K155">
      <text>
        <t xml:space="preserve">Responder updated this value.</t>
      </text>
    </comment>
    <comment authorId="0" ref="N155">
      <text>
        <t xml:space="preserve">Responder updated this value.</t>
      </text>
    </comment>
    <comment authorId="0" ref="K174">
      <text>
        <t xml:space="preserve">Responder updated this value.</t>
      </text>
    </comment>
    <comment authorId="0" ref="E185">
      <text>
        <t xml:space="preserve">Responder updated this value.</t>
      </text>
    </comment>
    <comment authorId="0" ref="G185">
      <text>
        <t xml:space="preserve">Responder updated this value.</t>
      </text>
    </comment>
    <comment authorId="0" ref="I185">
      <text>
        <t xml:space="preserve">Responder updated this value.</t>
      </text>
    </comment>
    <comment authorId="0" ref="K185">
      <text>
        <t xml:space="preserve">Responder updated this value.</t>
      </text>
    </comment>
    <comment authorId="0" ref="L185">
      <text>
        <t xml:space="preserve">Responder updated this value.</t>
      </text>
    </comment>
    <comment authorId="0" ref="N185">
      <text>
        <t xml:space="preserve">Responder updated this value.</t>
      </text>
    </comment>
    <comment authorId="0" ref="C203">
      <text>
        <t xml:space="preserve">Responder updated this value.</t>
      </text>
    </comment>
    <comment authorId="0" ref="L230">
      <text>
        <t xml:space="preserve">Responder updated this value.</t>
      </text>
    </comment>
    <comment authorId="0" ref="E249">
      <text>
        <t xml:space="preserve">Responder updated this value.</t>
      </text>
    </comment>
    <comment authorId="0" ref="I249">
      <text>
        <t xml:space="preserve">Responder updated this value.</t>
      </text>
    </comment>
    <comment authorId="0" ref="L249">
      <text>
        <t xml:space="preserve">Responder updated this value.</t>
      </text>
    </comment>
    <comment authorId="0" ref="G259">
      <text>
        <t xml:space="preserve">Responder updated this value.</t>
      </text>
    </comment>
    <comment authorId="0" ref="K259">
      <text>
        <t xml:space="preserve">Responder updated this value.</t>
      </text>
    </comment>
    <comment authorId="0" ref="E268">
      <text>
        <t xml:space="preserve">Responder updated this value.</t>
      </text>
    </comment>
    <comment authorId="0" ref="G268">
      <text>
        <t xml:space="preserve">Responder updated this value.</t>
      </text>
    </comment>
    <comment authorId="0" ref="I268">
      <text>
        <t xml:space="preserve">Responder updated this value.</t>
      </text>
    </comment>
    <comment authorId="0" ref="K268">
      <text>
        <t xml:space="preserve">Responder updated this value.</t>
      </text>
    </comment>
    <comment authorId="0" ref="L268">
      <text>
        <t xml:space="preserve">Responder updated this value.</t>
      </text>
    </comment>
    <comment authorId="0" ref="N268">
      <text>
        <t xml:space="preserve">Responder updated this value.</t>
      </text>
    </comment>
    <comment authorId="0" ref="G288">
      <text>
        <t xml:space="preserve">Responder updated this value.</t>
      </text>
    </comment>
    <comment authorId="0" ref="K288">
      <text>
        <t xml:space="preserve">Responder updated this value.</t>
      </text>
    </comment>
    <comment authorId="0" ref="L288">
      <text>
        <t xml:space="preserve">Responder updated this value.</t>
      </text>
    </comment>
    <comment authorId="0" ref="N288">
      <text>
        <t xml:space="preserve">Responder updated this value.</t>
      </text>
    </comment>
    <comment authorId="0" ref="G338">
      <text>
        <t xml:space="preserve">Responder updated this value.</t>
      </text>
    </comment>
    <comment authorId="0" ref="K338">
      <text>
        <t xml:space="preserve">Responder updated this value.</t>
      </text>
    </comment>
    <comment authorId="0" ref="I340">
      <text>
        <t xml:space="preserve">Responder updated this value.</t>
      </text>
    </comment>
    <comment authorId="0" ref="L340">
      <text>
        <t xml:space="preserve">Responder updated this value.</t>
      </text>
    </comment>
    <comment authorId="0" ref="N340">
      <text>
        <t xml:space="preserve">Responder updated this value.</t>
      </text>
    </comment>
    <comment authorId="0" ref="G341">
      <text>
        <t xml:space="preserve">Responder updated this value.</t>
      </text>
    </comment>
    <comment authorId="0" ref="I341">
      <text>
        <t xml:space="preserve">Responder updated this value.</t>
      </text>
    </comment>
    <comment authorId="0" ref="K341">
      <text>
        <t xml:space="preserve">Responder updated this value.</t>
      </text>
    </comment>
    <comment authorId="0" ref="L341">
      <text>
        <t xml:space="preserve">Responder updated this value.</t>
      </text>
    </comment>
    <comment authorId="0" ref="N341">
      <text>
        <t xml:space="preserve">Responder updated this value.</t>
      </text>
    </comment>
    <comment authorId="0" ref="E343">
      <text>
        <t xml:space="preserve">Responder updated this value.</t>
      </text>
    </comment>
    <comment authorId="0" ref="G343">
      <text>
        <t xml:space="preserve">Responder updated this value.</t>
      </text>
    </comment>
    <comment authorId="0" ref="I343">
      <text>
        <t xml:space="preserve">Responder updated this value.</t>
      </text>
    </comment>
    <comment authorId="0" ref="K343">
      <text>
        <t xml:space="preserve">Responder updated this value.</t>
      </text>
    </comment>
    <comment authorId="0" ref="L343">
      <text>
        <t xml:space="preserve">Responder updated this value.</t>
      </text>
    </comment>
    <comment authorId="0" ref="N343">
      <text>
        <t xml:space="preserve">Responder updated this value.</t>
      </text>
    </comment>
    <comment authorId="0" ref="G347">
      <text>
        <t xml:space="preserve">Responder updated this value.</t>
      </text>
    </comment>
    <comment authorId="0" ref="K347">
      <text>
        <t xml:space="preserve">Responder updated this value.</t>
      </text>
    </comment>
    <comment authorId="0" ref="N347">
      <text>
        <t xml:space="preserve">Responder updated this value.</t>
      </text>
    </comment>
    <comment authorId="0" ref="I354">
      <text>
        <t xml:space="preserve">Responder updated this value.</t>
      </text>
    </comment>
    <comment authorId="0" ref="L354">
      <text>
        <t xml:space="preserve">Responder updated this value.</t>
      </text>
    </comment>
    <comment authorId="0" ref="E356">
      <text>
        <t xml:space="preserve">Responder updated this value.</t>
      </text>
    </comment>
    <comment authorId="0" ref="I356">
      <text>
        <t xml:space="preserve">Responder updated this value.</t>
      </text>
    </comment>
    <comment authorId="0" ref="E357">
      <text>
        <t xml:space="preserve">Responder updated this value.</t>
      </text>
    </comment>
    <comment authorId="0" ref="I357">
      <text>
        <t xml:space="preserve">Responder updated this value.</t>
      </text>
    </comment>
    <comment authorId="0" ref="G364">
      <text>
        <t xml:space="preserve">Responder updated this value.</t>
      </text>
    </comment>
    <comment authorId="0" ref="L371">
      <text>
        <t xml:space="preserve">Responder updated this value.</t>
      </text>
    </comment>
    <comment authorId="0" ref="L372">
      <text>
        <t xml:space="preserve">Responder updated this value.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G54">
      <text>
        <t xml:space="preserve">Responder updated this value.</t>
      </text>
    </comment>
    <comment authorId="0" ref="K54">
      <text>
        <t xml:space="preserve">Responder updated this value.</t>
      </text>
    </comment>
    <comment authorId="0" ref="N54">
      <text>
        <t xml:space="preserve">Responder updated this value.</t>
      </text>
    </comment>
    <comment authorId="0" ref="A62">
      <text>
        <t xml:space="preserve">Responder updated this value.</t>
      </text>
    </comment>
    <comment authorId="0" ref="B62">
      <text>
        <t xml:space="preserve">Responder updated this value.</t>
      </text>
    </comment>
    <comment authorId="0" ref="C62">
      <text>
        <t xml:space="preserve">Responder updated this value.</t>
      </text>
    </comment>
    <comment authorId="0" ref="G62">
      <text>
        <t xml:space="preserve">Responder updated this value.</t>
      </text>
    </comment>
    <comment authorId="0" ref="K62">
      <text>
        <t xml:space="preserve">Responder updated this value.</t>
      </text>
    </comment>
    <comment authorId="0" ref="N62">
      <text>
        <t xml:space="preserve">Responder updated this value.</t>
      </text>
    </comment>
    <comment authorId="0" ref="L101">
      <text>
        <t xml:space="preserve">Responder updated this value.</t>
      </text>
    </comment>
    <comment authorId="0" ref="L138">
      <text>
        <t xml:space="preserve">Responder updated this value.</t>
      </text>
    </comment>
    <comment authorId="0" ref="E142">
      <text>
        <t xml:space="preserve">Responder updated this value.</t>
      </text>
    </comment>
    <comment authorId="0" ref="G142">
      <text>
        <t xml:space="preserve">Responder updated this value.</t>
      </text>
    </comment>
    <comment authorId="0" ref="I142">
      <text>
        <t xml:space="preserve">Responder updated this value.</t>
      </text>
    </comment>
    <comment authorId="0" ref="L142">
      <text>
        <t xml:space="preserve">Responder updated this value.</t>
      </text>
    </comment>
    <comment authorId="0" ref="N146">
      <text>
        <t xml:space="preserve">Responder updated this value.</t>
      </text>
    </comment>
    <comment authorId="0" ref="E151">
      <text>
        <t xml:space="preserve">Responder updated this value.</t>
      </text>
    </comment>
    <comment authorId="0" ref="G151">
      <text>
        <t xml:space="preserve">Responder updated this value.</t>
      </text>
    </comment>
    <comment authorId="0" ref="K151">
      <text>
        <t xml:space="preserve">Responder updated this value.</t>
      </text>
    </comment>
    <comment authorId="0" ref="L151">
      <text>
        <t xml:space="preserve">Responder updated this value.</t>
      </text>
    </comment>
    <comment authorId="0" ref="N151">
      <text>
        <t xml:space="preserve">Responder updated this value.</t>
      </text>
    </comment>
    <comment authorId="0" ref="C152">
      <text>
        <t xml:space="preserve">Responder updated this value.</t>
      </text>
    </comment>
    <comment authorId="0" ref="G152">
      <text>
        <t xml:space="preserve">Responder updated this value.</t>
      </text>
    </comment>
    <comment authorId="0" ref="K152">
      <text>
        <t xml:space="preserve">Responder updated this value.</t>
      </text>
    </comment>
    <comment authorId="0" ref="N152">
      <text>
        <t xml:space="preserve">Responder updated this value.</t>
      </text>
    </comment>
    <comment authorId="0" ref="E156">
      <text>
        <t xml:space="preserve">Responder updated this value.</t>
      </text>
    </comment>
    <comment authorId="0" ref="G156">
      <text>
        <t xml:space="preserve">Responder updated this value.</t>
      </text>
    </comment>
    <comment authorId="0" ref="K156">
      <text>
        <t xml:space="preserve">Responder updated this value.</t>
      </text>
    </comment>
    <comment authorId="0" ref="N156">
      <text>
        <t xml:space="preserve">Responder updated this value.</t>
      </text>
    </comment>
    <comment authorId="0" ref="K175">
      <text>
        <t xml:space="preserve">Responder updated this value.</t>
      </text>
    </comment>
    <comment authorId="0" ref="E186">
      <text>
        <t xml:space="preserve">Responder updated this value.</t>
      </text>
    </comment>
    <comment authorId="0" ref="G186">
      <text>
        <t xml:space="preserve">Responder updated this value.</t>
      </text>
    </comment>
    <comment authorId="0" ref="I186">
      <text>
        <t xml:space="preserve">Responder updated this value.</t>
      </text>
    </comment>
    <comment authorId="0" ref="K186">
      <text>
        <t xml:space="preserve">Responder updated this value.</t>
      </text>
    </comment>
    <comment authorId="0" ref="L186">
      <text>
        <t xml:space="preserve">Responder updated this value.</t>
      </text>
    </comment>
    <comment authorId="0" ref="N186">
      <text>
        <t xml:space="preserve">Responder updated this value.</t>
      </text>
    </comment>
    <comment authorId="0" ref="C204">
      <text>
        <t xml:space="preserve">Responder updated this value.</t>
      </text>
    </comment>
    <comment authorId="0" ref="L231">
      <text>
        <t xml:space="preserve">Responder updated this value.</t>
      </text>
    </comment>
    <comment authorId="0" ref="E250">
      <text>
        <t xml:space="preserve">Responder updated this value.</t>
      </text>
    </comment>
    <comment authorId="0" ref="I250">
      <text>
        <t xml:space="preserve">Responder updated this value.</t>
      </text>
    </comment>
    <comment authorId="0" ref="L250">
      <text>
        <t xml:space="preserve">Responder updated this value.</t>
      </text>
    </comment>
    <comment authorId="0" ref="G260">
      <text>
        <t xml:space="preserve">Responder updated this value.</t>
      </text>
    </comment>
    <comment authorId="0" ref="K260">
      <text>
        <t xml:space="preserve">Responder updated this value.</t>
      </text>
    </comment>
    <comment authorId="0" ref="E269">
      <text>
        <t xml:space="preserve">Responder updated this value.</t>
      </text>
    </comment>
    <comment authorId="0" ref="G269">
      <text>
        <t xml:space="preserve">Responder updated this value.</t>
      </text>
    </comment>
    <comment authorId="0" ref="I269">
      <text>
        <t xml:space="preserve">Responder updated this value.</t>
      </text>
    </comment>
    <comment authorId="0" ref="K269">
      <text>
        <t xml:space="preserve">Responder updated this value.</t>
      </text>
    </comment>
    <comment authorId="0" ref="L269">
      <text>
        <t xml:space="preserve">Responder updated this value.</t>
      </text>
    </comment>
    <comment authorId="0" ref="N269">
      <text>
        <t xml:space="preserve">Responder updated this value.</t>
      </text>
    </comment>
    <comment authorId="0" ref="G289">
      <text>
        <t xml:space="preserve">Responder updated this value.</t>
      </text>
    </comment>
    <comment authorId="0" ref="K289">
      <text>
        <t xml:space="preserve">Responder updated this value.</t>
      </text>
    </comment>
    <comment authorId="0" ref="L289">
      <text>
        <t xml:space="preserve">Responder updated this value.</t>
      </text>
    </comment>
    <comment authorId="0" ref="N289">
      <text>
        <t xml:space="preserve">Responder updated this value.</t>
      </text>
    </comment>
    <comment authorId="0" ref="G339">
      <text>
        <t xml:space="preserve">Responder updated this value.</t>
      </text>
    </comment>
    <comment authorId="0" ref="K339">
      <text>
        <t xml:space="preserve">Responder updated this value.</t>
      </text>
    </comment>
    <comment authorId="0" ref="I341">
      <text>
        <t xml:space="preserve">Responder updated this value.</t>
      </text>
    </comment>
    <comment authorId="0" ref="L341">
      <text>
        <t xml:space="preserve">Responder updated this value.</t>
      </text>
    </comment>
    <comment authorId="0" ref="N341">
      <text>
        <t xml:space="preserve">Responder updated this value.</t>
      </text>
    </comment>
    <comment authorId="0" ref="G342">
      <text>
        <t xml:space="preserve">Responder updated this value.</t>
      </text>
    </comment>
    <comment authorId="0" ref="I342">
      <text>
        <t xml:space="preserve">Responder updated this value.</t>
      </text>
    </comment>
    <comment authorId="0" ref="K342">
      <text>
        <t xml:space="preserve">Responder updated this value.</t>
      </text>
    </comment>
    <comment authorId="0" ref="L342">
      <text>
        <t xml:space="preserve">Responder updated this value.</t>
      </text>
    </comment>
    <comment authorId="0" ref="N342">
      <text>
        <t xml:space="preserve">Responder updated this value.</t>
      </text>
    </comment>
    <comment authorId="0" ref="E344">
      <text>
        <t xml:space="preserve">Responder updated this value.</t>
      </text>
    </comment>
    <comment authorId="0" ref="G344">
      <text>
        <t xml:space="preserve">Responder updated this value.</t>
      </text>
    </comment>
    <comment authorId="0" ref="I344">
      <text>
        <t xml:space="preserve">Responder updated this value.</t>
      </text>
    </comment>
    <comment authorId="0" ref="K344">
      <text>
        <t xml:space="preserve">Responder updated this value.</t>
      </text>
    </comment>
    <comment authorId="0" ref="L344">
      <text>
        <t xml:space="preserve">Responder updated this value.</t>
      </text>
    </comment>
    <comment authorId="0" ref="N344">
      <text>
        <t xml:space="preserve">Responder updated this value.</t>
      </text>
    </comment>
    <comment authorId="0" ref="G348">
      <text>
        <t xml:space="preserve">Responder updated this value.</t>
      </text>
    </comment>
    <comment authorId="0" ref="K348">
      <text>
        <t xml:space="preserve">Responder updated this value.</t>
      </text>
    </comment>
    <comment authorId="0" ref="N348">
      <text>
        <t xml:space="preserve">Responder updated this value.</t>
      </text>
    </comment>
    <comment authorId="0" ref="I355">
      <text>
        <t xml:space="preserve">Responder updated this value.</t>
      </text>
    </comment>
    <comment authorId="0" ref="L355">
      <text>
        <t xml:space="preserve">Responder updated this value.</t>
      </text>
    </comment>
    <comment authorId="0" ref="E357">
      <text>
        <t xml:space="preserve">Responder updated this value.</t>
      </text>
    </comment>
    <comment authorId="0" ref="I357">
      <text>
        <t xml:space="preserve">Responder updated this value.</t>
      </text>
    </comment>
    <comment authorId="0" ref="E358">
      <text>
        <t xml:space="preserve">Responder updated this value.</t>
      </text>
    </comment>
    <comment authorId="0" ref="I358">
      <text>
        <t xml:space="preserve">Responder updated this value.</t>
      </text>
    </comment>
    <comment authorId="0" ref="G365">
      <text>
        <t xml:space="preserve">Responder updated this value.</t>
      </text>
    </comment>
    <comment authorId="0" ref="L372">
      <text>
        <t xml:space="preserve">Responder updated this value.</t>
      </text>
    </comment>
    <comment authorId="0" ref="L373">
      <text>
        <t xml:space="preserve">Responder updated this value.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G35">
      <text>
        <t xml:space="preserve">Responder updated this value.</t>
      </text>
    </comment>
    <comment authorId="0" ref="K35">
      <text>
        <t xml:space="preserve">Responder updated this value.</t>
      </text>
    </comment>
    <comment authorId="0" ref="N35">
      <text>
        <t xml:space="preserve">Responder updated this value.</t>
      </text>
    </comment>
    <comment authorId="0" ref="A39">
      <text>
        <t xml:space="preserve">Responder updated this value.</t>
      </text>
    </comment>
    <comment authorId="0" ref="B39">
      <text>
        <t xml:space="preserve">Responder updated this value.</t>
      </text>
    </comment>
    <comment authorId="0" ref="C39">
      <text>
        <t xml:space="preserve">Responder updated this value.</t>
      </text>
    </comment>
    <comment authorId="0" ref="G39">
      <text>
        <t xml:space="preserve">Responder updated this value.</t>
      </text>
    </comment>
    <comment authorId="0" ref="K39">
      <text>
        <t xml:space="preserve">Responder updated this value.</t>
      </text>
    </comment>
    <comment authorId="0" ref="N39">
      <text>
        <t xml:space="preserve">Responder updated this value.</t>
      </text>
    </comment>
    <comment authorId="0" ref="L64">
      <text>
        <t xml:space="preserve">Responder updated this value.</t>
      </text>
    </comment>
    <comment authorId="0" ref="L87">
      <text>
        <t xml:space="preserve">Responder updated this value.</t>
      </text>
    </comment>
    <comment authorId="0" ref="E88">
      <text>
        <t xml:space="preserve">Responder updated this value.</t>
      </text>
    </comment>
    <comment authorId="0" ref="G88">
      <text>
        <t xml:space="preserve">Responder updated this value.</t>
      </text>
    </comment>
    <comment authorId="0" ref="I88">
      <text>
        <t xml:space="preserve">Responder updated this value.</t>
      </text>
    </comment>
    <comment authorId="0" ref="L88">
      <text>
        <t xml:space="preserve">Responder updated this value.</t>
      </text>
    </comment>
    <comment authorId="0" ref="N91">
      <text>
        <t xml:space="preserve">Responder updated this value.</t>
      </text>
    </comment>
    <comment authorId="0" ref="E94">
      <text>
        <t xml:space="preserve">Responder updated this value.</t>
      </text>
    </comment>
    <comment authorId="0" ref="G94">
      <text>
        <t xml:space="preserve">Responder updated this value.</t>
      </text>
    </comment>
    <comment authorId="0" ref="K94">
      <text>
        <t xml:space="preserve">Responder updated this value.</t>
      </text>
    </comment>
    <comment authorId="0" ref="L94">
      <text>
        <t xml:space="preserve">Responder updated this value.</t>
      </text>
    </comment>
    <comment authorId="0" ref="N94">
      <text>
        <t xml:space="preserve">Responder updated this value.</t>
      </text>
    </comment>
    <comment authorId="0" ref="E96">
      <text>
        <t xml:space="preserve">Responder updated this value.</t>
      </text>
    </comment>
    <comment authorId="0" ref="G96">
      <text>
        <t xml:space="preserve">Responder updated this value.</t>
      </text>
    </comment>
    <comment authorId="0" ref="K96">
      <text>
        <t xml:space="preserve">Responder updated this value.</t>
      </text>
    </comment>
    <comment authorId="0" ref="N96">
      <text>
        <t xml:space="preserve">Responder updated this value.</t>
      </text>
    </comment>
    <comment authorId="0" ref="K107">
      <text>
        <t xml:space="preserve">Responder updated this value.</t>
      </text>
    </comment>
    <comment authorId="0" ref="E113">
      <text>
        <t xml:space="preserve">Responder updated this value.</t>
      </text>
    </comment>
    <comment authorId="0" ref="G113">
      <text>
        <t xml:space="preserve">Responder updated this value.</t>
      </text>
    </comment>
    <comment authorId="0" ref="I113">
      <text>
        <t xml:space="preserve">Responder updated this value.</t>
      </text>
    </comment>
    <comment authorId="0" ref="K113">
      <text>
        <t xml:space="preserve">Responder updated this value.</t>
      </text>
    </comment>
    <comment authorId="0" ref="L113">
      <text>
        <t xml:space="preserve">Responder updated this value.</t>
      </text>
    </comment>
    <comment authorId="0" ref="N113">
      <text>
        <t xml:space="preserve">Responder updated this value.</t>
      </text>
    </comment>
    <comment authorId="0" ref="L139">
      <text>
        <t xml:space="preserve">Responder updated this value.</t>
      </text>
    </comment>
    <comment authorId="0" ref="G338">
      <text>
        <t xml:space="preserve">Responder updated this value.</t>
      </text>
    </comment>
    <comment authorId="0" ref="K338">
      <text>
        <t xml:space="preserve">Responder updated this value.</t>
      </text>
    </comment>
    <comment authorId="0" ref="I340">
      <text>
        <t xml:space="preserve">Responder updated this value.</t>
      </text>
    </comment>
    <comment authorId="0" ref="L340">
      <text>
        <t xml:space="preserve">Responder updated this value.</t>
      </text>
    </comment>
    <comment authorId="0" ref="N340">
      <text>
        <t xml:space="preserve">Responder updated this value.</t>
      </text>
    </comment>
    <comment authorId="0" ref="G341">
      <text>
        <t xml:space="preserve">Responder updated this value.</t>
      </text>
    </comment>
    <comment authorId="0" ref="I341">
      <text>
        <t xml:space="preserve">Responder updated this value.</t>
      </text>
    </comment>
    <comment authorId="0" ref="K341">
      <text>
        <t xml:space="preserve">Responder updated this value.</t>
      </text>
    </comment>
    <comment authorId="0" ref="L341">
      <text>
        <t xml:space="preserve">Responder updated this value.</t>
      </text>
    </comment>
    <comment authorId="0" ref="N341">
      <text>
        <t xml:space="preserve">Responder updated this value.</t>
      </text>
    </comment>
    <comment authorId="0" ref="E343">
      <text>
        <t xml:space="preserve">Responder updated this value.</t>
      </text>
    </comment>
    <comment authorId="0" ref="G343">
      <text>
        <t xml:space="preserve">Responder updated this value.</t>
      </text>
    </comment>
    <comment authorId="0" ref="I343">
      <text>
        <t xml:space="preserve">Responder updated this value.</t>
      </text>
    </comment>
    <comment authorId="0" ref="K343">
      <text>
        <t xml:space="preserve">Responder updated this value.</t>
      </text>
    </comment>
    <comment authorId="0" ref="L343">
      <text>
        <t xml:space="preserve">Responder updated this value.</t>
      </text>
    </comment>
    <comment authorId="0" ref="N343">
      <text>
        <t xml:space="preserve">Responder updated this value.</t>
      </text>
    </comment>
    <comment authorId="0" ref="G347">
      <text>
        <t xml:space="preserve">Responder updated this value.</t>
      </text>
    </comment>
    <comment authorId="0" ref="K347">
      <text>
        <t xml:space="preserve">Responder updated this value.</t>
      </text>
    </comment>
    <comment authorId="0" ref="N347">
      <text>
        <t xml:space="preserve">Responder updated this value.</t>
      </text>
    </comment>
    <comment authorId="0" ref="I354">
      <text>
        <t xml:space="preserve">Responder updated this value.</t>
      </text>
    </comment>
    <comment authorId="0" ref="L354">
      <text>
        <t xml:space="preserve">Responder updated this value.</t>
      </text>
    </comment>
    <comment authorId="0" ref="E356">
      <text>
        <t xml:space="preserve">Responder updated this value.</t>
      </text>
    </comment>
    <comment authorId="0" ref="I356">
      <text>
        <t xml:space="preserve">Responder updated this value.</t>
      </text>
    </comment>
    <comment authorId="0" ref="E357">
      <text>
        <t xml:space="preserve">Responder updated this value.</t>
      </text>
    </comment>
    <comment authorId="0" ref="I357">
      <text>
        <t xml:space="preserve">Responder updated this value.</t>
      </text>
    </comment>
    <comment authorId="0" ref="G364">
      <text>
        <t xml:space="preserve">Responder updated this value.</t>
      </text>
    </comment>
    <comment authorId="0" ref="L371">
      <text>
        <t xml:space="preserve">Responder updated this value.</t>
      </text>
    </comment>
    <comment authorId="0" ref="L372">
      <text>
        <t xml:space="preserve">Responder updated this value.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F7">
      <text>
        <t xml:space="preserve">Responder updated this value.</t>
      </text>
    </comment>
    <comment authorId="0" ref="H7">
      <text>
        <t xml:space="preserve">Responder updated this value.</t>
      </text>
    </comment>
    <comment authorId="0" ref="J7">
      <text>
        <t xml:space="preserve">Responder updated this value.</t>
      </text>
    </comment>
    <comment authorId="0" ref="M7">
      <text>
        <t xml:space="preserve">Responder updated this value.</t>
      </text>
    </comment>
    <comment authorId="0" ref="O34">
      <text>
        <t xml:space="preserve">Responder updated this value.</t>
      </text>
    </comment>
    <comment authorId="0" ref="F48">
      <text>
        <t xml:space="preserve">Responder updated this value.</t>
      </text>
    </comment>
    <comment authorId="0" ref="H48">
      <text>
        <t xml:space="preserve">Responder updated this value.</t>
      </text>
    </comment>
    <comment authorId="0" ref="L48">
      <text>
        <t xml:space="preserve">Responder updated this value.</t>
      </text>
    </comment>
    <comment authorId="0" ref="M48">
      <text>
        <t xml:space="preserve">Responder updated this value.</t>
      </text>
    </comment>
    <comment authorId="0" ref="O48">
      <text>
        <t xml:space="preserve">Responder updated this value.</t>
      </text>
    </comment>
    <comment authorId="0" ref="D50">
      <text>
        <t xml:space="preserve">Responder updated this value.</t>
      </text>
    </comment>
    <comment authorId="0" ref="H50">
      <text>
        <t xml:space="preserve">Responder updated this value.</t>
      </text>
    </comment>
    <comment authorId="0" ref="L50">
      <text>
        <t xml:space="preserve">Responder updated this value.</t>
      </text>
    </comment>
    <comment authorId="0" ref="O50">
      <text>
        <t xml:space="preserve">Responder updated this value.</t>
      </text>
    </comment>
    <comment authorId="0" ref="F56">
      <text>
        <t xml:space="preserve">Responder updated this value.</t>
      </text>
    </comment>
    <comment authorId="0" ref="J56">
      <text>
        <t xml:space="preserve">Responder updated this value.</t>
      </text>
    </comment>
    <comment authorId="0" ref="M56">
      <text>
        <t xml:space="preserve">Responder updated this value.</t>
      </text>
    </comment>
    <comment authorId="0" ref="H78">
      <text>
        <t xml:space="preserve">Responder updated this value.</t>
      </text>
    </comment>
    <comment authorId="0" ref="L78">
      <text>
        <t xml:space="preserve">Responder updated this value.</t>
      </text>
    </comment>
    <comment authorId="0" ref="F91">
      <text>
        <t xml:space="preserve">Responder updated this value.</t>
      </text>
    </comment>
    <comment authorId="0" ref="H91">
      <text>
        <t xml:space="preserve">Responder updated this value.</t>
      </text>
    </comment>
    <comment authorId="0" ref="J91">
      <text>
        <t xml:space="preserve">Responder updated this value.</t>
      </text>
    </comment>
    <comment authorId="0" ref="L91">
      <text>
        <t xml:space="preserve">Responder updated this value.</t>
      </text>
    </comment>
    <comment authorId="0" ref="M91">
      <text>
        <t xml:space="preserve">Responder updated this value.</t>
      </text>
    </comment>
    <comment authorId="0" ref="O91">
      <text>
        <t xml:space="preserve">Responder updated this value.</t>
      </text>
    </comment>
    <comment authorId="0" ref="H131">
      <text>
        <t xml:space="preserve">Responder updated this value.</t>
      </text>
    </comment>
    <comment authorId="0" ref="L131">
      <text>
        <t xml:space="preserve">Responder updated this value.</t>
      </text>
    </comment>
    <comment authorId="0" ref="M131">
      <text>
        <t xml:space="preserve">Responder updated this value.</t>
      </text>
    </comment>
    <comment authorId="0" ref="O131">
      <text>
        <t xml:space="preserve">Responder updated this value.</t>
      </text>
    </comment>
    <comment authorId="0" ref="L152">
      <text>
        <t xml:space="preserve">Responder updated this value.</t>
      </text>
    </comment>
    <comment authorId="0" ref="M157">
      <text>
        <t xml:space="preserve">Responder updated this value.</t>
      </text>
    </comment>
    <comment authorId="0" ref="H163">
      <text>
        <t xml:space="preserve">Responder updated this value.</t>
      </text>
    </comment>
    <comment authorId="0" ref="L163">
      <text>
        <t xml:space="preserve">Responder updated this value.</t>
      </text>
    </comment>
    <comment authorId="0" ref="O163">
      <text>
        <t xml:space="preserve">Responder updated this value.</t>
      </text>
    </comment>
    <comment authorId="0" ref="F198">
      <text>
        <t xml:space="preserve">Responder updated this value.</t>
      </text>
    </comment>
    <comment authorId="0" ref="H198">
      <text>
        <t xml:space="preserve">Responder updated this value.</t>
      </text>
    </comment>
    <comment authorId="0" ref="J198">
      <text>
        <t xml:space="preserve">Responder updated this value.</t>
      </text>
    </comment>
    <comment authorId="0" ref="L198">
      <text>
        <t xml:space="preserve">Responder updated this value.</t>
      </text>
    </comment>
    <comment authorId="0" ref="M198">
      <text>
        <t xml:space="preserve">Responder updated this value.</t>
      </text>
    </comment>
    <comment authorId="0" ref="O198">
      <text>
        <t xml:space="preserve">Responder updated this value.</t>
      </text>
    </comment>
    <comment authorId="0" ref="H254">
      <text>
        <t xml:space="preserve">Responder updated this value.</t>
      </text>
    </comment>
    <comment authorId="0" ref="L254">
      <text>
        <t xml:space="preserve">Responder updated this value.</t>
      </text>
    </comment>
    <comment authorId="0" ref="J258">
      <text>
        <t xml:space="preserve">Responder updated this value.</t>
      </text>
    </comment>
    <comment authorId="0" ref="M258">
      <text>
        <t xml:space="preserve">Responder updated this value.</t>
      </text>
    </comment>
    <comment authorId="0" ref="O258">
      <text>
        <t xml:space="preserve">Responder updated this value.</t>
      </text>
    </comment>
    <comment authorId="0" ref="F262">
      <text>
        <t xml:space="preserve">Responder updated this value.</t>
      </text>
    </comment>
    <comment authorId="0" ref="H262">
      <text>
        <t xml:space="preserve">Responder updated this value.</t>
      </text>
    </comment>
    <comment authorId="0" ref="J262">
      <text>
        <t xml:space="preserve">Responder updated this value.</t>
      </text>
    </comment>
    <comment authorId="0" ref="L262">
      <text>
        <t xml:space="preserve">Responder updated this value.</t>
      </text>
    </comment>
    <comment authorId="0" ref="M262">
      <text>
        <t xml:space="preserve">Responder updated this value.</t>
      </text>
    </comment>
    <comment authorId="0" ref="O262">
      <text>
        <t xml:space="preserve">Responder updated this value.</t>
      </text>
    </comment>
    <comment authorId="0" ref="H269">
      <text>
        <t xml:space="preserve">Responder updated this value.</t>
      </text>
    </comment>
    <comment authorId="0" ref="L269">
      <text>
        <t xml:space="preserve">Responder updated this value.</t>
      </text>
    </comment>
    <comment authorId="0" ref="O269">
      <text>
        <t xml:space="preserve">Responder updated this value.</t>
      </text>
    </comment>
    <comment authorId="0" ref="D274">
      <text>
        <t xml:space="preserve">Responder updated this value.</t>
      </text>
    </comment>
    <comment authorId="0" ref="A279">
      <text>
        <t xml:space="preserve">Responder updated this value.</t>
      </text>
    </comment>
    <comment authorId="0" ref="B279">
      <text>
        <t xml:space="preserve">Responder updated this value.</t>
      </text>
    </comment>
    <comment authorId="0" ref="D279">
      <text>
        <t xml:space="preserve">Responder updated this value.</t>
      </text>
    </comment>
    <comment authorId="0" ref="H279">
      <text>
        <t xml:space="preserve">Responder updated this value.</t>
      </text>
    </comment>
    <comment authorId="0" ref="L279">
      <text>
        <t xml:space="preserve">Responder updated this value.</t>
      </text>
    </comment>
    <comment authorId="0" ref="O279">
      <text>
        <t xml:space="preserve">Responder updated this value.</t>
      </text>
    </comment>
    <comment authorId="0" ref="J282">
      <text>
        <t xml:space="preserve">Responder updated this value.</t>
      </text>
    </comment>
    <comment authorId="0" ref="M282">
      <text>
        <t xml:space="preserve">Responder updated this value.</t>
      </text>
    </comment>
    <comment authorId="0" ref="F285">
      <text>
        <t xml:space="preserve">Responder updated this value.</t>
      </text>
    </comment>
    <comment authorId="0" ref="J285">
      <text>
        <t xml:space="preserve">Responder updated this value.</t>
      </text>
    </comment>
    <comment authorId="0" ref="F286">
      <text>
        <t xml:space="preserve">Responder updated this value.</t>
      </text>
    </comment>
    <comment authorId="0" ref="J286">
      <text>
        <t xml:space="preserve">Responder updated this value.</t>
      </text>
    </comment>
    <comment authorId="0" ref="H313">
      <text>
        <t xml:space="preserve">Responder updated this value.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O12">
      <text>
        <t xml:space="preserve">Responder updated this value.</t>
      </text>
    </comment>
    <comment authorId="0" ref="F18">
      <text>
        <t xml:space="preserve">Responder updated this value.</t>
      </text>
    </comment>
    <comment authorId="0" ref="H18">
      <text>
        <t xml:space="preserve">Responder updated this value.</t>
      </text>
    </comment>
    <comment authorId="0" ref="L18">
      <text>
        <t xml:space="preserve">Responder updated this value.</t>
      </text>
    </comment>
    <comment authorId="0" ref="M18">
      <text>
        <t xml:space="preserve">Responder updated this value.</t>
      </text>
    </comment>
    <comment authorId="0" ref="O18">
      <text>
        <t xml:space="preserve">Responder updated this value.</t>
      </text>
    </comment>
    <comment authorId="0" ref="D20">
      <text>
        <t xml:space="preserve">Responder updated this value.</t>
      </text>
    </comment>
    <comment authorId="0" ref="H20">
      <text>
        <t xml:space="preserve">Responder updated this value.</t>
      </text>
    </comment>
    <comment authorId="0" ref="L20">
      <text>
        <t xml:space="preserve">Responder updated this value.</t>
      </text>
    </comment>
    <comment authorId="0" ref="O20">
      <text>
        <t xml:space="preserve">Responder updated this value.</t>
      </text>
    </comment>
    <comment authorId="0" ref="H30">
      <text>
        <t xml:space="preserve">Responder updated this value.</t>
      </text>
    </comment>
    <comment authorId="0" ref="L30">
      <text>
        <t xml:space="preserve">Responder updated this value.</t>
      </text>
    </comment>
    <comment authorId="0" ref="F39">
      <text>
        <t xml:space="preserve">Responder updated this value.</t>
      </text>
    </comment>
    <comment authorId="0" ref="H39">
      <text>
        <t xml:space="preserve">Responder updated this value.</t>
      </text>
    </comment>
    <comment authorId="0" ref="J39">
      <text>
        <t xml:space="preserve">Responder updated this value.</t>
      </text>
    </comment>
    <comment authorId="0" ref="L39">
      <text>
        <t xml:space="preserve">Responder updated this value.</t>
      </text>
    </comment>
    <comment authorId="0" ref="M39">
      <text>
        <t xml:space="preserve">Responder updated this value.</t>
      </text>
    </comment>
    <comment authorId="0" ref="O39">
      <text>
        <t xml:space="preserve">Responder updated this value.</t>
      </text>
    </comment>
    <comment authorId="0" ref="H60">
      <text>
        <t xml:space="preserve">Responder updated this value.</t>
      </text>
    </comment>
    <comment authorId="0" ref="L60">
      <text>
        <t xml:space="preserve">Responder updated this value.</t>
      </text>
    </comment>
    <comment authorId="0" ref="M60">
      <text>
        <t xml:space="preserve">Responder updated this value.</t>
      </text>
    </comment>
    <comment authorId="0" ref="O60">
      <text>
        <t xml:space="preserve">Responder updated this value.</t>
      </text>
    </comment>
    <comment authorId="0" ref="L66">
      <text>
        <t xml:space="preserve">Responder updated this value.</t>
      </text>
    </comment>
    <comment authorId="0" ref="H72">
      <text>
        <t xml:space="preserve">Responder updated this value.</t>
      </text>
    </comment>
    <comment authorId="0" ref="L72">
      <text>
        <t xml:space="preserve">Responder updated this value.</t>
      </text>
    </comment>
    <comment authorId="0" ref="O72">
      <text>
        <t xml:space="preserve">Responder updated this value.</t>
      </text>
    </comment>
    <comment authorId="0" ref="F88">
      <text>
        <t xml:space="preserve">Responder updated this value.</t>
      </text>
    </comment>
    <comment authorId="0" ref="H88">
      <text>
        <t xml:space="preserve">Responder updated this value.</t>
      </text>
    </comment>
    <comment authorId="0" ref="J88">
      <text>
        <t xml:space="preserve">Responder updated this value.</t>
      </text>
    </comment>
    <comment authorId="0" ref="L88">
      <text>
        <t xml:space="preserve">Responder updated this value.</t>
      </text>
    </comment>
    <comment authorId="0" ref="M88">
      <text>
        <t xml:space="preserve">Responder updated this value.</t>
      </text>
    </comment>
    <comment authorId="0" ref="O88">
      <text>
        <t xml:space="preserve">Responder updated this value.</t>
      </text>
    </comment>
    <comment authorId="0" ref="F114">
      <text>
        <t xml:space="preserve">Responder updated this value.</t>
      </text>
    </comment>
    <comment authorId="0" ref="H114">
      <text>
        <t xml:space="preserve">Responder updated this value.</t>
      </text>
    </comment>
    <comment authorId="0" ref="J114">
      <text>
        <t xml:space="preserve">Responder updated this value.</t>
      </text>
    </comment>
    <comment authorId="0" ref="L114">
      <text>
        <t xml:space="preserve">Responder updated this value.</t>
      </text>
    </comment>
    <comment authorId="0" ref="M114">
      <text>
        <t xml:space="preserve">Responder updated this value.</t>
      </text>
    </comment>
    <comment authorId="0" ref="O114">
      <text>
        <t xml:space="preserve">Responder updated this value.</t>
      </text>
    </comment>
    <comment authorId="0" ref="A121">
      <text>
        <t xml:space="preserve">Responder updated this value.</t>
      </text>
    </comment>
    <comment authorId="0" ref="B121">
      <text>
        <t xml:space="preserve">Responder updated this value.</t>
      </text>
    </comment>
    <comment authorId="0" ref="D121">
      <text>
        <t xml:space="preserve">Responder updated this value.</t>
      </text>
    </comment>
    <comment authorId="0" ref="H121">
      <text>
        <t xml:space="preserve">Responder updated this value.</t>
      </text>
    </comment>
    <comment authorId="0" ref="L121">
      <text>
        <t xml:space="preserve">Responder updated this value.</t>
      </text>
    </comment>
    <comment authorId="0" ref="O121">
      <text>
        <t xml:space="preserve">Responder updated this value.</t>
      </text>
    </comment>
    <comment authorId="0" ref="F122">
      <text>
        <t xml:space="preserve">Responder updated this value.</t>
      </text>
    </comment>
    <comment authorId="0" ref="J122">
      <text>
        <t xml:space="preserve">Responder updated this value.</t>
      </text>
    </comment>
    <comment authorId="0" ref="H131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<sst xmlns="http://schemas.openxmlformats.org/spreadsheetml/2006/main" count="12649" uniqueCount="1963">
  <si>
    <t>Josephine Sun</t>
  </si>
  <si>
    <t>ICDC Top 20 (Finalists &amp; Top Testers)</t>
  </si>
  <si>
    <t>Hotel and Lodging Management (HLM)</t>
  </si>
  <si>
    <t>NA</t>
  </si>
  <si>
    <t>Hospitality and Tourism Professional Selling (HTPS)</t>
  </si>
  <si>
    <t>Personal Financial Literacy (PFL)</t>
  </si>
  <si>
    <t>Mishree Narasaiah</t>
  </si>
  <si>
    <t>Entrepreneurship (ETDM)</t>
  </si>
  <si>
    <t>Mishree Narasaiah, Rutu Ruparel</t>
  </si>
  <si>
    <t>Business Law and Ethics (BLTDM)</t>
  </si>
  <si>
    <t>Buying and Merchandising (BTDM)</t>
  </si>
  <si>
    <t>Uma Sthanu</t>
  </si>
  <si>
    <t>Professional Selling (PSE)</t>
  </si>
  <si>
    <t>Financial Consulting (FCE)</t>
  </si>
  <si>
    <t>Sahiti Oruganti</t>
  </si>
  <si>
    <t>Accounting Applications (ACT)</t>
  </si>
  <si>
    <t>Business Finance (BFS)</t>
  </si>
  <si>
    <t>Shrishti Mahajan</t>
  </si>
  <si>
    <t>Hospitality and Tourism Operations (HTOR)</t>
  </si>
  <si>
    <t>Shrishti Mahajan, Yujie Zhang, Shivani Kondubhatla</t>
  </si>
  <si>
    <t>Sports and Entertainment Marketing Operations (SEOR)</t>
  </si>
  <si>
    <t>Buying and Merchandising Operations (BMOR)</t>
  </si>
  <si>
    <t>Yujie Zhang</t>
  </si>
  <si>
    <t>Shivani Kondubhatla, Shrishti Mahajan, Yujie Zhang</t>
  </si>
  <si>
    <t>Saisha Siram</t>
  </si>
  <si>
    <t>Financial Literacy Project (PMFL)</t>
  </si>
  <si>
    <t>Business Services Operations (BOR)</t>
  </si>
  <si>
    <t>Phylicia Ren</t>
  </si>
  <si>
    <t>International Business Plan (IBP)</t>
  </si>
  <si>
    <t>Phylicia Ren, Tanvi Kadiri, Rifah Mirza</t>
  </si>
  <si>
    <t>Community Giving Project (PMCG)</t>
  </si>
  <si>
    <t>Isabella Shi</t>
  </si>
  <si>
    <t>Career Development Project (PMCD)</t>
  </si>
  <si>
    <t>Dawoon Jung, Chloe Oakley, Isabella Shi</t>
  </si>
  <si>
    <t>Business Solutions Project (PMBS)</t>
  </si>
  <si>
    <t>Sale Project (PMSP)</t>
  </si>
  <si>
    <t>Dawoon Jung</t>
  </si>
  <si>
    <t>Arnav Maskey</t>
  </si>
  <si>
    <t>Business Services Marketing (BSM)</t>
  </si>
  <si>
    <t>Food Marketing (FMS)</t>
  </si>
  <si>
    <t>Retail Merchandising (RMS)</t>
  </si>
  <si>
    <t>Vedant Desai</t>
  </si>
  <si>
    <t>Entrepreneurship (ENT)</t>
  </si>
  <si>
    <t>Tanvi Kadiri</t>
  </si>
  <si>
    <t>Tanvi Kadiri, Phylicia Ren, Rifah Mirza</t>
  </si>
  <si>
    <t>Rifah Mirza</t>
  </si>
  <si>
    <t>Rifah Mirza, Tanvi Kadiri, Phylicia Ren</t>
  </si>
  <si>
    <t>Independent Business Plan (EIB)</t>
  </si>
  <si>
    <t>Charlie Hui</t>
  </si>
  <si>
    <t>Shivani Kondubhatla</t>
  </si>
  <si>
    <t xml:space="preserve">Shivani Kondubhatla </t>
  </si>
  <si>
    <t>SHivani</t>
  </si>
  <si>
    <t>Camila Carrillo</t>
  </si>
  <si>
    <t>Camila Carrillo, Shuyu Lai, Sophie Liu</t>
  </si>
  <si>
    <t>Chloe Oakley</t>
  </si>
  <si>
    <t>Chloe Oakley, Olivia Jung, Isabella Shi</t>
  </si>
  <si>
    <t>Shuyu Lai</t>
  </si>
  <si>
    <t>Shuyu Lai, Camila Carrillo, Sophie Liu</t>
  </si>
  <si>
    <t>Shuyu Lai, Camilla Carrillo, Sophie Liu</t>
  </si>
  <si>
    <t>Yuyan Chen</t>
  </si>
  <si>
    <t>ICDC Qualifier</t>
  </si>
  <si>
    <t>Integrated Marketing Campaign - Service (IMCS)</t>
  </si>
  <si>
    <t>Yuyan Chen, Yoonjie Jung</t>
  </si>
  <si>
    <t>Integrated Marketing Campaign - Event (IMCE)</t>
  </si>
  <si>
    <t>Integrated Marketing Campaign - Product (IMCP)</t>
  </si>
  <si>
    <t>Rutu Ruparel</t>
  </si>
  <si>
    <t>Rutu Ruparel, Mishree Narasaiah</t>
  </si>
  <si>
    <t xml:space="preserve">Rutu Ruparel, Mishree Narasaiah </t>
  </si>
  <si>
    <t xml:space="preserve">Anchal, Yadav </t>
  </si>
  <si>
    <t>Anchal Yadav, Riti Meeniga, Yan Rong</t>
  </si>
  <si>
    <t>Neev Gupta</t>
  </si>
  <si>
    <t>Loy Bhowmick, Neev Gupta</t>
  </si>
  <si>
    <t>Marketing Management (MTDM)</t>
  </si>
  <si>
    <t>Shruthi Srikanth</t>
  </si>
  <si>
    <t>Travel and Tourism (TTDM)</t>
  </si>
  <si>
    <t>Marlene Luo, Shruthi Srikanth</t>
  </si>
  <si>
    <t>Hospitality Services (HTDM)</t>
  </si>
  <si>
    <t>Krishani Khanna</t>
  </si>
  <si>
    <t>Krishani Khanna, Kara Wang</t>
  </si>
  <si>
    <t xml:space="preserve">Yonnie Yang </t>
  </si>
  <si>
    <t xml:space="preserve">Yonnie Yang, Sriya Chakravarthy </t>
  </si>
  <si>
    <t>Samhita Guntakala</t>
  </si>
  <si>
    <t>Samhita Guntakala, Shrika Prakash</t>
  </si>
  <si>
    <t>Shivali Sahu</t>
  </si>
  <si>
    <t xml:space="preserve">Hannah Mary Vinesh </t>
  </si>
  <si>
    <t>Hannah Mary Vinesh, Preethi Ram and Shraddha Sule</t>
  </si>
  <si>
    <t>Hannah Mary Vinesh, Shraddha Sule and Preethi Ram</t>
  </si>
  <si>
    <t>Sevya Agarwal</t>
  </si>
  <si>
    <t>Aarya Kale</t>
  </si>
  <si>
    <t>Aarya Kale, Avishka Boina</t>
  </si>
  <si>
    <t>Avishka Boina</t>
  </si>
  <si>
    <t>Avishka Boina, Aarya Kale</t>
  </si>
  <si>
    <t>Sriya Chakravarthy</t>
  </si>
  <si>
    <t>Sriya Chakravarthy, Yonnie Yang</t>
  </si>
  <si>
    <t>Tarun Kallur</t>
  </si>
  <si>
    <t xml:space="preserve">Visshwa Balasubramanian </t>
  </si>
  <si>
    <t>Sports and Entertainment Marketing (STDM)</t>
  </si>
  <si>
    <t>Marlene Luo</t>
  </si>
  <si>
    <t>Daniel Nam</t>
  </si>
  <si>
    <t>Daniel Nam, Suchir Kumar</t>
  </si>
  <si>
    <t>Suchir Kumar</t>
  </si>
  <si>
    <t>Suchir Kumar, Daniel Nam</t>
  </si>
  <si>
    <t>Loy Bhowmick</t>
  </si>
  <si>
    <t>Adarsh Rajesh</t>
  </si>
  <si>
    <t>Medha Katragadda</t>
  </si>
  <si>
    <t>Human Resources Management (HRM)</t>
  </si>
  <si>
    <t>Vinay Reddy</t>
  </si>
  <si>
    <t>Krish Arora</t>
  </si>
  <si>
    <t>Shaurya Pathania</t>
  </si>
  <si>
    <t>Start-Up Business Plan (ESB)</t>
  </si>
  <si>
    <t>Shrey Birmiwal, Dhiyaan Nirmal, Shaurya Pathania</t>
  </si>
  <si>
    <t>Innovation Plan (EIP)</t>
  </si>
  <si>
    <t>Talia Philip</t>
  </si>
  <si>
    <t>Talia Philip, Cheyenne Wang</t>
  </si>
  <si>
    <t>Community Awareness Project (PMCA)</t>
  </si>
  <si>
    <t>Talia Philp, Cheyenne Wang</t>
  </si>
  <si>
    <t>Nandini Somarapu</t>
  </si>
  <si>
    <t>Aryan Sehgal</t>
  </si>
  <si>
    <t>State Finalist</t>
  </si>
  <si>
    <t>Aarohi Bhattacharya</t>
  </si>
  <si>
    <t>Quick Serve Restaurant Management (QSRM)</t>
  </si>
  <si>
    <t>Victor Lehr</t>
  </si>
  <si>
    <t>Farzana Khan</t>
  </si>
  <si>
    <t>Sibi Raja</t>
  </si>
  <si>
    <t>Sports and Entertainment Marketing (SEM)</t>
  </si>
  <si>
    <t>Financial Services (FTDM)</t>
  </si>
  <si>
    <t>Diya Shakkottai</t>
  </si>
  <si>
    <t>Howell Wu</t>
  </si>
  <si>
    <t>Howell Wu, Aaron Yeh</t>
  </si>
  <si>
    <t>Visshwa Balasubramanian</t>
  </si>
  <si>
    <t>Visshwa Balasubramanian, Tarun Kallur</t>
  </si>
  <si>
    <t>Eileen Wu</t>
  </si>
  <si>
    <t>Michelle Li, Eileen Wu</t>
  </si>
  <si>
    <t>Aayush Vishnoi</t>
  </si>
  <si>
    <t>Aayush Vishnoi, Siddhanth Ramachandran</t>
  </si>
  <si>
    <t>Harrison Malinger</t>
  </si>
  <si>
    <t>Harrison Malinger, Sawyer Grimaldi, Shridhar Nagaprabhu</t>
  </si>
  <si>
    <t>Rishitha Balla</t>
  </si>
  <si>
    <t>Allison Zhuang</t>
  </si>
  <si>
    <t>Franchise Business Plan (EFB)</t>
  </si>
  <si>
    <t>Romita Sur, Rounav Sur, Allison Zhuang</t>
  </si>
  <si>
    <t>Romita Sur</t>
  </si>
  <si>
    <t>Rounav Sur</t>
  </si>
  <si>
    <t>Rounav Sur, Romita Sur, Allison Zhuang</t>
  </si>
  <si>
    <t>James Li</t>
  </si>
  <si>
    <t>Romir Jain, James Li</t>
  </si>
  <si>
    <t>Adam Menezes</t>
  </si>
  <si>
    <t>Adam Menezes, Naithruv Kashyap, Vedanth Kashyap</t>
  </si>
  <si>
    <t>Dhiyaan Nirmal</t>
  </si>
  <si>
    <t>Prithvi Krishnan</t>
  </si>
  <si>
    <t>Aryan Bandi</t>
  </si>
  <si>
    <t>Aryan Bandi, Remy Simpson, Lily Yang</t>
  </si>
  <si>
    <t>Anika Aslesh</t>
  </si>
  <si>
    <t>State Qualifier</t>
  </si>
  <si>
    <t>Anika Aslesh, Sanjana Aslesh, Dhiya Balajee</t>
  </si>
  <si>
    <t>Sanjana Aslesh</t>
  </si>
  <si>
    <t>Sanjana Aslesh, Anika Aslesh, Dhiya Balajee</t>
  </si>
  <si>
    <t>Arnav Chinnappareddy</t>
  </si>
  <si>
    <t>Neha Reddy</t>
  </si>
  <si>
    <t>Sandali gangwar</t>
  </si>
  <si>
    <t>Dhiya Balajee</t>
  </si>
  <si>
    <t>Dhiya Balajee, Anika Aslesh, Sanjana Aslesh</t>
  </si>
  <si>
    <t>Savya Bhat</t>
  </si>
  <si>
    <t>Jeremy Yang</t>
  </si>
  <si>
    <t>Riti Meeniga</t>
  </si>
  <si>
    <t>Riti Meeniga, Anchal Yadav, Yan Rong</t>
  </si>
  <si>
    <t>Arunachalam Arunachalam</t>
  </si>
  <si>
    <t>Marketing Communications (MCS)</t>
  </si>
  <si>
    <t>Lian Wong</t>
  </si>
  <si>
    <t>Lian Wong, O’Viya Dinesh</t>
  </si>
  <si>
    <t>Finance Operations (FOR)</t>
  </si>
  <si>
    <t>Xinyi Lai</t>
  </si>
  <si>
    <t>Xinyi Lai, Reva Chandane, Meera Iyengar</t>
  </si>
  <si>
    <t>Meera Iyengar</t>
  </si>
  <si>
    <t>Meera Iyengar, Reva Chandane, Xinyi Lai</t>
  </si>
  <si>
    <t>Reva Chandane</t>
  </si>
  <si>
    <t>Reva Chandane, Xinyi Lai, Meera Iyengar</t>
  </si>
  <si>
    <t>Naina Asuthker</t>
  </si>
  <si>
    <t>Naina Asuthker, Anya Gupta</t>
  </si>
  <si>
    <t>Anya Gupta</t>
  </si>
  <si>
    <t>Anya Gupta, Naina Asuthker</t>
  </si>
  <si>
    <t>Ayan Nagulapally</t>
  </si>
  <si>
    <t>Shreyan Khanna</t>
  </si>
  <si>
    <t>Shreyan Khanna, Ruhan Gupta</t>
  </si>
  <si>
    <t>Business Growth Plan (EBG)</t>
  </si>
  <si>
    <t>O'Viya Dinesh</t>
  </si>
  <si>
    <t>O'Viya Dinesh, Lian Wong</t>
  </si>
  <si>
    <t>Shrika Prakash</t>
  </si>
  <si>
    <t>Aaron Yeh</t>
  </si>
  <si>
    <t>Aaron Yeh, Howell Wu</t>
  </si>
  <si>
    <t>Ian Shone</t>
  </si>
  <si>
    <t>Principles of Hospitality and Tourism (PHT)</t>
  </si>
  <si>
    <t>Mit Vadsaria</t>
  </si>
  <si>
    <t>Mit Vadsaria, Rayyan Maredia, Aalim Prasla</t>
  </si>
  <si>
    <t>Shrey Birmiwal</t>
  </si>
  <si>
    <t>Sudeep Tatineni</t>
  </si>
  <si>
    <t>Navaneeth Reddy Yarram, Sudeep Tatineni</t>
  </si>
  <si>
    <t>Navaneeth Yarram</t>
  </si>
  <si>
    <t>Navaneeth Yarram, Sudeep Tatineni</t>
  </si>
  <si>
    <t>Vishnu Mahadasu</t>
  </si>
  <si>
    <t>Soojin Ahn</t>
  </si>
  <si>
    <t>Jo-Hsuan Wei</t>
  </si>
  <si>
    <t>na</t>
  </si>
  <si>
    <t xml:space="preserve">Viraj Gadiya </t>
  </si>
  <si>
    <t>Restaurant and Food Service Management (RFSM)</t>
  </si>
  <si>
    <t>Melissa Liang</t>
  </si>
  <si>
    <t>Anamitra Ghosh</t>
  </si>
  <si>
    <t>Apparel and Accessories Marketing (AAM)</t>
  </si>
  <si>
    <t>Aayush Kumar</t>
  </si>
  <si>
    <t>Aadit Sharma</t>
  </si>
  <si>
    <t>Aadit Sharma, Ronit Singh</t>
  </si>
  <si>
    <t>Nithin Shankara</t>
  </si>
  <si>
    <t>Automotive Services Marketing (ASM)</t>
  </si>
  <si>
    <t>Nithin Shankara, Arnesh Chatterjee</t>
  </si>
  <si>
    <t>Nilan Nathan</t>
  </si>
  <si>
    <t>Zoeya Chowdhury, Nilan Nathan</t>
  </si>
  <si>
    <t>Helen Zhang</t>
  </si>
  <si>
    <t>Helen Zhang, William Zhang</t>
  </si>
  <si>
    <t>Mahathi Harith</t>
  </si>
  <si>
    <t>Arjun Bhardwaj</t>
  </si>
  <si>
    <t>Arjun Bhardwaj, Aarvin Hirode, Samarth Margasahayam</t>
  </si>
  <si>
    <t>Samarth Margasahayam</t>
  </si>
  <si>
    <t>Aarvin Hirode, Arjun Bhardwaj, Samarth Margasahayam</t>
  </si>
  <si>
    <t>Levi Kim</t>
  </si>
  <si>
    <t xml:space="preserve">Levi Kim, </t>
  </si>
  <si>
    <t>Levi Kim, Sahil Jain</t>
  </si>
  <si>
    <t>Lakshay batra</t>
  </si>
  <si>
    <t>Lakshay Batra, Anish Bhat</t>
  </si>
  <si>
    <t>Siddhanth Ramachandran</t>
  </si>
  <si>
    <t>Siddhanth Ramachandran, Aayush Vishnoi</t>
  </si>
  <si>
    <t>Sravya Akella</t>
  </si>
  <si>
    <t>Aarvin Hirode</t>
  </si>
  <si>
    <t>Ryan Lee</t>
  </si>
  <si>
    <t>Ishaan Sampat</t>
  </si>
  <si>
    <t>Alexander Skaff</t>
  </si>
  <si>
    <t>Rayan Dange</t>
  </si>
  <si>
    <t>Rayan Dange, Sambit Kanjilal</t>
  </si>
  <si>
    <t>Tiffany Gao</t>
  </si>
  <si>
    <t>Principles of Entrepreneurship (PEN)</t>
  </si>
  <si>
    <t>Vaishnavi Dhurjati</t>
  </si>
  <si>
    <t>Satyanandana Thallam</t>
  </si>
  <si>
    <t>Satyanandana Thallam, Lahari Gadi</t>
  </si>
  <si>
    <t>Lahari Gadi</t>
  </si>
  <si>
    <t>Lahari Gadi, Satyanandana Thallam</t>
  </si>
  <si>
    <t>Amogh Badrayani</t>
  </si>
  <si>
    <t>Bharath Kemburaj</t>
  </si>
  <si>
    <t>Akaash Reddy</t>
  </si>
  <si>
    <t>Akaash Reddy, Nirvik Pande</t>
  </si>
  <si>
    <t>Riya Chauhan</t>
  </si>
  <si>
    <t>Riya Chauhan, Anella Mason</t>
  </si>
  <si>
    <t>Guy Kahler</t>
  </si>
  <si>
    <t>Ali Aslam</t>
  </si>
  <si>
    <t>Ali Aslam, Shiven Makkar</t>
  </si>
  <si>
    <t>Shiven Makkar</t>
  </si>
  <si>
    <t>Shiven Makkar, Ali Aslam</t>
  </si>
  <si>
    <t>Benjamin Li, Andrew Zhang</t>
  </si>
  <si>
    <t>Prisha Mohan</t>
  </si>
  <si>
    <t>Brijnandan Saranu</t>
  </si>
  <si>
    <t>Brijnandan Saranu, Joshua Boersema</t>
  </si>
  <si>
    <t>Ananya Swaminathan</t>
  </si>
  <si>
    <t>Iba Haider</t>
  </si>
  <si>
    <t>Iba Haider, Violet Hewett</t>
  </si>
  <si>
    <t>Violet Hewett</t>
  </si>
  <si>
    <t>Violet Hewett, Iba Haider</t>
  </si>
  <si>
    <t>Lily Yang</t>
  </si>
  <si>
    <t>Zachary Stenglein</t>
  </si>
  <si>
    <t>Zachary Stenglein, Jack Chubick</t>
  </si>
  <si>
    <t>John Chubick</t>
  </si>
  <si>
    <t xml:space="preserve">John Chubick, Zachary Stenglein  </t>
  </si>
  <si>
    <t>Sidhant Sen</t>
  </si>
  <si>
    <t>Sidhant Sen, Prince Kumar</t>
  </si>
  <si>
    <t>Prince Kumar</t>
  </si>
  <si>
    <t>Prince Kumar, Sidhant Sen</t>
  </si>
  <si>
    <t xml:space="preserve">Giada Scaramuzza </t>
  </si>
  <si>
    <t xml:space="preserve">Aubrey Phu, Giada Scaramuzza </t>
  </si>
  <si>
    <t>Aubrey Phu, Giada Scaramuzza</t>
  </si>
  <si>
    <t>Aubrey Phu</t>
  </si>
  <si>
    <t>Aubrey Phu, Giada Scramuzza</t>
  </si>
  <si>
    <t>Avery Chen</t>
  </si>
  <si>
    <t>Rohit Pochugari</t>
  </si>
  <si>
    <t>Rohit Pochugari, Om Kalyani, Srirang Girish</t>
  </si>
  <si>
    <t>Nehan Maredia</t>
  </si>
  <si>
    <t>District Attendee</t>
  </si>
  <si>
    <t xml:space="preserve">Dheeshith Radjendran </t>
  </si>
  <si>
    <t>Yoonjie Jung</t>
  </si>
  <si>
    <t>Alisha Shireen</t>
  </si>
  <si>
    <t>Darryl Tang</t>
  </si>
  <si>
    <t>Shubhankar Deshpande, Darryl Tang</t>
  </si>
  <si>
    <t>NA, Darryl Tang</t>
  </si>
  <si>
    <t>Shubhankar Deshpande</t>
  </si>
  <si>
    <t>Shubhankar Deshpande, NA</t>
  </si>
  <si>
    <t>Suhan Venkat</t>
  </si>
  <si>
    <t>Suhan Venkat, Varun Sanghavi</t>
  </si>
  <si>
    <t>Varun Sanghavi</t>
  </si>
  <si>
    <t>Varun Sanghavi, Suhan Venkat</t>
  </si>
  <si>
    <t>Prithika Chandrasekar</t>
  </si>
  <si>
    <t>Elise Leclercq</t>
  </si>
  <si>
    <t>Yeissel Dameras, Elise Leclercq</t>
  </si>
  <si>
    <t>Elise Leclercq, Yeissel Dameras</t>
  </si>
  <si>
    <t>Nirvik Pande</t>
  </si>
  <si>
    <t>Nirvik Pande, Akaash Reddy</t>
  </si>
  <si>
    <t>Nirvik Pande (Me), Akaash Reddy (Teammate)</t>
  </si>
  <si>
    <t>Kara Wang</t>
  </si>
  <si>
    <t>Kara Wang, Krishani Khanna</t>
  </si>
  <si>
    <t>Haoxin Wang</t>
  </si>
  <si>
    <t>Haoxin Wang, Rupal Jain</t>
  </si>
  <si>
    <t>Evan Jaf</t>
  </si>
  <si>
    <t>Laasya Bysani</t>
  </si>
  <si>
    <t>Arshi Moozhikkara, Laasya Bysani</t>
  </si>
  <si>
    <t>Principles of Marketing (PMK)</t>
  </si>
  <si>
    <t>Sai Surapaneni</t>
  </si>
  <si>
    <t>Sai Surapaneni,  Saanvi Devpura, Pakhi Rai</t>
  </si>
  <si>
    <t>Pakhi Rai, Saanvi Devpura, Sai Surapaneni</t>
  </si>
  <si>
    <t>Saanvi Devpura</t>
  </si>
  <si>
    <t>Saanvi Devpura, Pakhi Rai, Sai Surapaneni</t>
  </si>
  <si>
    <t>Pio Stephan Antony</t>
  </si>
  <si>
    <t>Pio Stephan Antony, Rafael Longoria</t>
  </si>
  <si>
    <t>Shraddha Sule</t>
  </si>
  <si>
    <t>Shraddha Sule, Hannah Mary Vinesh, Preethi Ram</t>
  </si>
  <si>
    <t>Preethi Ram</t>
  </si>
  <si>
    <t xml:space="preserve">Preethi Ram, Hannahmary Vinesh, Shraddha Sule </t>
  </si>
  <si>
    <t>Rayyan Maredia</t>
  </si>
  <si>
    <t>Rayyan Maredia, Aalim Prasla, Mit Vadsaria</t>
  </si>
  <si>
    <t>Aalim Prasla</t>
  </si>
  <si>
    <t>Aalim Prasla, Rayyan Maredia, Mit Vadsaria</t>
  </si>
  <si>
    <t xml:space="preserve">Geet Nijhawan </t>
  </si>
  <si>
    <t xml:space="preserve">Geet Nijhawan and Emily Zhang </t>
  </si>
  <si>
    <t>Emily Zhang</t>
  </si>
  <si>
    <t>Emily Zhang and Geet Nijhawan</t>
  </si>
  <si>
    <t>Alexis Correia</t>
  </si>
  <si>
    <t>Shruti Sijaria</t>
  </si>
  <si>
    <t>Arhaan Jafri</t>
  </si>
  <si>
    <t>Arhaan Jafri, Srinesh Pentam</t>
  </si>
  <si>
    <t>Srinesh Pentam</t>
  </si>
  <si>
    <t>Srinesh Pentam, Arhaan Jafri</t>
  </si>
  <si>
    <t>Akshita Verma</t>
  </si>
  <si>
    <t>Pranavi Yadiki</t>
  </si>
  <si>
    <t>Pranavi Yadiki, Saanika Parikh, Ahanaa Satyanarayanan</t>
  </si>
  <si>
    <t>Saanika Parikh</t>
  </si>
  <si>
    <t>Saanika Parikh, Ahanaa Satyanarayanan, Pranavi Yadiki</t>
  </si>
  <si>
    <t>Ahanaa Satyanarayanan</t>
  </si>
  <si>
    <t>Ahanaa Satyanarayanan, Saanika Parkih, Pranavi Yadiki</t>
  </si>
  <si>
    <t>Ahanaa Satyanarayanan, Saanika Parikh, Pranavi Yadiki</t>
  </si>
  <si>
    <t>Misbah Ali</t>
  </si>
  <si>
    <t>Akshobhya manthati</t>
  </si>
  <si>
    <t>Akshobhya Manthati</t>
  </si>
  <si>
    <t>Rafael Longoria</t>
  </si>
  <si>
    <t>Ronit Singh</t>
  </si>
  <si>
    <t>Ronit Singh, Aadit Sharma</t>
  </si>
  <si>
    <t>Alexis Hwang</t>
  </si>
  <si>
    <t>Alexis Hwang, Mahek Sureka</t>
  </si>
  <si>
    <t>Samhita Nagarakanti</t>
  </si>
  <si>
    <t>Samhita Nagarakanti, Nishita Mukkara</t>
  </si>
  <si>
    <t>Nishita Mukkara</t>
  </si>
  <si>
    <t>Nishita Mukkara, Samhita Nagarakanti</t>
  </si>
  <si>
    <t>Isha Gokhale</t>
  </si>
  <si>
    <t>Krish Shenoy</t>
  </si>
  <si>
    <t>Sheerali Talati</t>
  </si>
  <si>
    <t>Parisha Acharya, Emily Rincon, Sheerali Talati</t>
  </si>
  <si>
    <t>Nova Wang</t>
  </si>
  <si>
    <t>Nova Wang, Elizabeth Ma</t>
  </si>
  <si>
    <t>Elizabeth Ma</t>
  </si>
  <si>
    <t>Elizabeth Ma, Nova Wang</t>
  </si>
  <si>
    <t>Sahil Jain</t>
  </si>
  <si>
    <t>Sahil Jain, Joshua Shen, Haein Jung</t>
  </si>
  <si>
    <t>Anish Bhat</t>
  </si>
  <si>
    <t>Anish Bhat, Lakshay Batra</t>
  </si>
  <si>
    <t>Michelle Li</t>
  </si>
  <si>
    <t>Vishan Lakhia</t>
  </si>
  <si>
    <t>Nicholas Ledesma</t>
  </si>
  <si>
    <t>Nicholas Ledesma, Aaron Yoo, Liam Beekman</t>
  </si>
  <si>
    <t>Parisha Acharya</t>
  </si>
  <si>
    <t>Parisha Acharya, Sheerali Talati, Emily Rincon</t>
  </si>
  <si>
    <t>Aishani Saha</t>
  </si>
  <si>
    <t>Aishani Saha, Member A, Betsy Soberanes, Member B, Rashi Sharma, Member C</t>
  </si>
  <si>
    <t>Rashi Sharma</t>
  </si>
  <si>
    <t>Rashi Sharma, member A, Aishani Saha, member B, Betsy Soberanes, member C</t>
  </si>
  <si>
    <t>Sawyer Grimaldi</t>
  </si>
  <si>
    <t>Harrison Mallenger, Shridar Nagaprahbu, Sawyer Grimaldi</t>
  </si>
  <si>
    <t>Emily Rincon</t>
  </si>
  <si>
    <t>Sheerali Talati, Emily Rincon, Parisha Acharya</t>
  </si>
  <si>
    <t>Nischal Kotamraju</t>
  </si>
  <si>
    <t>Tisya Dave</t>
  </si>
  <si>
    <t>Tisya Dave, Jordyn Choe</t>
  </si>
  <si>
    <t>Avani Gautam</t>
  </si>
  <si>
    <t xml:space="preserve">Aislynn karediya </t>
  </si>
  <si>
    <t xml:space="preserve">Aislynn karediya, Manha ali, Sofia prasla </t>
  </si>
  <si>
    <t>Shridhar</t>
  </si>
  <si>
    <t>Shridhar Nagaprabhu, Harrison Mallinger, Sawyer Grimaldi</t>
  </si>
  <si>
    <t>Rachana Akkineni</t>
  </si>
  <si>
    <t>Rachana Akkineni, Maya Rajan, Alexandra Oancea</t>
  </si>
  <si>
    <t>Ethan Grigsby</t>
  </si>
  <si>
    <t>Sai Anumakonda</t>
  </si>
  <si>
    <t>Jai Shenoy</t>
  </si>
  <si>
    <t>Nitya Dani</t>
  </si>
  <si>
    <t>Varun Aditya Nanduri</t>
  </si>
  <si>
    <t>Haein Jung</t>
  </si>
  <si>
    <t>Haein Jung, Joshua Shen, Sahil Jain</t>
  </si>
  <si>
    <t>Joshua Shen</t>
  </si>
  <si>
    <t>Joshua Shen, Haein Jung, Sahil Jain</t>
  </si>
  <si>
    <t>Roger Peng</t>
  </si>
  <si>
    <t>Principles of Finance (PFN)</t>
  </si>
  <si>
    <t>Benjamin Schwarzenbach</t>
  </si>
  <si>
    <t>Alexandra Oancea</t>
  </si>
  <si>
    <t>Alexandra Oancea, Rachana Akkineni, Maya Rajan</t>
  </si>
  <si>
    <t>Swasti Sogani</t>
  </si>
  <si>
    <t>Jatin Aggarwal</t>
  </si>
  <si>
    <t>Prajna Parajuli</t>
  </si>
  <si>
    <t>Arjun Kurane</t>
  </si>
  <si>
    <t>JingBin Tan</t>
  </si>
  <si>
    <t>Byron Schneider, JingBin Tan</t>
  </si>
  <si>
    <t>Byron Schneider</t>
  </si>
  <si>
    <t>Amira Benchouia</t>
  </si>
  <si>
    <t xml:space="preserve">Yasmine Siba, Amira Benchouia </t>
  </si>
  <si>
    <t>Yasmine Siba</t>
  </si>
  <si>
    <t>Elena Xiao</t>
  </si>
  <si>
    <t>Emily Xue, Elena Xiao</t>
  </si>
  <si>
    <t>Emily Xue</t>
  </si>
  <si>
    <t>Paul Tutuc</t>
  </si>
  <si>
    <t>Paul Tutuc, Dhruv Ray</t>
  </si>
  <si>
    <t>Dhruv Gupta Ray</t>
  </si>
  <si>
    <t>Dhruv Ray, Paul Tutuc</t>
  </si>
  <si>
    <t>Srivibhav Tamarapalli</t>
  </si>
  <si>
    <t>Puyan Heidari, Srivibhav Tamarapalli</t>
  </si>
  <si>
    <t>Puyan Heidari</t>
  </si>
  <si>
    <t>Nimalan Pari</t>
  </si>
  <si>
    <t>Andrew Zhang</t>
  </si>
  <si>
    <t>Andrew Zhang, Ian Shone, Benjamin Li</t>
  </si>
  <si>
    <t>Benjamin Li</t>
  </si>
  <si>
    <t>Benjamin Li, Ian Shone, Andrew Zhang</t>
  </si>
  <si>
    <t>Aman Dave</t>
  </si>
  <si>
    <t>Aman Dave, Hanish Mamidi</t>
  </si>
  <si>
    <t>Hanish Mamidi</t>
  </si>
  <si>
    <t>Hanish Mamidi, Aman Dave</t>
  </si>
  <si>
    <t>Srivibhav Tamarapalli, Puyan Heidari</t>
  </si>
  <si>
    <t>Jackson Cobb</t>
  </si>
  <si>
    <t>Emma Rincon</t>
  </si>
  <si>
    <t>Emma Rincon, Satchi Patki</t>
  </si>
  <si>
    <t>Satchi Patki</t>
  </si>
  <si>
    <t>Satchi Patki, Emma Rincon</t>
  </si>
  <si>
    <t>Rafay Chaudhry</t>
  </si>
  <si>
    <t>Cara Weinstein</t>
  </si>
  <si>
    <t>Cara Weinstein, Payton Vopat</t>
  </si>
  <si>
    <t>Remy Simpson</t>
  </si>
  <si>
    <t>Aryan Bandi, Lily Yang, Remy Simpson</t>
  </si>
  <si>
    <t>Zuhair Amin</t>
  </si>
  <si>
    <t>Nikhita Thirukonda</t>
  </si>
  <si>
    <t>Maruthivenkata Chebiyyam</t>
  </si>
  <si>
    <t>Abraham Wilson Kunnan, Maruthivenkata SaiKarthik Chebiyyam</t>
  </si>
  <si>
    <t>Abraham Wilson Kunnan</t>
  </si>
  <si>
    <t>Maruthivenkata SaiKarthik Chebiyyam, Abraham Wilson Kunnan</t>
  </si>
  <si>
    <t>Roshni Muthuswamy</t>
  </si>
  <si>
    <t>Roshni Muthuswamy, Soomin Oh</t>
  </si>
  <si>
    <t>Lasyasri Mutluru</t>
  </si>
  <si>
    <t>Santosh Balasubramanian</t>
  </si>
  <si>
    <t>Na</t>
  </si>
  <si>
    <t>Harry Zhang</t>
  </si>
  <si>
    <t>Harry Zhang, Justin Cheng</t>
  </si>
  <si>
    <t>Sarah Yang</t>
  </si>
  <si>
    <t>I'm a 1st year member!</t>
  </si>
  <si>
    <t>Sarah Yang, Anandiganga Raj</t>
  </si>
  <si>
    <t>Anandiganga Raj</t>
  </si>
  <si>
    <t>Anandiganga Raj, Sarah Yang</t>
  </si>
  <si>
    <t>Tanvi Chakka</t>
  </si>
  <si>
    <t>Nithin Reddy Vemula</t>
  </si>
  <si>
    <t>Principles of Business Management and Administration (PBM)</t>
  </si>
  <si>
    <t>Ruhan Gupta</t>
  </si>
  <si>
    <t>Ruhan Gupta, Shreyan Khanna</t>
  </si>
  <si>
    <t>Karthik Gundam</t>
  </si>
  <si>
    <t>Laura Varela</t>
  </si>
  <si>
    <t>Ava Stidvent</t>
  </si>
  <si>
    <t>Rupal Jain</t>
  </si>
  <si>
    <t>Rupal Jain, Haoxin Wang</t>
  </si>
  <si>
    <t>Yan Rong</t>
  </si>
  <si>
    <t>Yan Rong, Riti Meeniga, Aachal Yadav</t>
  </si>
  <si>
    <t>Akshara Reddy</t>
  </si>
  <si>
    <t>Mokshaa Rao</t>
  </si>
  <si>
    <t>Jiya Guleria</t>
  </si>
  <si>
    <t>Jiya Guleria, Nishka Gupta</t>
  </si>
  <si>
    <t>Nathaniel Horton</t>
  </si>
  <si>
    <t xml:space="preserve">Myra Kandhari </t>
  </si>
  <si>
    <t xml:space="preserve">Myra Kandhari, Shloka Gurram, Tanya Pant </t>
  </si>
  <si>
    <t xml:space="preserve">Myra Kandhari, Shloka Gurram </t>
  </si>
  <si>
    <t>Shloka Gurram</t>
  </si>
  <si>
    <t>Myra Kandhari, Tanya Pant, Shloka Gurram</t>
  </si>
  <si>
    <t>Myra Kandhari, Shloka Gurram</t>
  </si>
  <si>
    <t>Pakhi Rai</t>
  </si>
  <si>
    <t>Tanya Pant</t>
  </si>
  <si>
    <t>Tanya Pant, Myra Kandhari, and shloka  Gurram</t>
  </si>
  <si>
    <t>Bella Wen</t>
  </si>
  <si>
    <t>Elaine Liu, Doris Peng, Bella Wen</t>
  </si>
  <si>
    <t>Elaine Liu</t>
  </si>
  <si>
    <t>Elaine Liu, Bella Wen, Doris Peng</t>
  </si>
  <si>
    <t>Vedanth Kashyap</t>
  </si>
  <si>
    <t>Vedanth Kashyap, Naithruv Kashyap, Adam Menezes</t>
  </si>
  <si>
    <t>Blake Bhavsar</t>
  </si>
  <si>
    <t xml:space="preserve">Blake Bhavsar, Nikhil srinivasan and Silas fletcher </t>
  </si>
  <si>
    <t>Silas Fletcher</t>
  </si>
  <si>
    <t>Member A - Silas Fletcher, Member B - Nikhil Srinivasan, Member C - Blake Bhavsar</t>
  </si>
  <si>
    <t>Nikhil Srinivasan</t>
  </si>
  <si>
    <t>Nikhil Srinivasan, Silas Fletcher, Blake Bhavsar</t>
  </si>
  <si>
    <t>Naithruv Kashyap</t>
  </si>
  <si>
    <t>Naithruv Kashyap, Adam Menezes, Vedanth Kashyap</t>
  </si>
  <si>
    <t>Doris Peng</t>
  </si>
  <si>
    <t>Doris Peng, Bella Wen, Elaine Liu</t>
  </si>
  <si>
    <t>Zoeya Chowdhury</t>
  </si>
  <si>
    <t>Evelyn Stidvent</t>
  </si>
  <si>
    <t>Romir Dukeshier</t>
  </si>
  <si>
    <t>Romir Dukeshier, Aarush Chittineni, Rithwik Nair</t>
  </si>
  <si>
    <t>Catherine Zheng</t>
  </si>
  <si>
    <t xml:space="preserve">Raina Nasta </t>
  </si>
  <si>
    <t>Raina Nasta, Vishwa Parakkuth</t>
  </si>
  <si>
    <t>Vishwa Parakkuth</t>
  </si>
  <si>
    <t>Vishwa Parakkuth, Raina Nasta</t>
  </si>
  <si>
    <t>Aarush Chittineni</t>
  </si>
  <si>
    <t>Aarush Chittineni, Romir Dukeshier, Rithwik Nair</t>
  </si>
  <si>
    <t>Asna Kadiwal</t>
  </si>
  <si>
    <t>Asna Kadiwal and Sofia Finkbeiner</t>
  </si>
  <si>
    <t>Sofia Finkbeiner</t>
  </si>
  <si>
    <t>Sofia Finkbeiner, Asna Kadiwal</t>
  </si>
  <si>
    <t>Arya Pillai</t>
  </si>
  <si>
    <t xml:space="preserve">Arya Pillai, member A, Holly Ng, member B </t>
  </si>
  <si>
    <t>Holly Ng</t>
  </si>
  <si>
    <t>Holly Ng, Member A, Arya Pillai, member B</t>
  </si>
  <si>
    <t>Aysenur Musta</t>
  </si>
  <si>
    <t>Aysenur Musta, Sarah Fattu, Ahanti Hossain</t>
  </si>
  <si>
    <t>Maya Alas</t>
  </si>
  <si>
    <t>Arjun Parthipan</t>
  </si>
  <si>
    <t>Rithwik Nair</t>
  </si>
  <si>
    <t>Rithwik Nair, Romir Dukeshier, Aarush Chittineni</t>
  </si>
  <si>
    <t>Aneesh Dambal</t>
  </si>
  <si>
    <t>Aneesh Dambal, Sujaykiran Arumugam</t>
  </si>
  <si>
    <t>Sujaykiran Arumugam</t>
  </si>
  <si>
    <t xml:space="preserve">Nathan Aguilar </t>
  </si>
  <si>
    <t xml:space="preserve">Nathan Aguilar, Sydney Daigle </t>
  </si>
  <si>
    <t xml:space="preserve">Sydney Daigle </t>
  </si>
  <si>
    <t xml:space="preserve">Sydney Daigle, Nathan Aguilar </t>
  </si>
  <si>
    <t>Nihal Grandhi</t>
  </si>
  <si>
    <t>Elly Chen</t>
  </si>
  <si>
    <t>Elly Chen, Vanessa Guan, Kylie Xu</t>
  </si>
  <si>
    <t>Vanessa Guan</t>
  </si>
  <si>
    <t>Vanessa guan and elly chen</t>
  </si>
  <si>
    <t>Vandya  Agarwal</t>
  </si>
  <si>
    <t>Abhiram Donepudi</t>
  </si>
  <si>
    <t>Abhinay Laggeri</t>
  </si>
  <si>
    <t>Abhinay Laggeri, Anmol Ranjan, Siddarth Gunasekar</t>
  </si>
  <si>
    <t>Saharsh Gurram</t>
  </si>
  <si>
    <t>Julianne Wu</t>
  </si>
  <si>
    <t>Julianne Wu, Erin Shin</t>
  </si>
  <si>
    <t>Julianne Wu, Mia</t>
  </si>
  <si>
    <t>Julianne Wu, Mia Shetty</t>
  </si>
  <si>
    <t>Lakshmi Ananya Parim</t>
  </si>
  <si>
    <t xml:space="preserve">Lakshmi Ananya Parim and Sia Kaushik </t>
  </si>
  <si>
    <t>Lakshmi Ananya Parim and Sia Kaushik</t>
  </si>
  <si>
    <t>James Allen</t>
  </si>
  <si>
    <t>Nishka Gupta</t>
  </si>
  <si>
    <t>Nishka Gupta, Jiya Guleria</t>
  </si>
  <si>
    <t xml:space="preserve">Chahat Maheshwari </t>
  </si>
  <si>
    <t>Chahat Maheshwari, Diya Trivedi, Aarya Kale</t>
  </si>
  <si>
    <t>Chahat Maheshwari, Diya Trivedi, Aarya Kale' 28</t>
  </si>
  <si>
    <t>Mahek Sureka</t>
  </si>
  <si>
    <t>Sureka</t>
  </si>
  <si>
    <t>Apple Ma</t>
  </si>
  <si>
    <t>Yi Heng Chen</t>
  </si>
  <si>
    <t>William Zhang</t>
  </si>
  <si>
    <t>William Zhang, Helen Zhang</t>
  </si>
  <si>
    <t>Mia Shetty</t>
  </si>
  <si>
    <t>Mia Shetty, Julianne Wu</t>
  </si>
  <si>
    <t xml:space="preserve">Aarya Kale, Chahat Maheshwari, Diya Trivedi </t>
  </si>
  <si>
    <t>Anmol Ranjan</t>
  </si>
  <si>
    <t>Abhinay Laggeri, Siddarth Gunasekar, Anmol Ranjan</t>
  </si>
  <si>
    <t>Isabelle Call</t>
  </si>
  <si>
    <t>Isabelle Call, Preeya Panwalker, Sailee Chitari</t>
  </si>
  <si>
    <t>Sailee Chitari</t>
  </si>
  <si>
    <t>Sailee Chitari, Preeya Panwalker, Isabelle Call</t>
  </si>
  <si>
    <t>Panwalker Preeya</t>
  </si>
  <si>
    <t>Preeya Panwalker, Sailee Chitari , Isabelle Call</t>
  </si>
  <si>
    <t xml:space="preserve">Sailee Chitari , Isabelle Call, Preeya Panwalker </t>
  </si>
  <si>
    <t>Eshanya Kishore</t>
  </si>
  <si>
    <t xml:space="preserve">Erin Shin </t>
  </si>
  <si>
    <t>Erin Shin</t>
  </si>
  <si>
    <t>Erin Shin, Julianne Wu</t>
  </si>
  <si>
    <t>kylie xu elly chen vanessa guan</t>
  </si>
  <si>
    <t>Aswan Kadiwal</t>
  </si>
  <si>
    <t xml:space="preserve"> Nehan Maredia, Aswan Kadiwal</t>
  </si>
  <si>
    <t>Varun Harith</t>
  </si>
  <si>
    <t>William Du</t>
  </si>
  <si>
    <t>William Du, Aarav Karumanchi</t>
  </si>
  <si>
    <t>Aarav Karumanchi</t>
  </si>
  <si>
    <t>Aarav Karumanchi, William Du</t>
  </si>
  <si>
    <t>Audrey Savoie</t>
  </si>
  <si>
    <t>Audrey Savoie, MacKenzie Klindworth</t>
  </si>
  <si>
    <t>MacKenzie Klindworth</t>
  </si>
  <si>
    <t>Sean Yohann Armendi</t>
  </si>
  <si>
    <t>Jadyn Kennedy</t>
  </si>
  <si>
    <t>Ayushi Thakur</t>
  </si>
  <si>
    <t>Ayushi Thakur, Jaishna Gaddam</t>
  </si>
  <si>
    <t>Ishaan Sagar</t>
  </si>
  <si>
    <t>Ishaan Sagar, Bryan Li, Aditya Bhadra</t>
  </si>
  <si>
    <t>Aaron Yoo</t>
  </si>
  <si>
    <t>Aaron Yoo, Nicholas Ledesma, Liam Beekman</t>
  </si>
  <si>
    <t>Liam Beekman</t>
  </si>
  <si>
    <t>Liam Beekman, Nicholas Ledesma, Aaron Yoo</t>
  </si>
  <si>
    <t>Ahanti Hossain</t>
  </si>
  <si>
    <t>Ahanti Hossain, Aysenur Musta, Sarah Fattu</t>
  </si>
  <si>
    <t>Sarah Fattu</t>
  </si>
  <si>
    <t>Sarah Fattu, Ahanti Hossain, Aysenur Musta</t>
  </si>
  <si>
    <t>Betsy Soberanes</t>
  </si>
  <si>
    <t>Betsy Soberanes, Member A, Aishani Saha, Member B, Rashi Sharma, Member C</t>
  </si>
  <si>
    <t>Sia Kaushik</t>
  </si>
  <si>
    <t>Sia Kaushik, Lakshmi Ananya Parim</t>
  </si>
  <si>
    <t xml:space="preserve">Deekshita Sivakumar </t>
  </si>
  <si>
    <t>Bryan Li</t>
  </si>
  <si>
    <t>Bryan Li, Ishaan Sagar, Aditya Bhadra</t>
  </si>
  <si>
    <t>Jordyn Choe</t>
  </si>
  <si>
    <t>Jordyn Choe, Tisya Dave</t>
  </si>
  <si>
    <t>Member A- Jordyn Choe, Member B- Tisya Dave</t>
  </si>
  <si>
    <t>Alyssa Li</t>
  </si>
  <si>
    <t>Alyssa Li,  Emma Xia</t>
  </si>
  <si>
    <t>me: Alyssa Li, team member: Emma Xia</t>
  </si>
  <si>
    <t>Manha Ali</t>
  </si>
  <si>
    <t xml:space="preserve">Manha Ali, Aislynn Karediya, Sofia Prasla </t>
  </si>
  <si>
    <t xml:space="preserve">Sofia Prasla </t>
  </si>
  <si>
    <t>Sofia Prasla, Manha Ali, Aislynn Karediya</t>
  </si>
  <si>
    <t xml:space="preserve">Sofia Prasla, Manha Ali, Aislynn Karediya </t>
  </si>
  <si>
    <t>Sofia Hooker-Endonino</t>
  </si>
  <si>
    <t>Aarav Singh</t>
  </si>
  <si>
    <t>magdelyne hang</t>
  </si>
  <si>
    <t xml:space="preserve">Magdelyne hang, Molly johnson </t>
  </si>
  <si>
    <t>Magdelyne hang, molly johnson</t>
  </si>
  <si>
    <t>Emma Xia</t>
  </si>
  <si>
    <t>Emma Xia, Alyssa Li</t>
  </si>
  <si>
    <t>Me: Emma Xia, Team member: Alyssa Li</t>
  </si>
  <si>
    <t>yeissel dameras</t>
  </si>
  <si>
    <t>elise Leclercq, Yeissel Dameras</t>
  </si>
  <si>
    <t>Alexandre Montillet</t>
  </si>
  <si>
    <t>Jay Patel, Alexandre M</t>
  </si>
  <si>
    <t>Siddarth Gunasekar</t>
  </si>
  <si>
    <t>Siddarth Gunasekar, Abhinay Laggeri, Anmol Ranjan</t>
  </si>
  <si>
    <t>Siddharth Gunasekar  Abhinay Laggeri</t>
  </si>
  <si>
    <t>Anmol Ranjan Siddharth Gunasekar Abhinay Laggeri</t>
  </si>
  <si>
    <t>Haolang Liu</t>
  </si>
  <si>
    <t>Haolang Liu, Yanqing Hua</t>
  </si>
  <si>
    <t>Maya Rajan</t>
  </si>
  <si>
    <t>Maya Rajan, Rachana Akkineni, Alexandra Oancea</t>
  </si>
  <si>
    <t>Paula Barquero</t>
  </si>
  <si>
    <t>Paula Barquero, Abigail Denison</t>
  </si>
  <si>
    <t>Krupal Yarram</t>
  </si>
  <si>
    <t>Krupal Yarram, Nevaan Dwivedi</t>
  </si>
  <si>
    <t>Krupal Yarram , Nevaan Dwivedi</t>
  </si>
  <si>
    <t>Nevaan Dwivedi</t>
  </si>
  <si>
    <t>Nevaan Dwivedi, Krupal Reddy Yarram</t>
  </si>
  <si>
    <t>Grant Qu</t>
  </si>
  <si>
    <t>Grant Qu, Raadhika Singh, Anagha Mohan</t>
  </si>
  <si>
    <t>Anagha Mohan</t>
  </si>
  <si>
    <t>Raadhika Singh, Anagha Mohan, Grant Qu</t>
  </si>
  <si>
    <t>Raadhika Singh</t>
  </si>
  <si>
    <t>Isaac Kao</t>
  </si>
  <si>
    <t>Abigail Denison</t>
  </si>
  <si>
    <t>Abigail Denison, Paula Barquero</t>
  </si>
  <si>
    <t>Reesha Malpani</t>
  </si>
  <si>
    <t>Reesha Malpani, Sahana Jelakara</t>
  </si>
  <si>
    <t>Sahana Jelakara</t>
  </si>
  <si>
    <t>Sahana Jelakara, Reesha Malpani</t>
  </si>
  <si>
    <t xml:space="preserve">Aattoja  Das </t>
  </si>
  <si>
    <t>Cecilia Chen</t>
  </si>
  <si>
    <t>Kyla Cretencio</t>
  </si>
  <si>
    <t>Lucinda McWilliams</t>
  </si>
  <si>
    <t>Lucinda McWilliams, Ashka Rajbhandari</t>
  </si>
  <si>
    <t>Ashka Rajbhandari</t>
  </si>
  <si>
    <t>Ashka Rajbhandari, Lucinda McWilliams</t>
  </si>
  <si>
    <t>Daniel Yang</t>
  </si>
  <si>
    <t>Basil Vinesh</t>
  </si>
  <si>
    <t>Basil Vinesh, Marcus Fung, Andrew Feng</t>
  </si>
  <si>
    <t>Marcus Fung</t>
  </si>
  <si>
    <t>Marcus Fung, Andrew Feng, Basil Vinesh</t>
  </si>
  <si>
    <t>Andrew Feng</t>
  </si>
  <si>
    <t>Andrew Feng, Basil Vinesh, Marcus Fung</t>
  </si>
  <si>
    <t>Owen Kim</t>
  </si>
  <si>
    <t>Owen Kim, (need partner)</t>
  </si>
  <si>
    <t>Ender Cotty</t>
  </si>
  <si>
    <t xml:space="preserve">Ender Cotty, Lucia Calonge </t>
  </si>
  <si>
    <t>Aleeza</t>
  </si>
  <si>
    <t xml:space="preserve">Yasmine Siba </t>
  </si>
  <si>
    <t xml:space="preserve">Yasmine Siba &amp; Amira Benchouia </t>
  </si>
  <si>
    <t>Yasmine Siba &amp; Amira Benchouia</t>
  </si>
  <si>
    <t>Saachi Chandrakar</t>
  </si>
  <si>
    <t>Pramithi Akula, Trisha Tiwari, Saachi Chandrakak</t>
  </si>
  <si>
    <t>Pramithi akula</t>
  </si>
  <si>
    <t>Pramithi Akula, Trisha Tiwari, Saachi Chandrakar</t>
  </si>
  <si>
    <t>Anella Mason</t>
  </si>
  <si>
    <t>Anella Mason, Riya Chauhan</t>
  </si>
  <si>
    <t>Shaurya Singh</t>
  </si>
  <si>
    <t>Nandhini Arunachalam</t>
  </si>
  <si>
    <t>Khyathi Vangali, Nandhini Arunachalam</t>
  </si>
  <si>
    <t>Khyathi Vangali</t>
  </si>
  <si>
    <t>Nandhini Arunachalam, Khyathi Vangali</t>
  </si>
  <si>
    <t>Atticus Lewis</t>
  </si>
  <si>
    <t>Gavin Wang</t>
  </si>
  <si>
    <t>Reett Aulakh</t>
  </si>
  <si>
    <t>Reett Aulakh, Aanya Pathak</t>
  </si>
  <si>
    <t>Aanya Pathak</t>
  </si>
  <si>
    <t>Vishnu Abhinav Reddy Yerrabandi</t>
  </si>
  <si>
    <t>Aditya Bhadra</t>
  </si>
  <si>
    <t>Aditya Bhadra, Ishaan Sagar, Bryan Li</t>
  </si>
  <si>
    <t>Matan Heber</t>
  </si>
  <si>
    <t>Matan Heber, Henit Jain, Tam Bao Tran</t>
  </si>
  <si>
    <t>Tam Bao Tran</t>
  </si>
  <si>
    <t>Henit Jain, Matan Heber, Tam Bao Tran</t>
  </si>
  <si>
    <t>Henit Jain</t>
  </si>
  <si>
    <t>Matan Heber, Tam bao Tran, Henit Jain</t>
  </si>
  <si>
    <t>Arnav Dharanallur</t>
  </si>
  <si>
    <t>Shahnawaz Dolani</t>
  </si>
  <si>
    <t>Liyan Ravani</t>
  </si>
  <si>
    <t>Liyan Ravani, Ankur Chanabasanavar, Akhil Gudapati</t>
  </si>
  <si>
    <t>Kylie Xu</t>
  </si>
  <si>
    <t>Kylie Xu, Elly Chen, Vanessa Guan</t>
  </si>
  <si>
    <t>Ankur Chanabasanavar</t>
  </si>
  <si>
    <t>Ankur Chanabasanavar, Liyan Ravani, Akhil Gudapati</t>
  </si>
  <si>
    <t>Mrunali Rajiv</t>
  </si>
  <si>
    <t>Mrunali Rajiv, Ritul Prasad, Jayani Akula</t>
  </si>
  <si>
    <t xml:space="preserve">Jayani Akula </t>
  </si>
  <si>
    <t>Jayani Akula, Ritul Prasad, Mrunali Rajiv</t>
  </si>
  <si>
    <t xml:space="preserve">Jayani Akula, Ritul Prasad, Mrunali Rajiv. </t>
  </si>
  <si>
    <t>Trisha Tiwari</t>
  </si>
  <si>
    <t>Trisha Tiwari, Pramithi Akula, Saachi Chandrakar</t>
  </si>
  <si>
    <t>Akhil Gudapati</t>
  </si>
  <si>
    <t>Nathan Taparauskas</t>
  </si>
  <si>
    <t>Calonge, Lucia</t>
  </si>
  <si>
    <t>Lucia Calonge-Marin, Ender Cotty</t>
  </si>
  <si>
    <t>Mia Rhie</t>
  </si>
  <si>
    <t>Joshua Boersema</t>
  </si>
  <si>
    <t>Joshua Boersema, Brijnandan Saranu</t>
  </si>
  <si>
    <t>Samanyu Thadakamlla</t>
  </si>
  <si>
    <t>Samanyu Thadakamalla, Santosh Balasubramanian</t>
  </si>
  <si>
    <t>Sanjay Dev Alva</t>
  </si>
  <si>
    <t>Iman Xu</t>
  </si>
  <si>
    <t>Iman Xu, Lucas Xu, Breelyn Tarno</t>
  </si>
  <si>
    <t>Aarav Kumar</t>
  </si>
  <si>
    <t>Yanqing Hua</t>
  </si>
  <si>
    <t>Yanqing Hua, Haolang Liu</t>
  </si>
  <si>
    <t>Chandrika Ghosh</t>
  </si>
  <si>
    <t>Molly Johnson</t>
  </si>
  <si>
    <t>Molly Johnson, Magdelyne Hang</t>
  </si>
  <si>
    <t>Ritul Prasad</t>
  </si>
  <si>
    <t>Ritul Prasad, Mrunali Rajiv, Jayani Akula</t>
  </si>
  <si>
    <t>Leif Ramirez</t>
  </si>
  <si>
    <t>Matthew Park</t>
  </si>
  <si>
    <t>Andrew Park, Matthew Park</t>
  </si>
  <si>
    <t>Andrew Park</t>
  </si>
  <si>
    <t>Payton Vopat</t>
  </si>
  <si>
    <t>Payton Vopat, Cara Weinstein</t>
  </si>
  <si>
    <t>Payton Vopat, Cara Wienstein</t>
  </si>
  <si>
    <t>Diya Trivedi</t>
  </si>
  <si>
    <t>Diya Trivedi, Aarya Kale’28, Chahat Maheshwari</t>
  </si>
  <si>
    <t>Joonhyeok park</t>
  </si>
  <si>
    <t>Joon Park, Jeremy huang.</t>
  </si>
  <si>
    <t>Joon park, jeremy huang</t>
  </si>
  <si>
    <t xml:space="preserve">Joon park, jeremy huang </t>
  </si>
  <si>
    <t>Arsh Babwani</t>
  </si>
  <si>
    <t>Brian Yung</t>
  </si>
  <si>
    <t>Arshi Moozhikkara</t>
  </si>
  <si>
    <t>Laasya Bysani, Arshi Moozhikkara</t>
  </si>
  <si>
    <t xml:space="preserve">Laasya Bysani </t>
  </si>
  <si>
    <t>Lijun Byeon</t>
  </si>
  <si>
    <t>Rylee Muljadi</t>
  </si>
  <si>
    <t>Rylee Muljadi, Youjia Yu, Ivana Ng</t>
  </si>
  <si>
    <t>Youjia Yu</t>
  </si>
  <si>
    <t>Youjia Yu, Rylee Muljadi, Ivana Ng</t>
  </si>
  <si>
    <t>Kedaar Jayagopal</t>
  </si>
  <si>
    <t>Patrick Davoli</t>
  </si>
  <si>
    <t>Samuel Nachtrieb and Patrick Davoli</t>
  </si>
  <si>
    <t>Samuel Nachtrieb</t>
  </si>
  <si>
    <t>Patrick Davoli and Samuel Nachtrieb</t>
  </si>
  <si>
    <t>Justin Cheng</t>
  </si>
  <si>
    <t>Jayant, Kalra</t>
  </si>
  <si>
    <t>Austin Gu</t>
  </si>
  <si>
    <t>Austin Gu and Marshall Sjariffudin</t>
  </si>
  <si>
    <t xml:space="preserve">Marshall Sjariffudin </t>
  </si>
  <si>
    <t>Marshall Sjariffudin and Austin Gu</t>
  </si>
  <si>
    <t>Owen Sun</t>
  </si>
  <si>
    <t>an</t>
  </si>
  <si>
    <t>124187 : [25,23,35],</t>
  </si>
  <si>
    <t>124187 : 5,</t>
  </si>
  <si>
    <t>118662 : [41,23,17],</t>
  </si>
  <si>
    <t>118662 : 5,</t>
  </si>
  <si>
    <t>180776 : [17,0,3],</t>
  </si>
  <si>
    <t>180776 : 5,</t>
  </si>
  <si>
    <t>154764 : [17,18,7],</t>
  </si>
  <si>
    <t>154764 : 5,</t>
  </si>
  <si>
    <t>125698 : [6,20,44],</t>
  </si>
  <si>
    <t>125698 : 5,</t>
  </si>
  <si>
    <t>116467 : [14,35,3],</t>
  </si>
  <si>
    <t>116467 : 5,</t>
  </si>
  <si>
    <t>116685 : [6,23,41],</t>
  </si>
  <si>
    <t>116685 : 5,</t>
  </si>
  <si>
    <t>118526 : [30,31,29],</t>
  </si>
  <si>
    <t>118526 : 4,</t>
  </si>
  <si>
    <t>110099 : [17,41,27],</t>
  </si>
  <si>
    <t>110099 : 4,</t>
  </si>
  <si>
    <t>306645 : [0,3,35],</t>
  </si>
  <si>
    <t>306645 : 4,</t>
  </si>
  <si>
    <t>323614 : [25,20,26],</t>
  </si>
  <si>
    <t>323614 : 4,</t>
  </si>
  <si>
    <t>110137 : [0,3,41],</t>
  </si>
  <si>
    <t>110137 : 4,</t>
  </si>
  <si>
    <t>152840 : [18,13,11],</t>
  </si>
  <si>
    <t>152840 : 4,</t>
  </si>
  <si>
    <t>145985 : [31,30,29],</t>
  </si>
  <si>
    <t>145985 : 4,</t>
  </si>
  <si>
    <t>311130 : [11,8,12],</t>
  </si>
  <si>
    <t>311130 : 3,</t>
  </si>
  <si>
    <t>126515 : [41,42,6],</t>
  </si>
  <si>
    <t>126515 : 3,</t>
  </si>
  <si>
    <t>153380 : [0,3,35],</t>
  </si>
  <si>
    <t>153380 : 3,</t>
  </si>
  <si>
    <t>111264 : [12,13,22],</t>
  </si>
  <si>
    <t>111264 : 3,</t>
  </si>
  <si>
    <t>145700 : [20,46,19],</t>
  </si>
  <si>
    <t>145700 : 3,</t>
  </si>
  <si>
    <t>136758 : [41,23,17],</t>
  </si>
  <si>
    <t>136758 : 3,</t>
  </si>
  <si>
    <t>110400 : [8,48,23],</t>
  </si>
  <si>
    <t>110400 : 3,</t>
  </si>
  <si>
    <t>150236 : [25,26,42],</t>
  </si>
  <si>
    <t>150236 : 2,</t>
  </si>
  <si>
    <t>162386 : [3,0,35],</t>
  </si>
  <si>
    <t>162386 : 2,</t>
  </si>
  <si>
    <t>319194 : [10,48,7],</t>
  </si>
  <si>
    <t>319194 : 2,</t>
  </si>
  <si>
    <t>155629 : [3,35,0],</t>
  </si>
  <si>
    <t>155629 : 2,</t>
  </si>
  <si>
    <t>118860 : [26,23,25],</t>
  </si>
  <si>
    <t>118860 : 2,</t>
  </si>
  <si>
    <t>308141 : [44,6,33],</t>
  </si>
  <si>
    <t>308141 : 2,</t>
  </si>
  <si>
    <t>151889 : [46,3,26],</t>
  </si>
  <si>
    <t>151889 : 2,</t>
  </si>
  <si>
    <t>180335 : [24,47,39],</t>
  </si>
  <si>
    <t>180335 : 2,</t>
  </si>
  <si>
    <t>128793 : [14,3,23],</t>
  </si>
  <si>
    <t>128793 : 2,</t>
  </si>
  <si>
    <t>119687 : [23,17,29],</t>
  </si>
  <si>
    <t>119687 : 2,</t>
  </si>
  <si>
    <t>187156 : [30,48,46],</t>
  </si>
  <si>
    <t>187156 : 2,</t>
  </si>
  <si>
    <t>119009 : [26,43,25],</t>
  </si>
  <si>
    <t>119009 : 2,</t>
  </si>
  <si>
    <t>188911 : [17,14,3],</t>
  </si>
  <si>
    <t>188911 : 2,</t>
  </si>
  <si>
    <t>124399 : [26,1,25],</t>
  </si>
  <si>
    <t>124399 : 2,</t>
  </si>
  <si>
    <t>111281 : [6,25,47],</t>
  </si>
  <si>
    <t>111281 : 2,</t>
  </si>
  <si>
    <t>163486 : [2,6,47],</t>
  </si>
  <si>
    <t>163486 : 2,</t>
  </si>
  <si>
    <t>109820 : [20,1,33],</t>
  </si>
  <si>
    <t>109820 : 2,</t>
  </si>
  <si>
    <t>152185 : [44,1,2],</t>
  </si>
  <si>
    <t>152185 : 2,</t>
  </si>
  <si>
    <t>110452 : [0,3,35],</t>
  </si>
  <si>
    <t>110452 : 2,</t>
  </si>
  <si>
    <t>138394 : [25,43,33],</t>
  </si>
  <si>
    <t>138394 : 2,</t>
  </si>
  <si>
    <t>148321 : [15,5,37],</t>
  </si>
  <si>
    <t>148321 : 2,</t>
  </si>
  <si>
    <t>171913 : [26,1,20],</t>
  </si>
  <si>
    <t>171913 : 2,</t>
  </si>
  <si>
    <t>113775 : [11,18,12],</t>
  </si>
  <si>
    <t>113775 : 2,</t>
  </si>
  <si>
    <t>189124 : [25,43,42],</t>
  </si>
  <si>
    <t>189124 : 2,</t>
  </si>
  <si>
    <t>193973 : [14,2,35],</t>
  </si>
  <si>
    <t>193973 : 2,</t>
  </si>
  <si>
    <t>109964 : [31,41,29],</t>
  </si>
  <si>
    <t>109964 : 2,</t>
  </si>
  <si>
    <t>315581 : [31,30,29],</t>
  </si>
  <si>
    <t>315581 : 2,</t>
  </si>
  <si>
    <t>118257 : [1,25,33],</t>
  </si>
  <si>
    <t>118257 : 2,</t>
  </si>
  <si>
    <t>142597 : [25,42,26],</t>
  </si>
  <si>
    <t>142597 : 1,</t>
  </si>
  <si>
    <t>153462 : [17,33,6],</t>
  </si>
  <si>
    <t>153462 : 1,</t>
  </si>
  <si>
    <t>312060 : [46,43,35],</t>
  </si>
  <si>
    <t>312060 : 1,</t>
  </si>
  <si>
    <t>163774 : [30,29,31],</t>
  </si>
  <si>
    <t>163774 : 1,</t>
  </si>
  <si>
    <t>303237 : [33,42,17],</t>
  </si>
  <si>
    <t>303237 : 1,</t>
  </si>
  <si>
    <t>318895 : [25,0,1],</t>
  </si>
  <si>
    <t>318895 : 1,</t>
  </si>
  <si>
    <t>148048 : [1,6,44],</t>
  </si>
  <si>
    <t>148048 : 1,</t>
  </si>
  <si>
    <t>196392 : [35,42,1],</t>
  </si>
  <si>
    <t>196392 : 1,</t>
  </si>
  <si>
    <t>128023 : [25,14,6],</t>
  </si>
  <si>
    <t>128023 : 1,</t>
  </si>
  <si>
    <t>151855 : [3,0,1],</t>
  </si>
  <si>
    <t>151855 : 1,</t>
  </si>
  <si>
    <t>148202 : [25,42,46],</t>
  </si>
  <si>
    <t>148202 : 1,</t>
  </si>
  <si>
    <t>136527 : [3,6,20],</t>
  </si>
  <si>
    <t>136527 : 1,</t>
  </si>
  <si>
    <t>109386 : [3,2,47],</t>
  </si>
  <si>
    <t>109386 : 1,</t>
  </si>
  <si>
    <t>136455 : [26,25,33],</t>
  </si>
  <si>
    <t>136455 : 1,</t>
  </si>
  <si>
    <t>138182 : [6,33,44],</t>
  </si>
  <si>
    <t>138182 : 1,</t>
  </si>
  <si>
    <t>186690 : [1,20,47],</t>
  </si>
  <si>
    <t>186690 : 1,</t>
  </si>
  <si>
    <t>148203 : [3,46,14],</t>
  </si>
  <si>
    <t>148203 : 1,</t>
  </si>
  <si>
    <t>184382 : [1,25,26],</t>
  </si>
  <si>
    <t>184382 : 1,</t>
  </si>
  <si>
    <t>314091 : [22,20,48],</t>
  </si>
  <si>
    <t>314091 : 1,</t>
  </si>
  <si>
    <t>119273 : [0,3,38],</t>
  </si>
  <si>
    <t>119273 : 1,</t>
  </si>
  <si>
    <t>320421 : [23,42,25],</t>
  </si>
  <si>
    <t>320421 : 1,</t>
  </si>
  <si>
    <t>503997 : [29,30,49],</t>
  </si>
  <si>
    <t>503997 : 1,</t>
  </si>
  <si>
    <t>118770 : [42,43,26],</t>
  </si>
  <si>
    <t>118770 : 1,</t>
  </si>
  <si>
    <t>149616 : [43,25,42],</t>
  </si>
  <si>
    <t>149616 : 1,</t>
  </si>
  <si>
    <t>162280 : [35,22,26],</t>
  </si>
  <si>
    <t>162280 : 1,</t>
  </si>
  <si>
    <t>319859 : [25,26,46],</t>
  </si>
  <si>
    <t>319859 : 1,</t>
  </si>
  <si>
    <t>319260 : [42,20,43],</t>
  </si>
  <si>
    <t>319260 : 1,</t>
  </si>
  <si>
    <t>125495 : [0,3,17],</t>
  </si>
  <si>
    <t>125495 : 1,</t>
  </si>
  <si>
    <t>151799 : [26,17,0],</t>
  </si>
  <si>
    <t>151799 : 1,</t>
  </si>
  <si>
    <t>110629 : [32,30,31],</t>
  </si>
  <si>
    <t>110629 : 1,</t>
  </si>
  <si>
    <t>317736 : [46,26,14],</t>
  </si>
  <si>
    <t>317736 : 1,</t>
  </si>
  <si>
    <t>153248 : [2,25,20],</t>
  </si>
  <si>
    <t>153248 : 1,</t>
  </si>
  <si>
    <t>150842 : [27,4,41],</t>
  </si>
  <si>
    <t>150842 : 0,</t>
  </si>
  <si>
    <t>206031 : [38,37,36],</t>
  </si>
  <si>
    <t>206031 : 0,</t>
  </si>
  <si>
    <t>150581 : [38,36,3],</t>
  </si>
  <si>
    <t>150581 : 0,</t>
  </si>
  <si>
    <t>129064 : [35,0,17],</t>
  </si>
  <si>
    <t>129064 : 0,</t>
  </si>
  <si>
    <t>150826 : [37,26,20],</t>
  </si>
  <si>
    <t>150826 : 0,</t>
  </si>
  <si>
    <t>301227 : [39,40,36],</t>
  </si>
  <si>
    <t>301227 : 0,</t>
  </si>
  <si>
    <t>137947 : [7,48,22],</t>
  </si>
  <si>
    <t>137947 : 0,</t>
  </si>
  <si>
    <t>204995 : [38,17,19],</t>
  </si>
  <si>
    <t>204995 : 0,</t>
  </si>
  <si>
    <t>119320 : [1,26,30],</t>
  </si>
  <si>
    <t>119320 : 0,</t>
  </si>
  <si>
    <t>206209 : [38,40,37],</t>
  </si>
  <si>
    <t>206209 : 0,</t>
  </si>
  <si>
    <t>136204 : [40,46,37],</t>
  </si>
  <si>
    <t>136204 : 0,</t>
  </si>
  <si>
    <t>205217 : [38,35,36],</t>
  </si>
  <si>
    <t>205217 : 0,</t>
  </si>
  <si>
    <t>150837 : [32,17,28],</t>
  </si>
  <si>
    <t>150837 : 0,</t>
  </si>
  <si>
    <t>150316 : [38,35,37],</t>
  </si>
  <si>
    <t>150316 : 0,</t>
  </si>
  <si>
    <t>117129 : [39,36,38],</t>
  </si>
  <si>
    <t>117129 : 0,</t>
  </si>
  <si>
    <t>137811 : [17,35,3],</t>
  </si>
  <si>
    <t>137811 : 0,</t>
  </si>
  <si>
    <t>150663 : [36,38,40],</t>
  </si>
  <si>
    <t>150663 : 0,</t>
  </si>
  <si>
    <t>150386 : [34,22,37],</t>
  </si>
  <si>
    <t>150386 : 0,</t>
  </si>
  <si>
    <t>207052 : [36,9,40],</t>
  </si>
  <si>
    <t>207052 : 0,</t>
  </si>
  <si>
    <t>150353 : [20,1,40],</t>
  </si>
  <si>
    <t>150353 : 0,</t>
  </si>
  <si>
    <t>192804 : [37,39,38],</t>
  </si>
  <si>
    <t>192804 : 0,</t>
  </si>
  <si>
    <t>204968 : [8,12,11],</t>
  </si>
  <si>
    <t>204968 : 0,</t>
  </si>
  <si>
    <t>304949 : [37,36,40],</t>
  </si>
  <si>
    <t>304949 : 0,</t>
  </si>
  <si>
    <t>171928 : [37,24,39],</t>
  </si>
  <si>
    <t>171928 : 0,</t>
  </si>
  <si>
    <t>173955 : [38,37,40],</t>
  </si>
  <si>
    <t>173955 : 0,</t>
  </si>
  <si>
    <t>150671 : [38,36,35],</t>
  </si>
  <si>
    <t>150671 : 0,</t>
  </si>
  <si>
    <t>306014 : [15,3,5],</t>
  </si>
  <si>
    <t>306014 : 0,</t>
  </si>
  <si>
    <t>150645 : [10,36,7],</t>
  </si>
  <si>
    <t>150645 : 0,</t>
  </si>
  <si>
    <t>177631 : [36,26,35],</t>
  </si>
  <si>
    <t>177631 : 0,</t>
  </si>
  <si>
    <t>137911 : [36,40,38],</t>
  </si>
  <si>
    <t>137911 : 0,</t>
  </si>
  <si>
    <t>171656 : [48,49,15],</t>
  </si>
  <si>
    <t>171656 : 0,</t>
  </si>
  <si>
    <t>206812 : [32,8,49],</t>
  </si>
  <si>
    <t>206812 : 0,</t>
  </si>
  <si>
    <t>150390 : [41,4,21],</t>
  </si>
  <si>
    <t>150390 : 0,</t>
  </si>
  <si>
    <t>301529 : [27,28,32],</t>
  </si>
  <si>
    <t>301529 : 0,</t>
  </si>
  <si>
    <t>182956 : [40,39,36],</t>
  </si>
  <si>
    <t>182956 : 0,</t>
  </si>
  <si>
    <t>186129 : [17,38,35],</t>
  </si>
  <si>
    <t>186129 : 0,</t>
  </si>
  <si>
    <t>155451 : [39,36,40],</t>
  </si>
  <si>
    <t>155451 : 0,</t>
  </si>
  <si>
    <t>118719 : [46,40,36],</t>
  </si>
  <si>
    <t>118719 : 0,</t>
  </si>
  <si>
    <t>326007 : [36,40,38],</t>
  </si>
  <si>
    <t>326007 : 0,</t>
  </si>
  <si>
    <t>149693 : [38,36,47],</t>
  </si>
  <si>
    <t>149693 : 0,</t>
  </si>
  <si>
    <t>209153 : [46,5,48],</t>
  </si>
  <si>
    <t>209153 : 0,</t>
  </si>
  <si>
    <t>190963 : [4,8,3],</t>
  </si>
  <si>
    <t>190963 : 0,</t>
  </si>
  <si>
    <t>124385 : [40,39,36],</t>
  </si>
  <si>
    <t>124385 : 0,</t>
  </si>
  <si>
    <t>169390 : [37,20,48],</t>
  </si>
  <si>
    <t>169390 : 0,</t>
  </si>
  <si>
    <t>154981 : [36,49,45],</t>
  </si>
  <si>
    <t>154981 : 0,</t>
  </si>
  <si>
    <t>306632 : [27,32,49],</t>
  </si>
  <si>
    <t>306632 : 0,</t>
  </si>
  <si>
    <t>318933 : [37,35,38],</t>
  </si>
  <si>
    <t>318933 : 0,</t>
  </si>
  <si>
    <t>150361 : [39,38,37],</t>
  </si>
  <si>
    <t>150361 : 0,</t>
  </si>
  <si>
    <t>202086 : [2,44,20],</t>
  </si>
  <si>
    <t>202086 : 0,</t>
  </si>
  <si>
    <t>138451 : [38,9,39],</t>
  </si>
  <si>
    <t>138451 : 0,</t>
  </si>
  <si>
    <t xml:space="preserve">   ,aaaaaeeehhiilmnprrrrrsstuuu</t>
  </si>
  <si>
    <t>165888 : [15,5,9],</t>
  </si>
  <si>
    <t>165888 : 5,</t>
  </si>
  <si>
    <t xml:space="preserve">     ,,aaaaaaabdeghhhhhhiiiiijjklmnnnnorsssttuuvyz</t>
  </si>
  <si>
    <t>162647 : [22,48,10],</t>
  </si>
  <si>
    <t>162647 : 5,</t>
  </si>
  <si>
    <t xml:space="preserve">     ,,aaaaacdefhhiiiiiiiklmnnprrrrtvyz</t>
  </si>
  <si>
    <t>110139 : [32,13,25],</t>
  </si>
  <si>
    <t>110139 : 5,</t>
  </si>
  <si>
    <t xml:space="preserve">     ,,aaaabcdeeeghhiijkllllnnoooossuwy</t>
  </si>
  <si>
    <t>115831 : [11,8,45],</t>
  </si>
  <si>
    <t>115831 : 5,</t>
  </si>
  <si>
    <t xml:space="preserve">     ,,aaaaccehhiiiiilllllmooprrssuuuy</t>
  </si>
  <si>
    <t>111512 : [48,10,8],</t>
  </si>
  <si>
    <t>111512 : 5,</t>
  </si>
  <si>
    <t xml:space="preserve">     ,,aaaabceeeghhiiiijklllllnooossuvy</t>
  </si>
  <si>
    <t>163664 : [11,8,45],</t>
  </si>
  <si>
    <t>163664 : 5,</t>
  </si>
  <si>
    <t xml:space="preserve">   ,aceeghijjnnnnoouuyyy</t>
  </si>
  <si>
    <t>120747 : [31,29,30],</t>
  </si>
  <si>
    <t>120747 : 4,</t>
  </si>
  <si>
    <t xml:space="preserve">     ,,aaaaaacdeegghiiilmnnnnorrtvyy</t>
  </si>
  <si>
    <t>324008 : [10,7,48],</t>
  </si>
  <si>
    <t>324008 : 4,</t>
  </si>
  <si>
    <t xml:space="preserve">   ,abceeghiklmnooptuvwy</t>
  </si>
  <si>
    <t>110390 : [5,9,34],</t>
  </si>
  <si>
    <t>110390 : 4,</t>
  </si>
  <si>
    <t xml:space="preserve">   ,aaeehhhiikllmnnorrrssttuu</t>
  </si>
  <si>
    <t>111134 : [50,24,34],</t>
  </si>
  <si>
    <t>111134 : 4,</t>
  </si>
  <si>
    <t xml:space="preserve">   ,aaaaaaghhiikkknnnnrrsw</t>
  </si>
  <si>
    <t>164480 : [22,7,10],</t>
  </si>
  <si>
    <t>164480 : 4,</t>
  </si>
  <si>
    <t xml:space="preserve">    ,aaaaaceghhiiknnnorrrstvyyyy</t>
  </si>
  <si>
    <t>152136 : [8,30,10],</t>
  </si>
  <si>
    <t>152136 : 4,</t>
  </si>
  <si>
    <t xml:space="preserve">   ,aaaaaaaaghhhiikkklmnprrsssttu</t>
  </si>
  <si>
    <t>119554 : [50,24,9],</t>
  </si>
  <si>
    <t>119554 : 4,</t>
  </si>
  <si>
    <t xml:space="preserve">       ,aaaaaaadddeeeehhhhhhiilmmnnnnprrrrssstuvy</t>
  </si>
  <si>
    <t>177495 : [10,48,22],</t>
  </si>
  <si>
    <t>177495 : 4,</t>
  </si>
  <si>
    <t xml:space="preserve">   ,aaaaaaabehiikklnorsvy</t>
  </si>
  <si>
    <t>139393 : [31,30,29],</t>
  </si>
  <si>
    <t>139393 : 4,</t>
  </si>
  <si>
    <t xml:space="preserve">   ,aaaaaceghhiiknnnorrrstvyyyy</t>
  </si>
  <si>
    <t>301144 : [8,30,10],</t>
  </si>
  <si>
    <t>301144 : 4,</t>
  </si>
  <si>
    <t xml:space="preserve">  aaaaaabbhiilmnnrsssuvw</t>
  </si>
  <si>
    <t>111849 : [9,47,3],</t>
  </si>
  <si>
    <t>111849 : 4,</t>
  </si>
  <si>
    <t xml:space="preserve">   ,aaacdehiiklmmnnrrsuu</t>
  </si>
  <si>
    <t>135551 : [9,47,50],</t>
  </si>
  <si>
    <t>135551 : 4,</t>
  </si>
  <si>
    <t xml:space="preserve">     ,,aaaaaaaaabdehhhhiiiiillmmnnnprrrrsstuwyyy</t>
  </si>
  <si>
    <t>139441 : [49,27,28],</t>
  </si>
  <si>
    <t>139441 : 4,</t>
  </si>
  <si>
    <t xml:space="preserve">   ,aaaceeeghhiiillnnnpptwy</t>
  </si>
  <si>
    <t>310712 : [18,12,13],</t>
  </si>
  <si>
    <t>310712 : 4,</t>
  </si>
  <si>
    <t xml:space="preserve">   ,aaeehhllnooruwwy</t>
  </si>
  <si>
    <t>153984 : [5,50,34],</t>
  </si>
  <si>
    <t>153984 : 3,</t>
  </si>
  <si>
    <t xml:space="preserve">   ,aaaaaaaabbhiiklllmnnnrrrssstuuuvw</t>
  </si>
  <si>
    <t>148882 : [9,47,6],</t>
  </si>
  <si>
    <t>148882 : 3,</t>
  </si>
  <si>
    <t xml:space="preserve">   ,ceeeeehiiillllmnuw</t>
  </si>
  <si>
    <t>119448 : [27,49,32],</t>
  </si>
  <si>
    <t>119448 : 3,</t>
  </si>
  <si>
    <t xml:space="preserve">   ,aaaaaaacdddhhhhhiiimnnnnorrssstuvy</t>
  </si>
  <si>
    <t>152872 : [50,47,24],</t>
  </si>
  <si>
    <t>152872 : 3,</t>
  </si>
  <si>
    <t xml:space="preserve">     ,,aaaaaaaabddeeggghhhhiiiiillmmnnnoprrrrrrrrsssuwy</t>
  </si>
  <si>
    <t>110580 : [13,12,8],</t>
  </si>
  <si>
    <t>110580 : 3,</t>
  </si>
  <si>
    <t xml:space="preserve"> aaabhhiillrst</t>
  </si>
  <si>
    <t>110176 : [45,7,18],</t>
  </si>
  <si>
    <t>110176 : 3,</t>
  </si>
  <si>
    <t xml:space="preserve">     ,,aaaaghiillmnnnooorrrrssstuuuuvz</t>
  </si>
  <si>
    <t>136893 : [21,8,32],</t>
  </si>
  <si>
    <t>136893 : 3,</t>
  </si>
  <si>
    <t xml:space="preserve">   ,aaeiiijjlmmnorrs</t>
  </si>
  <si>
    <t>306538 : [34,9,24],</t>
  </si>
  <si>
    <t>306538 : 3,</t>
  </si>
  <si>
    <t xml:space="preserve">     ,,aaaaaaaaddeeeehhhhikkmmnnnpprsssttuvvyyz</t>
  </si>
  <si>
    <t>110481 : [28,8,49],</t>
  </si>
  <si>
    <t>110481 : 3,</t>
  </si>
  <si>
    <t xml:space="preserve">     ,,aaaabdegiiillmmnnnnoprrssyyyy</t>
  </si>
  <si>
    <t>109886 : [21,8,7],</t>
  </si>
  <si>
    <t>109886 : 3,</t>
  </si>
  <si>
    <t xml:space="preserve">     ,,aaaaaaaaaabdeeeehhhiijjklllnnnsssssy</t>
  </si>
  <si>
    <t>309122 : [49,27,13],</t>
  </si>
  <si>
    <t>309122 : 2,</t>
  </si>
  <si>
    <t xml:space="preserve">   ,’aadeghiiilnnnoosvwy</t>
  </si>
  <si>
    <t>136686 : [22,7,16],</t>
  </si>
  <si>
    <t>136686 : 2,</t>
  </si>
  <si>
    <t xml:space="preserve">     ,,aaaaaacdeeeeeghiiiilmnnnnrrrvxyy</t>
  </si>
  <si>
    <t>119064 : [11,12,27],</t>
  </si>
  <si>
    <t>119064 : 2,</t>
  </si>
  <si>
    <t xml:space="preserve">   ,aaaaaaeghiknnnprsttuuy</t>
  </si>
  <si>
    <t>184175 : [30,29,31],</t>
  </si>
  <si>
    <t>184175 : 2,</t>
  </si>
  <si>
    <t xml:space="preserve">   ,aaaaaeghhhknnnnprrstuuy</t>
  </si>
  <si>
    <t>138399 : [22,4,7],</t>
  </si>
  <si>
    <t>138399 : 2,</t>
  </si>
  <si>
    <t xml:space="preserve">   ,'aadeghiiilnnnoosvwy</t>
  </si>
  <si>
    <t>136292 : [22,7,16],</t>
  </si>
  <si>
    <t>136292 : 2,</t>
  </si>
  <si>
    <t xml:space="preserve">     ,,aaaaaaaaaaaddeiiiillmmmnprrrrsstvyy</t>
  </si>
  <si>
    <t>154787 : [28,49,4],</t>
  </si>
  <si>
    <t>154787 : 2,</t>
  </si>
  <si>
    <t xml:space="preserve">    ,aaaaadddeeeeeehiimnnnnprrrstttuvyy</t>
  </si>
  <si>
    <t>119330 : [30,29,31],</t>
  </si>
  <si>
    <t>119330 : 2,</t>
  </si>
  <si>
    <t xml:space="preserve">   ,aaaaadeeeeehiimnnnnprrstttuvy</t>
  </si>
  <si>
    <t>190651 : [30,29,31],</t>
  </si>
  <si>
    <t>190651 : 2,</t>
  </si>
  <si>
    <t xml:space="preserve">   ,aaaadghhiiimnnorrsstt</t>
  </si>
  <si>
    <t>301809 : [27,18,49],</t>
  </si>
  <si>
    <t>301809 : 2,</t>
  </si>
  <si>
    <t xml:space="preserve">   ,aaaacdehhhilnnnnoortuwyyz</t>
  </si>
  <si>
    <t>324051 : [50,20,0],</t>
  </si>
  <si>
    <t>324051 : 2,</t>
  </si>
  <si>
    <t xml:space="preserve">   ,aaaeegghhhiilllmnnnwzz</t>
  </si>
  <si>
    <t>119930 : [50,24,19],</t>
  </si>
  <si>
    <t>119930 : 2,</t>
  </si>
  <si>
    <t xml:space="preserve">     ,,aaaaaaaaaaaabddeghhhhiijjmmmnnorrrrrrsstuvwy</t>
  </si>
  <si>
    <t>109668 : [11,27,28],</t>
  </si>
  <si>
    <t>109668 : 2,</t>
  </si>
  <si>
    <t xml:space="preserve">  ,eiiklmv</t>
  </si>
  <si>
    <t>138492 : [19,5,15],</t>
  </si>
  <si>
    <t>138492 : 2,</t>
  </si>
  <si>
    <t xml:space="preserve">   ,aaaaaabbhhhiklnrsstty</t>
  </si>
  <si>
    <t>193431 : [28,32,49],</t>
  </si>
  <si>
    <t>193431 : 2,</t>
  </si>
  <si>
    <t xml:space="preserve"> aaadeeffklnrsx</t>
  </si>
  <si>
    <t>137962 : [44,6,25],</t>
  </si>
  <si>
    <t>137962 : 2,</t>
  </si>
  <si>
    <t xml:space="preserve">   ,aaaaaabdegiijkllmnnnrsty</t>
  </si>
  <si>
    <t>119049 : [9,5,50],</t>
  </si>
  <si>
    <t>119049 : 2,</t>
  </si>
  <si>
    <t xml:space="preserve">   ,aaaaaaaaaaddghhiilllmnnnrstty</t>
  </si>
  <si>
    <t>124166 : [31,30,29],</t>
  </si>
  <si>
    <t>124166 : 2,</t>
  </si>
  <si>
    <t xml:space="preserve">   ,aaaadddeehiikknnprrsvy</t>
  </si>
  <si>
    <t>111838 : [50,24,34],</t>
  </si>
  <si>
    <t>111838 : 2,</t>
  </si>
  <si>
    <t xml:space="preserve">   ,aaaaaacehhillmnnnorsuy</t>
  </si>
  <si>
    <t>110571 : [50,24,5],</t>
  </si>
  <si>
    <t>110571 : 2,</t>
  </si>
  <si>
    <t xml:space="preserve">   ,aaaaaehiikkllmmnrssv</t>
  </si>
  <si>
    <t>136210 : [50,24,19],</t>
  </si>
  <si>
    <t>136210 : 2,</t>
  </si>
  <si>
    <t xml:space="preserve">   ,aaabdeeghiijlmnnnnrwz</t>
  </si>
  <si>
    <t>180335 : [48,7,22],</t>
  </si>
  <si>
    <t xml:space="preserve">   ,aaaaaabbdeehijjmnnnnoorrrsssuu</t>
  </si>
  <si>
    <t>137724 : [5,15,35],</t>
  </si>
  <si>
    <t>137724 : 2,</t>
  </si>
  <si>
    <t xml:space="preserve">   ,aabdeeeehhiiilortttvw</t>
  </si>
  <si>
    <t>326330 : [15,34,5],</t>
  </si>
  <si>
    <t>326330 : 2,</t>
  </si>
  <si>
    <t xml:space="preserve">   ,aaabcccceeghhiijkklnnrstuyz</t>
  </si>
  <si>
    <t>110313 : [15,13,50],</t>
  </si>
  <si>
    <t>110313 : 2,</t>
  </si>
  <si>
    <t xml:space="preserve">     ,aabccceeghhhiijklnnnorstuyz</t>
  </si>
  <si>
    <t>112303 : [15,13,50],</t>
  </si>
  <si>
    <t>112303 : 2,</t>
  </si>
  <si>
    <t xml:space="preserve">   ,aacdeehiikmnnnprrsstu</t>
  </si>
  <si>
    <t>148480 : [47,19,34],</t>
  </si>
  <si>
    <t>148480 : 2,</t>
  </si>
  <si>
    <t xml:space="preserve">    ,aaaaaabcdeghimprrsuuuyzz</t>
  </si>
  <si>
    <t>110181 : [47,34,50],</t>
  </si>
  <si>
    <t>110181 : 2,</t>
  </si>
  <si>
    <t xml:space="preserve">     ,,aaaacggghhhiiiiiiklmnnoooprrrrrsstuy</t>
  </si>
  <si>
    <t>189852 : [28,49,27],</t>
  </si>
  <si>
    <t>189852 : 2,</t>
  </si>
  <si>
    <t xml:space="preserve">   ,aaaaabdddeeghhhklnnnprrrsstuy</t>
  </si>
  <si>
    <t>138050 : [19,3,35],</t>
  </si>
  <si>
    <t>138050 : 1,</t>
  </si>
  <si>
    <t xml:space="preserve">   ,aaaaaeghhiknnnnrsstuuvvv</t>
  </si>
  <si>
    <t>137864 : [50,9,19],</t>
  </si>
  <si>
    <t>137864 : 1,</t>
  </si>
  <si>
    <t xml:space="preserve">   ,aaccdeeeeeeeiillllmqrrssssy</t>
  </si>
  <si>
    <t>109687 : [34,50,5],</t>
  </si>
  <si>
    <t>109687 : 1,</t>
  </si>
  <si>
    <t xml:space="preserve">   ,aaaaghiijlnnnopruwx</t>
  </si>
  <si>
    <t>325570 : [5,24,9],</t>
  </si>
  <si>
    <t>325570 : 1,</t>
  </si>
  <si>
    <t xml:space="preserve">   ,aaaaaaabhhiiikklmnoorrsssyyz</t>
  </si>
  <si>
    <t>188447 : [7,40,6],</t>
  </si>
  <si>
    <t>188447 : 1,</t>
  </si>
  <si>
    <t xml:space="preserve">      ,,aaaaaaaadeehiiiiiknnnppprrrsssuuvv</t>
  </si>
  <si>
    <t>127679 : [18,12,22],</t>
  </si>
  <si>
    <t>127679 : 1,</t>
  </si>
  <si>
    <t xml:space="preserve">     ,,aaaaaaaadeehiiiiiknnnppprrrsssuuvv</t>
  </si>
  <si>
    <t>187126 : [18,12,22],</t>
  </si>
  <si>
    <t>187126 : 1,</t>
  </si>
  <si>
    <t xml:space="preserve">    ,aaaaaeefghiillnnnnoooopprrstty</t>
  </si>
  <si>
    <t>315002 : [24,50,19],</t>
  </si>
  <si>
    <t>315002 : 1,</t>
  </si>
  <si>
    <t xml:space="preserve">      ,,aaaaaaddeeeehhhhhhiilmmnnnprrrrssstuvy</t>
  </si>
  <si>
    <t>159212 : [10,48,22],</t>
  </si>
  <si>
    <t>159212 : 1,</t>
  </si>
  <si>
    <t xml:space="preserve">     aaaadeeegghhiijlmnnnntwyz</t>
  </si>
  <si>
    <t>136592 : [19,15,24],</t>
  </si>
  <si>
    <t>136592 : 1,</t>
  </si>
  <si>
    <t xml:space="preserve">    aaaadeeegghhiijlmnnnntwyz</t>
  </si>
  <si>
    <t>314880 : [19,15,24],</t>
  </si>
  <si>
    <t>314880 : 1,</t>
  </si>
  <si>
    <t xml:space="preserve">   ,aaaaaeefhhiijmnnnprrrsst</t>
  </si>
  <si>
    <t>136429 : [28,49,32],</t>
  </si>
  <si>
    <t>136429 : 1,</t>
  </si>
  <si>
    <t xml:space="preserve">     ,,aaaaaaaaaaaaaaaaadhhiiiiikkknnnnnnpprrrsstvyyy</t>
  </si>
  <si>
    <t>164111 : [31,7,8],</t>
  </si>
  <si>
    <t>164111 : 1,</t>
  </si>
  <si>
    <t xml:space="preserve"> aaaabhhhikmnostty</t>
  </si>
  <si>
    <t>312216 : [2,20,44],</t>
  </si>
  <si>
    <t>312216 : 1,</t>
  </si>
  <si>
    <t xml:space="preserve">  aaehinnnooppstty</t>
  </si>
  <si>
    <t>327227 : [24,50,19],</t>
  </si>
  <si>
    <t>327227 : 1,</t>
  </si>
  <si>
    <t xml:space="preserve">   ,aaaaeeeghhikklmnrssuwx</t>
  </si>
  <si>
    <t>111261 : [48,22,16],</t>
  </si>
  <si>
    <t>111261 : 1,</t>
  </si>
  <si>
    <t xml:space="preserve">   ,aaaaaaaaaghhiiiikkkmmnnnrrsstttu</t>
  </si>
  <si>
    <t>301719 : [34,47,9],</t>
  </si>
  <si>
    <t>301719 : 1,</t>
  </si>
  <si>
    <t xml:space="preserve">     ,,aaaaaaaacceeehhhiiiiilllmnnoprrrrssttyy</t>
  </si>
  <si>
    <t>137043 : [12,27,13],</t>
  </si>
  <si>
    <t>137043 : 1,</t>
  </si>
  <si>
    <t xml:space="preserve">   ,aaaabeeghilmnnotvwz</t>
  </si>
  <si>
    <t>127778 : [12,21,31],</t>
  </si>
  <si>
    <t>127778 : 1,</t>
  </si>
  <si>
    <t xml:space="preserve">     ,,aaaaeeghhhhiiijjjlnnnnosssuu</t>
  </si>
  <si>
    <t>193690 : [32,21,28],</t>
  </si>
  <si>
    <t>193690 : 1,</t>
  </si>
  <si>
    <t xml:space="preserve">     ,,aaaaaabcdeeeehiiklllmmmnnnoooorssy</t>
  </si>
  <si>
    <t>171926 : [7,22,10],</t>
  </si>
  <si>
    <t>171926 : 1,</t>
  </si>
  <si>
    <t xml:space="preserve">           ,,,,,aaaaaaaaabbbbbbceeeeeeeeehhhhiiimmmmmmmnnorrrrrrsssssssty</t>
  </si>
  <si>
    <t>301949 : [30,29,31],</t>
  </si>
  <si>
    <t>301949 : 1,</t>
  </si>
  <si>
    <t xml:space="preserve">     ,,aaaaaaaabddeeeggghhhiiiilllmmnnnoprrrrrrrrsssuwy</t>
  </si>
  <si>
    <t>139550 : [13,12,11],</t>
  </si>
  <si>
    <t>139550 : 1,</t>
  </si>
  <si>
    <t xml:space="preserve">   ,aacddeehijnoorstvyy</t>
  </si>
  <si>
    <t>320476 : [50,15,34],</t>
  </si>
  <si>
    <t>320476 : 1,</t>
  </si>
  <si>
    <t xml:space="preserve">      ,,aaaaaaaaadefhiiiiklllmnnnoprrsssyy</t>
  </si>
  <si>
    <t>119856 : [22,10,14],</t>
  </si>
  <si>
    <t>119856 : 1,</t>
  </si>
  <si>
    <t xml:space="preserve">     ,,aaaaaaaabddeeggghhhhiiiiilllmmnnnoprrrrrrrrsssuwy</t>
  </si>
  <si>
    <t>110246 : [13,12,11],</t>
  </si>
  <si>
    <t>110246 : 1,</t>
  </si>
  <si>
    <t xml:space="preserve">     ,,aaaaaaaaaaaaaccdeeehiijkklmnnnnnnorrrxy</t>
  </si>
  <si>
    <t>157686 : [48,16,18],</t>
  </si>
  <si>
    <t>157686 : 1,</t>
  </si>
  <si>
    <t xml:space="preserve">   ,abbcdeeghiiijnnnnnorrsty</t>
  </si>
  <si>
    <t>138608 : [34,15,9],</t>
  </si>
  <si>
    <t>138608 : 1,</t>
  </si>
  <si>
    <t xml:space="preserve">    ,aaaaabbceehiiiimmnnorssuy</t>
  </si>
  <si>
    <t>137122 : [5,24,15],</t>
  </si>
  <si>
    <t>137122 : 1,</t>
  </si>
  <si>
    <t xml:space="preserve">   ,aaeeeeiillmnouxxy</t>
  </si>
  <si>
    <t>137374 : [30,32,47],</t>
  </si>
  <si>
    <t>137374 : 1,</t>
  </si>
  <si>
    <t xml:space="preserve">   ,aacdhlprrttuuuuvy</t>
  </si>
  <si>
    <t>111847 : [15,19,9],</t>
  </si>
  <si>
    <t>111847 : 1,</t>
  </si>
  <si>
    <t xml:space="preserve">   ,aaaaaaabdehhiiiiillmnpprrrstuvvy</t>
  </si>
  <si>
    <t>188263 : [50,19,5],</t>
  </si>
  <si>
    <t>188263 : 1,</t>
  </si>
  <si>
    <t xml:space="preserve">     ,,aaaabdeeeghhiiijlmnnnnnnorswz</t>
  </si>
  <si>
    <t>314879 : [48,7,22],</t>
  </si>
  <si>
    <t>314879 : 1,</t>
  </si>
  <si>
    <t xml:space="preserve">   ,aaaaaddehhiiimmmnnsv</t>
  </si>
  <si>
    <t>157788 : [50,5,47],</t>
  </si>
  <si>
    <t>157788 : 1,</t>
  </si>
  <si>
    <t xml:space="preserve">   ,aaaccehiiikmmnnoprstt</t>
  </si>
  <si>
    <t>306594 : [8,10,30],</t>
  </si>
  <si>
    <t>306594 : 1,</t>
  </si>
  <si>
    <t xml:space="preserve">   ,aaaaceeiinnnoopprstttvwy</t>
  </si>
  <si>
    <t>124274 : [47,5,7],</t>
  </si>
  <si>
    <t>124274 : 1,</t>
  </si>
  <si>
    <t xml:space="preserve">     ,aaaaaaaaaabbceehhhhiiiiikkkklmmmnnnnnorrrsstttuuvwyy</t>
  </si>
  <si>
    <t>182939 : [16,7,48],</t>
  </si>
  <si>
    <t>182939 : 1,</t>
  </si>
  <si>
    <t xml:space="preserve">   ,ahhhiimmmnnoooorssstuuwy</t>
  </si>
  <si>
    <t>137290 : [19,34,9],</t>
  </si>
  <si>
    <t>137290 : 1,</t>
  </si>
  <si>
    <t xml:space="preserve">   ,aacegghhhijnnnrrstuyz</t>
  </si>
  <si>
    <t>119421 : [19,34,3],</t>
  </si>
  <si>
    <t>119421 : 1,</t>
  </si>
  <si>
    <t xml:space="preserve">   ,aaaaaaaadggghijnnnnrrsy</t>
  </si>
  <si>
    <t>138695 : [7,11,28],</t>
  </si>
  <si>
    <t>138695 : 0,</t>
  </si>
  <si>
    <t xml:space="preserve">     ,,aaaaaaacdeegghiiilmnnnorrtvyy</t>
  </si>
  <si>
    <t>306633 : [10,7,48],</t>
  </si>
  <si>
    <t>306633 : 0,</t>
  </si>
  <si>
    <t xml:space="preserve">   ,aaaaegghiiijklnprstuuy</t>
  </si>
  <si>
    <t>301743 : [9,47,39],</t>
  </si>
  <si>
    <t>301743 : 0,</t>
  </si>
  <si>
    <t xml:space="preserve">      ,,aaaaaaaadghhikklmmnnnoprrrrsttuyy</t>
  </si>
  <si>
    <t>151669 : [10,7,9],</t>
  </si>
  <si>
    <t>151669 : 0,</t>
  </si>
  <si>
    <t xml:space="preserve">     ,,aaaaaaaadghhikklmmnnnoprrrrsttuyy</t>
  </si>
  <si>
    <t>145116 : [10,7,9],</t>
  </si>
  <si>
    <t>145116 : 0,</t>
  </si>
  <si>
    <t xml:space="preserve">       ,,aaaaaaaaaddghhikklmmnnnnoprrrrsttuyy</t>
  </si>
  <si>
    <t>151041 : [10,7,41],</t>
  </si>
  <si>
    <t>151041 : 0,</t>
  </si>
  <si>
    <t xml:space="preserve">     ,,aabdeeeeegiiillllnnnoprsuw</t>
  </si>
  <si>
    <t>150673 : [8,49,27],</t>
  </si>
  <si>
    <t>150673 : 0,</t>
  </si>
  <si>
    <t xml:space="preserve">       ,aaaaaaabbcdeeefhhhiiiiikkllllnnnnrrrssssstvv</t>
  </si>
  <si>
    <t>151881 : [48,22,12],</t>
  </si>
  <si>
    <t>151881 : 0,</t>
  </si>
  <si>
    <t xml:space="preserve">              ---,,aaaaaaabbbbbbcceeeeeeeeefhhhiiiiikkllllmmmmmmnnnrrrrrrssssstvv</t>
  </si>
  <si>
    <t>151883 : [48,22,12],</t>
  </si>
  <si>
    <t>151883 : 0,</t>
  </si>
  <si>
    <t xml:space="preserve">     ,,aaaaaabbceeefhhhiiiiikkllllnnnrrrssssstvv</t>
  </si>
  <si>
    <t>150825 : [48,22,12],</t>
  </si>
  <si>
    <t>150825 : 0,</t>
  </si>
  <si>
    <t xml:space="preserve">     ,,aaacdeeehhhhiiiiiiiikkmnnnorrrrrrsstttuuw</t>
  </si>
  <si>
    <t>150693 : [32,27,49],</t>
  </si>
  <si>
    <t>150693 : 0,</t>
  </si>
  <si>
    <t xml:space="preserve">   ,aaaaaaahhiikknnprrssttuvw</t>
  </si>
  <si>
    <t>205403 : [5,19,35],</t>
  </si>
  <si>
    <t>205403 : 0,</t>
  </si>
  <si>
    <t xml:space="preserve">    aaaaaabddeeffiiiikklnnnnorssw</t>
  </si>
  <si>
    <t>313866 : [28,13,12],</t>
  </si>
  <si>
    <t>313866 : 0,</t>
  </si>
  <si>
    <t xml:space="preserve">   ,aaaaabdeeffiiiikklnnnorssw</t>
  </si>
  <si>
    <t>162277 : [28,13,12],</t>
  </si>
  <si>
    <t>162277 : 0,</t>
  </si>
  <si>
    <t xml:space="preserve">        ,,,aaaabbbeeeeghiillllmmmmnoprrryy</t>
  </si>
  <si>
    <t>150818 : [50,47,24],</t>
  </si>
  <si>
    <t>150818 : 0,</t>
  </si>
  <si>
    <t xml:space="preserve">       ,,,aaaabbbeeeeghiillllmmmmnoprrryy</t>
  </si>
  <si>
    <t>326504 : [50,47,24],</t>
  </si>
  <si>
    <t>326504 : 0,</t>
  </si>
  <si>
    <t xml:space="preserve">     ,,aaaaaaaaefhhhiimnnnorrsssssttttuuuy</t>
  </si>
  <si>
    <t>164534 : [22,20,50],</t>
  </si>
  <si>
    <t>164534 : 0,</t>
  </si>
  <si>
    <t xml:space="preserve"> aaahijnnpprrtu</t>
  </si>
  <si>
    <t>151342 : [18,1,40],</t>
  </si>
  <si>
    <t>151342 : 0,</t>
  </si>
  <si>
    <t xml:space="preserve">   ,aaaaaaabdeeghijklmmmnnrrssuuuy</t>
  </si>
  <si>
    <t>150689 : [15,34,47],</t>
  </si>
  <si>
    <t>150689 : 0,</t>
  </si>
  <si>
    <t xml:space="preserve">    ,aaaaaddeegghiillnnnrstuyy</t>
  </si>
  <si>
    <t>119432 : [34,47,14],</t>
  </si>
  <si>
    <t>119432 : 0,</t>
  </si>
  <si>
    <t xml:space="preserve">     ,,aaaceeeeghiklllnnnssuuvxyy</t>
  </si>
  <si>
    <t>149958 : [8,32,38],</t>
  </si>
  <si>
    <t>149958 : 0,</t>
  </si>
  <si>
    <t xml:space="preserve">    aaaacdeeeghllnnnnssuvy</t>
  </si>
  <si>
    <t>306354 : [8,32,40],</t>
  </si>
  <si>
    <t>306354 : 0,</t>
  </si>
  <si>
    <t xml:space="preserve">     ,,aaaaaaaaabddeeggghhiiijkllmnnnnnorrrrsstuy</t>
  </si>
  <si>
    <t>195481 : [49,4,29],</t>
  </si>
  <si>
    <t>195481 : 0,</t>
  </si>
  <si>
    <t xml:space="preserve">   ,aeehiiijlnnnnrsuuw</t>
  </si>
  <si>
    <t>204806 : [15,5,15],</t>
  </si>
  <si>
    <t>204806 : 0,</t>
  </si>
  <si>
    <t xml:space="preserve">      aaaaaaaadhhiiiikkklmmnnnprsssuy</t>
  </si>
  <si>
    <t>179850 : [24,15,34],</t>
  </si>
  <si>
    <t>179850 : 0,</t>
  </si>
  <si>
    <t xml:space="preserve">     ,,aaaaaaaaacddeeehhhhiiiiklmrrrsttvwyy</t>
  </si>
  <si>
    <t>209436 : [49,27,21],</t>
  </si>
  <si>
    <t>209436 : 0,</t>
  </si>
  <si>
    <t xml:space="preserve">   ,aaeehiijlmnnsttuuwy</t>
  </si>
  <si>
    <t>204860 : [5,15,40],</t>
  </si>
  <si>
    <t>204860 : 0,</t>
  </si>
  <si>
    <t xml:space="preserve">      ,,aaaaaaaaacddeeehhhhiiiiklmrrrsttvwyy</t>
  </si>
  <si>
    <t>165873 : [49,27,21],</t>
  </si>
  <si>
    <t>165873 : 0,</t>
  </si>
  <si>
    <t xml:space="preserve">     ,,aaaaaaabcceeeeeeehiiiikllllllnpprrrsstwy</t>
  </si>
  <si>
    <t>151869 : [7,27,22],</t>
  </si>
  <si>
    <t>151869 : 0,</t>
  </si>
  <si>
    <t xml:space="preserve">      ,,aaaaaaabcceeeeeeehiiiikllllllnpprrrsstwy</t>
  </si>
  <si>
    <t>151509 : [7,12,22],</t>
  </si>
  <si>
    <t>151509 : 0,</t>
  </si>
  <si>
    <t xml:space="preserve">     aaaceeeeghiklllnnnssuuvxyy</t>
  </si>
  <si>
    <t>306354 : [8,32,38],</t>
  </si>
  <si>
    <t xml:space="preserve">    ,aaaaaaaddeehiiklmnnnrsww</t>
  </si>
  <si>
    <t>313865 : [19,40,46],</t>
  </si>
  <si>
    <t>313865 : 0,</t>
  </si>
  <si>
    <t xml:space="preserve">   ,aaaaaacdhiiikllmmnrruuvw</t>
  </si>
  <si>
    <t>157280 : [19,50,47],</t>
  </si>
  <si>
    <t>157280 : 0,</t>
  </si>
  <si>
    <t xml:space="preserve">   ,aaacddeeeehiiikklmnnoorrstuvwyz</t>
  </si>
  <si>
    <t>118704 : [47,5,15],</t>
  </si>
  <si>
    <t>118704 : 0,</t>
  </si>
  <si>
    <t xml:space="preserve">   ,aaaaaaddghhhiijkmnrsstuuy</t>
  </si>
  <si>
    <t>198278 : [15,19,34],</t>
  </si>
  <si>
    <t>198278 : 0,</t>
  </si>
  <si>
    <t xml:space="preserve">     ,,aaaaaaaaabbddghhiiilnnrrrsstyy</t>
  </si>
  <si>
    <t>320526 : [48,38,36],</t>
  </si>
  <si>
    <t>320526 : 0,</t>
  </si>
  <si>
    <t xml:space="preserve">    ,aaaaaaahhiiiikkklmmnnprsssuy</t>
  </si>
  <si>
    <t>192335 : [24,15,34],</t>
  </si>
  <si>
    <t>192335 : 0,</t>
  </si>
  <si>
    <t xml:space="preserve">    ,aaaaeiillmmssxy</t>
  </si>
  <si>
    <t>150327 : [15,19,5],</t>
  </si>
  <si>
    <t>150327 : 0,</t>
  </si>
  <si>
    <t xml:space="preserve">     ,,aaaaaaaaadefhiiiiklllmnnnoprrsssyy</t>
  </si>
  <si>
    <t>119813 : [22,10,14],</t>
  </si>
  <si>
    <t>119813 : 0,</t>
  </si>
  <si>
    <t xml:space="preserve">    ,aadeegghhjlllmmnnnnooosyy</t>
  </si>
  <si>
    <t>304150 : [24,50,9],</t>
  </si>
  <si>
    <t>304150 : 0,</t>
  </si>
  <si>
    <t xml:space="preserve">   ,aaaaeiillmmssxy</t>
  </si>
  <si>
    <t>149804 : [15,19,5],</t>
  </si>
  <si>
    <t>149804 : 0,</t>
  </si>
  <si>
    <t xml:space="preserve">   ,aaaadeeejllmnprtxy</t>
  </si>
  <si>
    <t>311055 : [15,37,36],</t>
  </si>
  <si>
    <t>311055 : 0,</t>
  </si>
  <si>
    <t xml:space="preserve">   ,aaaagghhiillnnnoquuy</t>
  </si>
  <si>
    <t>203347 : [8,34,47],</t>
  </si>
  <si>
    <t>203347 : 0,</t>
  </si>
  <si>
    <t xml:space="preserve">   ,aaaaabbdeegiiillnnoopqrrsuu</t>
  </si>
  <si>
    <t>148270 : [22,50,24],</t>
  </si>
  <si>
    <t>148270 : 0,</t>
  </si>
  <si>
    <t xml:space="preserve">   ,aaaaaddeeiiklmnnprrruvvwy</t>
  </si>
  <si>
    <t>189122 : [30,28,27],</t>
  </si>
  <si>
    <t>189122 : 0,</t>
  </si>
  <si>
    <t xml:space="preserve">    ,aaaaaddddeeeiiklmnnprrrruvvwyy</t>
  </si>
  <si>
    <t>318753 : [30,28,27],</t>
  </si>
  <si>
    <t>318753 : 0,</t>
  </si>
  <si>
    <t xml:space="preserve">     ,,aaaaaaaadggghhhhiikmnnnnoqrrstu</t>
  </si>
  <si>
    <t>151566 : [22,30,31],</t>
  </si>
  <si>
    <t>151566 : 0,</t>
  </si>
  <si>
    <t xml:space="preserve">   ,aaaaaaaaaeeehhijkllmnnprrss</t>
  </si>
  <si>
    <t>310859 : [15,9,32],</t>
  </si>
  <si>
    <t>310859 : 0,</t>
  </si>
  <si>
    <t xml:space="preserve">   ,aaaaaaabccddhhiiiijklllmmnnrrssuw</t>
  </si>
  <si>
    <t>150437 : [13,12,9],</t>
  </si>
  <si>
    <t>150437 : 0,</t>
  </si>
  <si>
    <t xml:space="preserve">     ,,aaabcdeeeffgghiilmnnnnrrsssuuvw</t>
  </si>
  <si>
    <t>178492 : [49,32,45],</t>
  </si>
  <si>
    <t>178492 : 0,</t>
  </si>
  <si>
    <t xml:space="preserve">   ,()adeeeeikmnnnoprrtw</t>
  </si>
  <si>
    <t>151672 : [47,46,20],</t>
  </si>
  <si>
    <t>151672 : 0,</t>
  </si>
  <si>
    <t xml:space="preserve">    ,aacccdeeegillnnoorttuy</t>
  </si>
  <si>
    <t>180390 : [15,23,14],</t>
  </si>
  <si>
    <t>180390 : 0,</t>
  </si>
  <si>
    <t xml:space="preserve">     ,,aaaaaaaaaaccdhhhhiiiiiikkklmnprrrrsstttuw</t>
  </si>
  <si>
    <t>323044 : [45,28,12],</t>
  </si>
  <si>
    <t>323044 : 0,</t>
  </si>
  <si>
    <t xml:space="preserve">     ,,aaaaaaaaaaccdhhhhiiiiiikklmnprrrrrsstttuw</t>
  </si>
  <si>
    <t>192465 : [45,28,12],</t>
  </si>
  <si>
    <t>192465 : 0,</t>
  </si>
  <si>
    <t xml:space="preserve">   ,aaaaaaaacdghhhhiiiikllmnnnnnrtuvy</t>
  </si>
  <si>
    <t>203326 : [5,50,9],</t>
  </si>
  <si>
    <t>203326 : 0,</t>
  </si>
  <si>
    <t xml:space="preserve">   ,aaaaaaaeehhkklnprtttuy</t>
  </si>
  <si>
    <t>149907 : [50,24,15],</t>
  </si>
  <si>
    <t>149907 : 0,</t>
  </si>
  <si>
    <t xml:space="preserve">      ,,aaaaaabbeeehhiijmmnnnnorrtttt</t>
  </si>
  <si>
    <t>311782 : [4,30,28],</t>
  </si>
  <si>
    <t>311782 : 0,</t>
  </si>
  <si>
    <t xml:space="preserve">     ,,aaaaaaaaaaaaabcdghhiiiikkllnnnnnprrrstuuvvy</t>
  </si>
  <si>
    <t>152330 : [48,18,8],</t>
  </si>
  <si>
    <t>152330 : 0,</t>
  </si>
  <si>
    <t xml:space="preserve">     ,,aaaaaaaadiiiijjklllmnnprrrrstuuuvy</t>
  </si>
  <si>
    <t>152069 : [10,12,13],</t>
  </si>
  <si>
    <t>152069 : 0,</t>
  </si>
  <si>
    <t xml:space="preserve">   -,aaacccdeeegiillmnnnoorrttuy</t>
  </si>
  <si>
    <t>150726 : [15,40,10],</t>
  </si>
  <si>
    <t>150726 : 0,</t>
  </si>
  <si>
    <t xml:space="preserve">     ,,aaabceeillmnnnorrstuuuxxy</t>
  </si>
  <si>
    <t>151773 : [34,41,47],</t>
  </si>
  <si>
    <t>151773 : 0,</t>
  </si>
  <si>
    <t xml:space="preserve">   ,aadeegghhjlllmmnnnnooosyy</t>
  </si>
  <si>
    <t>188888 : [24,50,9],</t>
  </si>
  <si>
    <t>188888 : 0,</t>
  </si>
  <si>
    <t xml:space="preserve">   ,aaaadeehkkmnpprrrttww</t>
  </si>
  <si>
    <t>151671 : [37,15,49],</t>
  </si>
  <si>
    <t>151671 : 0,</t>
  </si>
  <si>
    <t xml:space="preserve">     ,,’28aaaaaaaaacddeeehhhhiiiiklmrrrsttvwyy</t>
  </si>
  <si>
    <t>205730 : [49,27,21],</t>
  </si>
  <si>
    <t>205730 : 0,</t>
  </si>
  <si>
    <t xml:space="preserve">   ,.aaeeghjjkmnnooprruy</t>
  </si>
  <si>
    <t>317849 : [47,48,41],</t>
  </si>
  <si>
    <t>317849 : 0,</t>
  </si>
  <si>
    <t xml:space="preserve">     ,,aaaadeegiiijjllmnnoruuuvyyy</t>
  </si>
  <si>
    <t>150359 : [48,45,22],</t>
  </si>
  <si>
    <t>150359 : 0,</t>
  </si>
  <si>
    <t xml:space="preserve">    aaaaabccddeehiiikllmnnoprrsttuv</t>
  </si>
  <si>
    <t>118943 : [28,24,12],</t>
  </si>
  <si>
    <t>118943 : 0,</t>
  </si>
  <si>
    <t xml:space="preserve">    aaaaaddffghiiijllmnnnrrssstuuu</t>
  </si>
  <si>
    <t>136461 : [47,24,50],</t>
  </si>
  <si>
    <t>136461 : 0,</t>
  </si>
  <si>
    <t>Event Assignments:</t>
  </si>
  <si>
    <t>regex</t>
  </si>
  <si>
    <t>Event 0: Members [306645, 110137, 153380, 110452, 119273, 125495]</t>
  </si>
  <si>
    <t>0[306645,110137,153380,110452,119273,125495</t>
  </si>
  <si>
    <t>Event 1: Members [118257, 148048, 186690, 184382, 119320]</t>
  </si>
  <si>
    <t>1[118257,148048,186690,184382,119320</t>
  </si>
  <si>
    <t>Event 2: Members [163486, 153248, 312216, 202086]</t>
  </si>
  <si>
    <t>2[163486,153248,312216,202086</t>
  </si>
  <si>
    <t>Event 3: Members [162386, 155629, 151855, 136527, 109386, 148203]</t>
  </si>
  <si>
    <t>3[162386,155629,151855,136527,109386,148203</t>
  </si>
  <si>
    <t>Event 4: Members [190963, 311782]</t>
  </si>
  <si>
    <t>4[190963,311782</t>
  </si>
  <si>
    <t>Event 5: Members [110390, 153984, 137724, 325570, 137122, 157788, 205403, 204860, 149804, 203326]</t>
  </si>
  <si>
    <t>5[110390,153984,137724,325570,137122,157788,205403,204860,149804,203326</t>
  </si>
  <si>
    <t>Event 6: Members [125698, 116685, 111281, 138182]</t>
  </si>
  <si>
    <t>6[125698,116685,111281,138182</t>
  </si>
  <si>
    <t>Event 7: Members [188447, 171926, 137947, 138695, 151869, 151509]</t>
  </si>
  <si>
    <t>7[188447,171926,137947,138695,151869,151509</t>
  </si>
  <si>
    <t>Event 8: Members [152136, 301144, 110400, 306594, 204968, 150673, 149958, 306354, 203347]</t>
  </si>
  <si>
    <t>8[152136,301144,110400,306594,204968,150673,149958,306354,203347</t>
  </si>
  <si>
    <t>Event 9: Members [111849, 135551, 148882, 119049, 301743, 310859]</t>
  </si>
  <si>
    <t>9[111849,135551,148882,119049,301743,310859</t>
  </si>
  <si>
    <t>Event 10: Members [324008, 177495, 319194, 159212, 150645, 306633, 151669, 145116, 151041, 152069]</t>
  </si>
  <si>
    <t>10[324008,177495,319194,159212,150645,306633,151669,145116,151041,152069</t>
  </si>
  <si>
    <t>Event 11: Members [115831, 163664, 311130, 113775, 119064, 109668]</t>
  </si>
  <si>
    <t>11[115831,163664,311130,113775,119064,109668</t>
  </si>
  <si>
    <t>Event 12: Members [111264, 137043, 127778]</t>
  </si>
  <si>
    <t>12[111264,137043,127778</t>
  </si>
  <si>
    <t>Event 13: Members [110580, 139550, 110246, 150437]</t>
  </si>
  <si>
    <t>13[110580,139550,110246,150437</t>
  </si>
  <si>
    <t>Event 14: Members [116467, 128793, 193973]</t>
  </si>
  <si>
    <t>14[116467,128793,193973</t>
  </si>
  <si>
    <t>Event 15: Members [165888, 148321, 326330, 110313, 112303, 111847, 306014, 150689, 204806, 198278]</t>
  </si>
  <si>
    <t>15[165888,148321,326330,110313,112303,111847,306014,150689,204806,198278</t>
  </si>
  <si>
    <t>Event 16: Members [182939]</t>
  </si>
  <si>
    <t>16[182939</t>
  </si>
  <si>
    <t>Event 17: Members [180776, 154764, 110099, 188911, 153462, 137811, 186129]</t>
  </si>
  <si>
    <t>17[180776,154764,110099,188911,153462,137811,186129</t>
  </si>
  <si>
    <t>Event 18: Members [152840, 310712, 127679, 187126, 151342, 152330]</t>
  </si>
  <si>
    <t>18[152840,310712,127679,187126,151342,152330</t>
  </si>
  <si>
    <t>Event 19: Members [138492, 138050, 136592, 314880, 188263, 137290, 119421, 313865, 157280, 150327]</t>
  </si>
  <si>
    <t>19[138492,138050,136592,314880,188263,137290,119421,313865,157280,150327</t>
  </si>
  <si>
    <t>Event 20: Members [145700, 109820, 150353]</t>
  </si>
  <si>
    <t>20[145700,109820,150353</t>
  </si>
  <si>
    <t>Event 21: Members [136893, 109886]</t>
  </si>
  <si>
    <t>21[136893,109886</t>
  </si>
  <si>
    <t>Event 22: Members [162647, 164480, 136686, 138399, 136292, 314091, 119856, 164534, 119813, 148270]</t>
  </si>
  <si>
    <t>22[162647,164480,136686,138399,136292,314091,119856,164534,119813,148270</t>
  </si>
  <si>
    <t>Event 23: Members [119687, 320421, 180390]</t>
  </si>
  <si>
    <t>23[119687,320421,180390</t>
  </si>
  <si>
    <t>Event 24: Members [315002, 327227, 179850, 192335, 304150, 149907, 188888]</t>
  </si>
  <si>
    <t>24[315002,327227,179850,192335,304150,149907,188888</t>
  </si>
  <si>
    <t>Event 25: Members [124187, 323614, 150236, 138394, 189124, 142597, 318895, 128023, 148202, 319859]</t>
  </si>
  <si>
    <t>25[124187,323614,150236,138394,189124,142597,318895,128023,148202,319859</t>
  </si>
  <si>
    <t>Event 26: Members [118860, 119009, 124399, 171913, 136455, 151799]</t>
  </si>
  <si>
    <t>26[118860,119009,124399,171913,136455,151799</t>
  </si>
  <si>
    <t>Event 27: Members [119448, 301809, 150842, 301529, 306632]</t>
  </si>
  <si>
    <t>27[119448,301809,150842,301529,306632</t>
  </si>
  <si>
    <t>Event 28: Members [110481, 154787, 193431, 189852, 136429, 313866, 162277, 118943]</t>
  </si>
  <si>
    <t>28[110481,154787,193431,189852,136429,313866,162277,118943</t>
  </si>
  <si>
    <t>Event 29: Members [503997]</t>
  </si>
  <si>
    <t>29[503997</t>
  </si>
  <si>
    <t>Event 30: Members [118526, 187156, 184175, 119330, 190651, 163774, 301949, 137374, 189122, 318753]</t>
  </si>
  <si>
    <t>30[118526,187156,184175,119330,190651,163774,301949,137374,189122,318753</t>
  </si>
  <si>
    <t>Event 31: Members [145985, 120747, 139393, 109964, 315581, 124166, 164111, 151566]</t>
  </si>
  <si>
    <t>31[145985,120747,139393,109964,315581,124166,164111,151566</t>
  </si>
  <si>
    <t>Event 32: Members [110139, 110629, 193690, 150837, 206812, 150693]</t>
  </si>
  <si>
    <t>32[110139,110629,193690,150837,206812,150693</t>
  </si>
  <si>
    <t>Event 33: Members [303237]</t>
  </si>
  <si>
    <t>33[303237</t>
  </si>
  <si>
    <t>Event 34: Members [306538, 109687, 301719, 138608, 150386, 119432, 151773]</t>
  </si>
  <si>
    <t>34[306538,109687,301719,138608,150386,119432,151773</t>
  </si>
  <si>
    <t>Event 35: Members [196392, 162280, 129064]</t>
  </si>
  <si>
    <t>35[196392,162280,129064</t>
  </si>
  <si>
    <t>Event 36: Members [150663, 207052, 177631, 137911, 326007, 154981]</t>
  </si>
  <si>
    <t>36[150663,207052,177631,137911,326007,154981</t>
  </si>
  <si>
    <t>Event 37: Members [150826, 192804, 304949, 171928, 169390, 318933, 311055, 151671]</t>
  </si>
  <si>
    <t>37[150826,192804,304949,171928,169390,318933,311055,151671</t>
  </si>
  <si>
    <t>Event 38: Members [206031, 150581, 204995, 206209, 205217, 150316, 173955, 150671, 149693, 138451]</t>
  </si>
  <si>
    <t>38[206031,150581,204995,206209,205217,150316,173955,150671,149693,138451</t>
  </si>
  <si>
    <t>Event 39: Members [301227, 117129, 155451, 150361]</t>
  </si>
  <si>
    <t>39[301227,117129,155451,150361</t>
  </si>
  <si>
    <t>Event 40: Members [136204, 182956, 124385, 150726]</t>
  </si>
  <si>
    <t>40[136204,182956,124385,150726</t>
  </si>
  <si>
    <t>Event 41: Members [118662, 126515, 136758, 150390]</t>
  </si>
  <si>
    <t>41[118662,126515,136758,150390</t>
  </si>
  <si>
    <t>Event 42: Members [118770, 319260]</t>
  </si>
  <si>
    <t>42[118770,319260</t>
  </si>
  <si>
    <t>Event 43: Members [149616]</t>
  </si>
  <si>
    <t>43[149616</t>
  </si>
  <si>
    <t>Event 44: Members [308141, 152185, 137962]</t>
  </si>
  <si>
    <t>44[308141,152185,137962</t>
  </si>
  <si>
    <t>Event 45: Members [110176, 323044, 192465, 150359]</t>
  </si>
  <si>
    <t>45[110176,323044,192465,150359</t>
  </si>
  <si>
    <t>Event 46: Members [151889, 312060, 317736, 118719, 209153]</t>
  </si>
  <si>
    <t>46[151889,312060,317736,118719,209153</t>
  </si>
  <si>
    <t>Event 47: Members [148480, 110181, 124274, 150818, 326504, 118704, 151672, 317849, 136461]</t>
  </si>
  <si>
    <t>47[148480,110181,124274,150818,326504,118704,151672,317849,136461</t>
  </si>
  <si>
    <t>Event 48: Members [111512, 180335, 111261, 157686, 314879, 171656, 151881, 151883, 150825, 320526]</t>
  </si>
  <si>
    <t>48[111512,180335,111261,157686,314879,171656,151881,151883,150825,320526</t>
  </si>
  <si>
    <t>Event 49: Members [139441, 309122, 195481, 209436, 165873, 178492, 205730]</t>
  </si>
  <si>
    <t>49[139441,309122,195481,209436,165873,178492,205730</t>
  </si>
  <si>
    <t>Event 50: Members [111134, 119554, 152872, 324051, 119930, 111838, 110571, 136210, 137864, 320476]</t>
  </si>
  <si>
    <t>50[111134,119554,152872,324051,119930,111838,110571,136210,137864,320476</t>
  </si>
  <si>
    <t>aidenwen@Aidens-MacBook-Air coding_projects %</t>
  </si>
  <si>
    <t>Full Legal Name (First &amp; Last)</t>
  </si>
  <si>
    <t>Student ID (Without the "s")</t>
  </si>
  <si>
    <t xml:space="preserve">Past DECA performance, select the highest honor you've received. </t>
  </si>
  <si>
    <t>First Competitive Event Preference</t>
  </si>
  <si>
    <t>List your team member's full name AND your full name (ex: you, member A, member B). If you are competing solo, please type "NA".</t>
  </si>
  <si>
    <t>Second Competitive Event Preference</t>
  </si>
  <si>
    <t>Third Competitive Event Preference</t>
  </si>
  <si>
    <t>List your team member's full name AND your full name  (ex: you, member A, member B). If you are competing solo, please type "NA".</t>
  </si>
  <si>
    <t>Dictionary</t>
  </si>
  <si>
    <t>Member A) Ishaan Sagar Member B) Bryan Li Member C) Aditya Bhadra</t>
  </si>
  <si>
    <t>me: Alyssa Li,  team member: Emma Xia</t>
  </si>
  <si>
    <t>Shaurya</t>
  </si>
  <si>
    <t>Singh</t>
  </si>
  <si>
    <t>s197551</t>
  </si>
  <si>
    <t xml:space="preserve">Puyan Heidari </t>
  </si>
  <si>
    <t>2 : [25,26,42],</t>
  </si>
  <si>
    <t>2 : 2,</t>
  </si>
  <si>
    <t>3 : [11,8,12],</t>
  </si>
  <si>
    <t>3 : 3,</t>
  </si>
  <si>
    <t>4 : [25,23,35],</t>
  </si>
  <si>
    <t>4 : 5,</t>
  </si>
  <si>
    <t>5 : [25,42,26],</t>
  </si>
  <si>
    <t>5 : 1,</t>
  </si>
  <si>
    <t>6 : [3,0,35],</t>
  </si>
  <si>
    <t>6 : 2,</t>
  </si>
  <si>
    <t>7 : [17,33,6],</t>
  </si>
  <si>
    <t>7 : 1,</t>
  </si>
  <si>
    <t>10 : [41,42,6],</t>
  </si>
  <si>
    <t>10 : 3,</t>
  </si>
  <si>
    <t>12 : [0,3,35],</t>
  </si>
  <si>
    <t>12 : 3,</t>
  </si>
  <si>
    <t>13 : [10,48,7],</t>
  </si>
  <si>
    <t>13 : 2,</t>
  </si>
  <si>
    <t>16 : [3,35,0],</t>
  </si>
  <si>
    <t>16 : 2,</t>
  </si>
  <si>
    <t>17 : [26,23,25],</t>
  </si>
  <si>
    <t>17 : 2,</t>
  </si>
  <si>
    <t>21 : [44,6,33],</t>
  </si>
  <si>
    <t>21 : 2,</t>
  </si>
  <si>
    <t>23 : [46,43,35],</t>
  </si>
  <si>
    <t>23 : 1,</t>
  </si>
  <si>
    <t>24 : [41,23,17],</t>
  </si>
  <si>
    <t>24 : 5,</t>
  </si>
  <si>
    <t>25 : [12,13,22],</t>
  </si>
  <si>
    <t>25 : 3,</t>
  </si>
  <si>
    <t>34 : [27,4,41],</t>
  </si>
  <si>
    <t>34 : 0,</t>
  </si>
  <si>
    <t>36 : [38,37,36],</t>
  </si>
  <si>
    <t>36 : 0,</t>
  </si>
  <si>
    <t>N/A</t>
  </si>
  <si>
    <t>40 : [46,3,26],</t>
  </si>
  <si>
    <t>40 : 2,</t>
  </si>
  <si>
    <t>45 : [30,29,31],</t>
  </si>
  <si>
    <t>45 : 1,</t>
  </si>
  <si>
    <t>50 : [17,0,3],</t>
  </si>
  <si>
    <t>50 : 5,</t>
  </si>
  <si>
    <t>51 : [38,36,3],</t>
  </si>
  <si>
    <t>51 : 0,</t>
  </si>
  <si>
    <t>52 : [35,0,17],</t>
  </si>
  <si>
    <t>52 : 0,</t>
  </si>
  <si>
    <t>53 : [20,46,19],</t>
  </si>
  <si>
    <t>53 : 3,</t>
  </si>
  <si>
    <t>54 : [37,26,20],</t>
  </si>
  <si>
    <t>54 : 0,</t>
  </si>
  <si>
    <t>60 : [39,40,36],</t>
  </si>
  <si>
    <t>60 : 0,</t>
  </si>
  <si>
    <t>61 : [33,42,17],</t>
  </si>
  <si>
    <t>61 : 1,</t>
  </si>
  <si>
    <t>62 : [7,48,22],</t>
  </si>
  <si>
    <t>62 : 0,</t>
  </si>
  <si>
    <t>64 : [41,23,17],</t>
  </si>
  <si>
    <t>64 : 3,</t>
  </si>
  <si>
    <t>65 : [30,31,29],</t>
  </si>
  <si>
    <t>65 : 4,</t>
  </si>
  <si>
    <t>67 : [41,40,6],</t>
  </si>
  <si>
    <t>67 : 1,</t>
  </si>
  <si>
    <t>69 : [38,17,19],</t>
  </si>
  <si>
    <t>69 : 0,</t>
  </si>
  <si>
    <t>95 : [17,18,7],</t>
  </si>
  <si>
    <t>95 : 5,</t>
  </si>
  <si>
    <t>96 : [1,26,30],</t>
  </si>
  <si>
    <t>96 : 0,</t>
  </si>
  <si>
    <t>101 : [38,40,37],</t>
  </si>
  <si>
    <t>101 : 0,</t>
  </si>
  <si>
    <t>109 : [25,0,1],</t>
  </si>
  <si>
    <t>109 : 1,</t>
  </si>
  <si>
    <t>113 : [40,46,37],</t>
  </si>
  <si>
    <t>113 : 0,</t>
  </si>
  <si>
    <t>119 : [1,6,44],</t>
  </si>
  <si>
    <t>119 : 1,</t>
  </si>
  <si>
    <t>122 : [17,41,27],</t>
  </si>
  <si>
    <t>122 : 4,</t>
  </si>
  <si>
    <t>125 : [38,35,36],</t>
  </si>
  <si>
    <t>125 : 0,</t>
  </si>
  <si>
    <t>126 : [14,3,23],</t>
  </si>
  <si>
    <t>126 : 2,</t>
  </si>
  <si>
    <t>130 : [35,42,1],</t>
  </si>
  <si>
    <t>130 : 1,</t>
  </si>
  <si>
    <t>134 : [23,17,29],</t>
  </si>
  <si>
    <t>134 : 2,</t>
  </si>
  <si>
    <t>136 : [30,48,46],</t>
  </si>
  <si>
    <t>136 : 2,</t>
  </si>
  <si>
    <t>137 : [26,43,25],</t>
  </si>
  <si>
    <t>137 : 2,</t>
  </si>
  <si>
    <t>141 : [17,14,3],</t>
  </si>
  <si>
    <t>141 : 2,</t>
  </si>
  <si>
    <t>142 : [32,17,28],</t>
  </si>
  <si>
    <t>142 : 0,</t>
  </si>
  <si>
    <t>143 : [38,35,37],</t>
  </si>
  <si>
    <t>143 : 0,</t>
  </si>
  <si>
    <t>145 : [39,36,38],</t>
  </si>
  <si>
    <t>145 : 0,</t>
  </si>
  <si>
    <t>146 : [26,1,25],</t>
  </si>
  <si>
    <t>146 : 2,</t>
  </si>
  <si>
    <t>147 : [25,14,6],</t>
  </si>
  <si>
    <t>147 : 1,</t>
  </si>
  <si>
    <t>149 : [6,25,47],</t>
  </si>
  <si>
    <t>149 : 2,</t>
  </si>
  <si>
    <t>154 : [14,35,3],</t>
  </si>
  <si>
    <t>154 : 5,</t>
  </si>
  <si>
    <t>155 : [2,6,47],</t>
  </si>
  <si>
    <t>155 : 2,</t>
  </si>
  <si>
    <t>157 : [17,35,3],</t>
  </si>
  <si>
    <t>157 : 0,</t>
  </si>
  <si>
    <t>166 : [36,38,40],</t>
  </si>
  <si>
    <t>166 : 0,</t>
  </si>
  <si>
    <t>167 : [34,22,37],</t>
  </si>
  <si>
    <t>167 : 0,</t>
  </si>
  <si>
    <t>174 : [20,1,33],</t>
  </si>
  <si>
    <t>174 : 2,</t>
  </si>
  <si>
    <t>182 : [25,42,46],</t>
  </si>
  <si>
    <t>182 : 1,</t>
  </si>
  <si>
    <t>183 : [36,9,40],</t>
  </si>
  <si>
    <t>183 : 0,</t>
  </si>
  <si>
    <t>187 : [20,1,40],</t>
  </si>
  <si>
    <t>187 : 0,</t>
  </si>
  <si>
    <t>200 : [37,39,38],</t>
  </si>
  <si>
    <t>200 : 0,</t>
  </si>
  <si>
    <t>201 : [8,12,11],</t>
  </si>
  <si>
    <t>201 : 0,</t>
  </si>
  <si>
    <t>206 : [3,6,20],</t>
  </si>
  <si>
    <t>206 : 1,</t>
  </si>
  <si>
    <t>222 : [37,36,40],</t>
  </si>
  <si>
    <t>222 : 0,</t>
  </si>
  <si>
    <t>229 : [3,2,47],</t>
  </si>
  <si>
    <t>229 : 1,</t>
  </si>
  <si>
    <t>233 : [17,23,41],</t>
  </si>
  <si>
    <t>233 : 5,</t>
  </si>
  <si>
    <t>236 : [0,3,35],</t>
  </si>
  <si>
    <t>236 : 4,</t>
  </si>
  <si>
    <t>238 : [26,25,33],</t>
  </si>
  <si>
    <t>238 : 1,</t>
  </si>
  <si>
    <t>241 : [37,24,39],</t>
  </si>
  <si>
    <t>241 : 0,</t>
  </si>
  <si>
    <t>243 : [25,20,26],</t>
  </si>
  <si>
    <t>243 : 4,</t>
  </si>
  <si>
    <t>245 : [38,37,40],</t>
  </si>
  <si>
    <t>245 : 0,</t>
  </si>
  <si>
    <t>251 : [0,3,41],</t>
  </si>
  <si>
    <t>251 : 4,</t>
  </si>
  <si>
    <t>253 : [0,3,35],</t>
  </si>
  <si>
    <t>253 : 2,</t>
  </si>
  <si>
    <t>257 : [8,49,48],</t>
  </si>
  <si>
    <t>257 : 0,</t>
  </si>
  <si>
    <t>258 : [6,33,44],</t>
  </si>
  <si>
    <t>258 : 1,</t>
  </si>
  <si>
    <t>261 : [18,13,11],</t>
  </si>
  <si>
    <t>261 : 4,</t>
  </si>
  <si>
    <t>262 : [25,43,33],</t>
  </si>
  <si>
    <t>262 : 2,</t>
  </si>
  <si>
    <t>263 : [1,20,47],</t>
  </si>
  <si>
    <t>263 : 1,</t>
  </si>
  <si>
    <t>269 : [38,36,35],</t>
  </si>
  <si>
    <t>269 : 0,</t>
  </si>
  <si>
    <t>272 : [3,46,14],</t>
  </si>
  <si>
    <t>272 : 1,</t>
  </si>
  <si>
    <t>276 : [15,3,5],</t>
  </si>
  <si>
    <t>276 : 0,</t>
  </si>
  <si>
    <t>278 : [1,25,26],</t>
  </si>
  <si>
    <t>278 : 1,</t>
  </si>
  <si>
    <t>280 : [10,36,7],</t>
  </si>
  <si>
    <t>280 : 0,</t>
  </si>
  <si>
    <t>281 : [36,26,35],</t>
  </si>
  <si>
    <t>281 : 0,</t>
  </si>
  <si>
    <t>282 : [22,20,48],</t>
  </si>
  <si>
    <t>282 : 1,</t>
  </si>
  <si>
    <t>286 : [15,5,37],</t>
  </si>
  <si>
    <t>286 : 2,</t>
  </si>
  <si>
    <t>287 : [26,1,20],</t>
  </si>
  <si>
    <t>287 : 2,</t>
  </si>
  <si>
    <t>292 : [0,3,38],</t>
  </si>
  <si>
    <t>292 : 1,</t>
  </si>
  <si>
    <t>293 : [36,40,38],</t>
  </si>
  <si>
    <t>293 : 0,</t>
  </si>
  <si>
    <t>294 : [11,18,12],</t>
  </si>
  <si>
    <t>294 : 2,</t>
  </si>
  <si>
    <t>295 : [25,43,42],</t>
  </si>
  <si>
    <t>295 : 2,</t>
  </si>
  <si>
    <t>299 : [23,42,25],</t>
  </si>
  <si>
    <t>299 : 1,</t>
  </si>
  <si>
    <t>301 : [29,30,49],</t>
  </si>
  <si>
    <t>301 : 1,</t>
  </si>
  <si>
    <t>303 : [42,43,26],</t>
  </si>
  <si>
    <t>303 : 1,</t>
  </si>
  <si>
    <t>304 : [43,25,42],</t>
  </si>
  <si>
    <t>304 : 1,</t>
  </si>
  <si>
    <t>307 : [35,22,26],</t>
  </si>
  <si>
    <t>307 : 1,</t>
  </si>
  <si>
    <t>312 : [48,49,15],</t>
  </si>
  <si>
    <t>312 : 0,</t>
  </si>
  <si>
    <t>320 : [32,8,49],</t>
  </si>
  <si>
    <t>320 : 0,</t>
  </si>
  <si>
    <t>325 : [41,4,21],</t>
  </si>
  <si>
    <t>325 : 0,</t>
  </si>
  <si>
    <t>326 : [27,28,32],</t>
  </si>
  <si>
    <t>326 : 0,</t>
  </si>
  <si>
    <t>330 : [40,39,36],</t>
  </si>
  <si>
    <t>330 : 0,</t>
  </si>
  <si>
    <t>335 : [17,38,35],</t>
  </si>
  <si>
    <t>335 : 0,</t>
  </si>
  <si>
    <t>336 : [39,36,40],</t>
  </si>
  <si>
    <t>336 : 0,</t>
  </si>
  <si>
    <t>337 : [14,2,35],</t>
  </si>
  <si>
    <t>337 : 2,</t>
  </si>
  <si>
    <t>346 : [25,26,46],</t>
  </si>
  <si>
    <t>346 : 1,</t>
  </si>
  <si>
    <t>356 : [31,41,29],</t>
  </si>
  <si>
    <t>356 : 2,</t>
  </si>
  <si>
    <t>Event 0: Members [236, 251, 12, 253, 292]</t>
  </si>
  <si>
    <t>Event 1: Members [119, 263, 278, 89, 96]</t>
  </si>
  <si>
    <t>Event 2: Members [155, 150]</t>
  </si>
  <si>
    <t>Event 3: Members [6, 16, 181, 206, 229, 272, 276]</t>
  </si>
  <si>
    <t>Event 4: Members [42, 256, 332, 333, 334]</t>
  </si>
  <si>
    <t>Event 5: Members [19, 234, 75, 66, 58, 313, 354, 355, 57, 102]</t>
  </si>
  <si>
    <t>Event 6: Members [148, 149, 258]</t>
  </si>
  <si>
    <t>Event 7: Members [207, 30, 31, 62, 178, 179, 180, 208, 209]</t>
  </si>
  <si>
    <t>Event 8: Members [47, 135, 78, 79, 88, 129, 133, 185, 201, 257]</t>
  </si>
  <si>
    <t>Event 9: Members [153, 219, 220, 161, 275, 38, 41, 63, 184, 273]</t>
  </si>
  <si>
    <t>Event 10: Members [18, 81, 13, 20, 80, 82, 59, 70, 71, 76]</t>
  </si>
  <si>
    <t>Event 11: Members [117, 118, 329, 3, 27, 28, 29, 176, 193, 228]</t>
  </si>
  <si>
    <t>Event 12: Members [25, 188, 191, 192, 210, 226, 86, 345, 349]</t>
  </si>
  <si>
    <t>Event 13: Members [223, 224, 244, 105, 106, 283, 284]</t>
  </si>
  <si>
    <t>Event 14: Members [154, 126, 337, 237, 239]</t>
  </si>
  <si>
    <t>Event 15: Members [11, 14, 286, 230, 321, 322, 120, 121, 151, 173]</t>
  </si>
  <si>
    <t>Event 16: Members [165, 259]</t>
  </si>
  <si>
    <t>Event 17: Members [50, 95, 233, 122, 141, 7, 142, 157, 335]</t>
  </si>
  <si>
    <t>Event 18: Members [261, 294, 72, 73, 74, 114, 338, 340]</t>
  </si>
  <si>
    <t>Event 19: Members [197, 32, 33, 97, 98, 342, 103, 186, 189, 190]</t>
  </si>
  <si>
    <t>Event 20: Members [53, 174, 111, 187, 211, 212]</t>
  </si>
  <si>
    <t>Event 21: Members [246, 247, 248]</t>
  </si>
  <si>
    <t>Event 22: Members [93, 94, 285, 35, 22, 43, 44, 49, 242, 282]</t>
  </si>
  <si>
    <t>Event 23: Members [134, 299, 231, 311]</t>
  </si>
  <si>
    <t>Event 24: Members [68, 343, 344, 48, 77, 158, 156, 172, 218, 249]</t>
  </si>
  <si>
    <t>Event 25: Members [4, 243, 2, 262, 295, 5, 109, 147, 182, 346]</t>
  </si>
  <si>
    <t>Event 26: Members [17, 137, 146, 287, 238]</t>
  </si>
  <si>
    <t>Event 27: Members [204, 152, 163, 202, 34, 264, 265, 326]</t>
  </si>
  <si>
    <t>Event 28: Members [279, 91, 199, 90, 92, 127, 128, 198, 83, 87]</t>
  </si>
  <si>
    <t>Event 29: Members [301, 216]</t>
  </si>
  <si>
    <t>Event 30: Members [65, 37, 39, 112, 115, 136, 45, 213, 217, 315]</t>
  </si>
  <si>
    <t>Event 31: Members [9, 131, 132, 289, 290, 356, 8, 138, 139, 140]</t>
  </si>
  <si>
    <t>Event 32: Members [100, 225, 227, 196, 288, 291, 316, 99, 104, 116]</t>
  </si>
  <si>
    <t>Event 33: Members [61]</t>
  </si>
  <si>
    <t>Event 34: Members [277, 46, 168, 169, 308, 123, 124, 167, 203, 232]</t>
  </si>
  <si>
    <t>Event 35: Members [130, 307, 52, 323, 324]</t>
  </si>
  <si>
    <t>Event 36: Members [166, 183, 280, 281, 293, 331]</t>
  </si>
  <si>
    <t>Event 37: Members [54, 200, 222, 241, 254]</t>
  </si>
  <si>
    <t>Event 38: Members [36, 51, 69, 101, 125, 143, 205, 245, 269, 339]</t>
  </si>
  <si>
    <t>Event 39: Members [60, 145, 336]</t>
  </si>
  <si>
    <t>Event 40: Members [113, 330]</t>
  </si>
  <si>
    <t>Event 41: Members [24, 10, 64, 67, 325]</t>
  </si>
  <si>
    <t>Event 42: Members [303]</t>
  </si>
  <si>
    <t>Event 43: Members [304]</t>
  </si>
  <si>
    <t>Event 44: Members [21, 221, 271]</t>
  </si>
  <si>
    <t>Event 45: Members [240, 296, 297, 298, 317, 318, 350]</t>
  </si>
  <si>
    <t>Event 46: Members [40, 23]</t>
  </si>
  <si>
    <t>Event 47: Members [107, 108, 194, 195, 302]</t>
  </si>
  <si>
    <t>Event 48: Members [309, 341, 351, 164, 255, 300, 352, 353, 84, 85]</t>
  </si>
  <si>
    <t>Event 49: Members [347, 348, 0, 1, 15, 110, 144, 162, 175, 177]</t>
  </si>
  <si>
    <t>Event 50: Members [26, 55, 160, 215, 56, 170, 171, 214, 306, 310]</t>
  </si>
  <si>
    <t>Event 1: Members [119, 263, 278, 96, 89]</t>
  </si>
  <si>
    <t>Event 3: Members [6, 16, 206, 229, 272]</t>
  </si>
  <si>
    <t>Event 4: Members [332]</t>
  </si>
  <si>
    <t>Event 5: Members [19, 66, 313, 354, 57, 102, 173, 314, 323]</t>
  </si>
  <si>
    <t>Event 6: Members [149, 258]</t>
  </si>
  <si>
    <t>Event 7: Members [207, 62, 30, 178, 180]</t>
  </si>
  <si>
    <t>Event 8: Members [47, 135, 201, 257, 78, 129, 133, 185]</t>
  </si>
  <si>
    <t>Event 9: Members [153, 219, 161, 275, 63, 273]</t>
  </si>
  <si>
    <t>Event 10: Members [18, 81, 13, 80, 280, 59, 70, 71, 76, 345]</t>
  </si>
  <si>
    <t>Event 11: Members [117, 329, 3, 294, 27, 176]</t>
  </si>
  <si>
    <t>Event 12: Members [25, 188, 191]</t>
  </si>
  <si>
    <t>Event 13: Members [223, 224, 244, 283]</t>
  </si>
  <si>
    <t>Event 14: Members [154, 126, 337]</t>
  </si>
  <si>
    <t>Event 15: Members [11, 286, 321, 276, 120, 151, 203, 232, 235, 250]</t>
  </si>
  <si>
    <t>Event 16: Members []</t>
  </si>
  <si>
    <t>Event 17: Members [50, 95, 233, 122, 141, 7, 157, 335]</t>
  </si>
  <si>
    <t>Event 18: Members [261, 72, 73, 114, 338]</t>
  </si>
  <si>
    <t>Event 19: Members [197, 32, 97, 98, 342, 186, 189]</t>
  </si>
  <si>
    <t>Event 20: Members [53, 174, 187]</t>
  </si>
  <si>
    <t>Event 21: Members [246]</t>
  </si>
  <si>
    <t>Event 22: Members [93, 35, 22, 44, 282, 42, 111, 237, 239, 260]</t>
  </si>
  <si>
    <t>Event 24: Members [77, 158, 156, 218, 249, 327]</t>
  </si>
  <si>
    <t>Event 27: Members [152, 202, 34, 326]</t>
  </si>
  <si>
    <t>Event 28: Members [90, 127, 198, 83, 105, 106]</t>
  </si>
  <si>
    <t>Event 29: Members [301]</t>
  </si>
  <si>
    <t>Event 30: Members [65, 136, 37, 112, 115, 45, 213, 315, 264, 265]</t>
  </si>
  <si>
    <t>Event 31: Members [9, 131, 356, 289, 8, 138, 266]</t>
  </si>
  <si>
    <t>Event 32: Members [100, 196, 142, 320, 99]</t>
  </si>
  <si>
    <t>Event 34: Members [277, 46, 168, 308, 167, 123, 305]</t>
  </si>
  <si>
    <t>Event 35: Members [130, 307, 52]</t>
  </si>
  <si>
    <t>Event 36: Members [166, 183, 281, 293]</t>
  </si>
  <si>
    <t>Event 38: Members [36, 51, 69, 101, 125, 143, 245, 269]</t>
  </si>
  <si>
    <t>Event 44: Members [21, 271]</t>
  </si>
  <si>
    <t>Event 45: Members [240, 317, 318]</t>
  </si>
  <si>
    <t>Event 47: Members [107, 108, 194, 302]</t>
  </si>
  <si>
    <t>Event 48: Members [309, 351, 164, 255, 352, 312, 84, 85, 86, 205]</t>
  </si>
  <si>
    <t>Event 49: Members [0, 110, 144, 162, 175, 296]</t>
  </si>
  <si>
    <t>Event 50: Members [26, 55, 171, 214, 306, 310, 343, 38, 48, 230]</t>
  </si>
  <si>
    <t>aidenwen@Aidens-MacBook-Air ~ 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</si>
</sst>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b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1" numFmtId="0" xfId="0" applyAlignment="1" applyFont="1">
      <alignment horizontal="right" vertical="bottom"/>
    </xf>
    <xf borderId="0" fillId="2" fontId="1" numFmtId="0" xfId="0" applyAlignment="1" applyFont="1">
      <alignment readingOrder="0" vertical="bottom"/>
    </xf>
    <xf borderId="0" fillId="3" fontId="1" numFmtId="0" xfId="0" applyAlignment="1" applyFill="1" applyFont="1">
      <alignment vertical="bottom"/>
    </xf>
    <xf borderId="0" fillId="3" fontId="1" numFmtId="0" xfId="0" applyAlignment="1" applyFont="1">
      <alignment horizontal="right" vertical="bottom"/>
    </xf>
    <xf borderId="0" fillId="3" fontId="1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2" fontId="1" numFmtId="0" xfId="0" applyAlignment="1" applyFont="1">
      <alignment vertical="bottom"/>
    </xf>
    <xf borderId="0" fillId="3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49" xfId="0" applyFont="1" applyNumberFormat="1"/>
    <xf borderId="0" fillId="0" fontId="3" numFmtId="0" xfId="0" applyAlignment="1" applyFont="1">
      <alignment vertical="bottom"/>
    </xf>
    <xf borderId="0" fillId="0" fontId="2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4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5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124187.0</v>
      </c>
      <c r="C1" s="1" t="s">
        <v>1</v>
      </c>
      <c r="D1" s="1">
        <f t="array" ref="D1">xlookup(C1,Sheet3!A:A,Sheet3!B:B)</f>
        <v>5</v>
      </c>
      <c r="E1" s="1" t="s">
        <v>2</v>
      </c>
      <c r="F1" s="1">
        <f t="array" ref="F1">xlookup(E1,Sheet2!A:A,Sheet2!B:B)</f>
        <v>25</v>
      </c>
      <c r="G1" s="1" t="s">
        <v>3</v>
      </c>
      <c r="H1" s="3" t="str">
        <f t="array" ref="H1">JOIN("", SORT(MID(LOWER(G1), SEQUENCE(LEN(G1)), 1)))</f>
        <v>an</v>
      </c>
      <c r="I1" s="1" t="s">
        <v>4</v>
      </c>
      <c r="J1" s="1">
        <f t="array" ref="J1">xlookup(I1,Sheet2!A:A,Sheet2!B:B)</f>
        <v>23</v>
      </c>
      <c r="K1" s="1" t="s">
        <v>3</v>
      </c>
      <c r="L1" s="1" t="s">
        <v>5</v>
      </c>
      <c r="M1" s="1">
        <f t="array" ref="M1">xlookup(L1,Sheet2!A:A,Sheet2!B:B)</f>
        <v>35</v>
      </c>
      <c r="N1" s="1" t="s">
        <v>3</v>
      </c>
      <c r="O1" s="4" t="str">
        <f t="shared" ref="O1:O422" si="1">CONCATENATE(B1," : [",F1,",",J1,",",M1,"],")</f>
        <v>124187 : [25,23,35],</v>
      </c>
      <c r="P1" s="4" t="str">
        <f t="shared" ref="P1:P422" si="2">CONCATENATE(B1," : ",D1,",")</f>
        <v>124187 : 5,</v>
      </c>
    </row>
    <row r="2">
      <c r="A2" s="1" t="s">
        <v>6</v>
      </c>
      <c r="B2" s="2">
        <v>165888.0</v>
      </c>
      <c r="C2" s="1" t="s">
        <v>1</v>
      </c>
      <c r="D2" s="1">
        <f t="array" ref="D2">xlookup(C2,Sheet3!A:A,Sheet3!B:B)</f>
        <v>5</v>
      </c>
      <c r="E2" s="1" t="s">
        <v>7</v>
      </c>
      <c r="F2" s="1">
        <f t="array" ref="F2">xlookup(E2,Sheet2!A:A,Sheet2!B:B)</f>
        <v>15</v>
      </c>
      <c r="G2" s="1" t="s">
        <v>8</v>
      </c>
      <c r="H2" s="3" t="str">
        <f t="array" ref="H2">JOIN("", SORT(MID(LOWER(G2), SEQUENCE(LEN(G2)), 1)))</f>
        <v>   ,aaaaaeeehhiilmnprrrrrsstuuu</v>
      </c>
      <c r="I2" s="1" t="s">
        <v>9</v>
      </c>
      <c r="J2" s="1">
        <f t="array" ref="J2">xlookup(I2,Sheet2!A:A,Sheet2!B:B)</f>
        <v>5</v>
      </c>
      <c r="K2" s="1" t="s">
        <v>8</v>
      </c>
      <c r="L2" s="1" t="s">
        <v>10</v>
      </c>
      <c r="M2" s="1">
        <f t="array" ref="M2">xlookup(L2,Sheet2!A:A,Sheet2!B:B)</f>
        <v>9</v>
      </c>
      <c r="N2" s="1" t="s">
        <v>8</v>
      </c>
      <c r="O2" s="4" t="str">
        <f t="shared" si="1"/>
        <v>165888 : [15,5,9],</v>
      </c>
      <c r="P2" s="4" t="str">
        <f t="shared" si="2"/>
        <v>165888 : 5,</v>
      </c>
    </row>
    <row r="3">
      <c r="A3" s="1" t="s">
        <v>11</v>
      </c>
      <c r="B3" s="2">
        <v>118662.0</v>
      </c>
      <c r="C3" s="1" t="s">
        <v>1</v>
      </c>
      <c r="D3" s="1">
        <f t="array" ref="D3">xlookup(C3,Sheet3!A:A,Sheet3!B:B)</f>
        <v>5</v>
      </c>
      <c r="E3" s="1" t="s">
        <v>12</v>
      </c>
      <c r="F3" s="1">
        <f t="array" ref="F3">xlookup(E3,Sheet2!A:A,Sheet2!B:B)</f>
        <v>41</v>
      </c>
      <c r="G3" s="1" t="s">
        <v>3</v>
      </c>
      <c r="H3" s="3" t="str">
        <f t="array" ref="H3">JOIN("", SORT(MID(LOWER(G3), SEQUENCE(LEN(G3)), 1)))</f>
        <v>an</v>
      </c>
      <c r="I3" s="1" t="s">
        <v>4</v>
      </c>
      <c r="J3" s="1">
        <f t="array" ref="J3">xlookup(I3,Sheet2!A:A,Sheet2!B:B)</f>
        <v>23</v>
      </c>
      <c r="K3" s="1" t="s">
        <v>3</v>
      </c>
      <c r="L3" s="1" t="s">
        <v>13</v>
      </c>
      <c r="M3" s="1">
        <f t="array" ref="M3">xlookup(L3,Sheet2!A:A,Sheet2!B:B)</f>
        <v>17</v>
      </c>
      <c r="N3" s="1" t="s">
        <v>3</v>
      </c>
      <c r="O3" s="4" t="str">
        <f t="shared" si="1"/>
        <v>118662 : [41,23,17],</v>
      </c>
      <c r="P3" s="4" t="str">
        <f t="shared" si="2"/>
        <v>118662 : 5,</v>
      </c>
    </row>
    <row r="4">
      <c r="A4" s="1" t="s">
        <v>14</v>
      </c>
      <c r="B4" s="2">
        <v>180776.0</v>
      </c>
      <c r="C4" s="1" t="s">
        <v>1</v>
      </c>
      <c r="D4" s="1">
        <f t="array" ref="D4">xlookup(C4,Sheet3!A:A,Sheet3!B:B)</f>
        <v>5</v>
      </c>
      <c r="E4" s="1" t="s">
        <v>13</v>
      </c>
      <c r="F4" s="1">
        <f t="array" ref="F4">xlookup(E4,Sheet2!A:A,Sheet2!B:B)</f>
        <v>17</v>
      </c>
      <c r="G4" s="1" t="s">
        <v>3</v>
      </c>
      <c r="H4" s="3" t="str">
        <f t="array" ref="H4">JOIN("", SORT(MID(LOWER(G4), SEQUENCE(LEN(G4)), 1)))</f>
        <v>an</v>
      </c>
      <c r="I4" s="1" t="s">
        <v>15</v>
      </c>
      <c r="J4" s="1">
        <f t="array" ref="J4">xlookup(I4,Sheet2!A:A,Sheet2!B:B)</f>
        <v>0</v>
      </c>
      <c r="K4" s="1" t="s">
        <v>3</v>
      </c>
      <c r="L4" s="1" t="s">
        <v>16</v>
      </c>
      <c r="M4" s="1">
        <f t="array" ref="M4">xlookup(L4,Sheet2!A:A,Sheet2!B:B)</f>
        <v>3</v>
      </c>
      <c r="N4" s="1" t="s">
        <v>3</v>
      </c>
      <c r="O4" s="4" t="str">
        <f t="shared" si="1"/>
        <v>180776 : [17,0,3],</v>
      </c>
      <c r="P4" s="4" t="str">
        <f t="shared" si="2"/>
        <v>180776 : 5,</v>
      </c>
    </row>
    <row r="5">
      <c r="A5" s="1" t="s">
        <v>17</v>
      </c>
      <c r="B5" s="2">
        <v>162647.0</v>
      </c>
      <c r="C5" s="1" t="s">
        <v>1</v>
      </c>
      <c r="D5" s="1">
        <f t="array" ref="D5">xlookup(C5,Sheet3!A:A,Sheet3!B:B)</f>
        <v>5</v>
      </c>
      <c r="E5" s="1" t="s">
        <v>18</v>
      </c>
      <c r="F5" s="1">
        <f t="array" ref="F5">xlookup(E5,Sheet2!A:A,Sheet2!B:B)</f>
        <v>22</v>
      </c>
      <c r="G5" s="1" t="s">
        <v>19</v>
      </c>
      <c r="H5" s="3" t="str">
        <f t="array" ref="H5">JOIN("", SORT(MID(LOWER(G5), SEQUENCE(LEN(G5)), 1)))</f>
        <v>     ,,aaaaaaabdeghhhhhhiiiiijjklmnnnnorsssttuuvyz</v>
      </c>
      <c r="I5" s="1" t="s">
        <v>20</v>
      </c>
      <c r="J5" s="1">
        <f t="array" ref="J5">xlookup(I5,Sheet2!A:A,Sheet2!B:B)</f>
        <v>48</v>
      </c>
      <c r="K5" s="1" t="s">
        <v>19</v>
      </c>
      <c r="L5" s="1" t="s">
        <v>21</v>
      </c>
      <c r="M5" s="1">
        <f t="array" ref="M5">xlookup(L5,Sheet2!A:A,Sheet2!B:B)</f>
        <v>10</v>
      </c>
      <c r="N5" s="1" t="s">
        <v>19</v>
      </c>
      <c r="O5" s="4" t="str">
        <f t="shared" si="1"/>
        <v>162647 : [22,48,10],</v>
      </c>
      <c r="P5" s="4" t="str">
        <f t="shared" si="2"/>
        <v>162647 : 5,</v>
      </c>
    </row>
    <row r="6">
      <c r="A6" s="1" t="s">
        <v>22</v>
      </c>
      <c r="B6" s="2">
        <v>110673.0</v>
      </c>
      <c r="C6" s="1" t="s">
        <v>1</v>
      </c>
      <c r="D6" s="1">
        <f t="array" ref="D6">xlookup(C6,Sheet3!A:A,Sheet3!B:B)</f>
        <v>5</v>
      </c>
      <c r="E6" s="1" t="s">
        <v>18</v>
      </c>
      <c r="F6" s="1">
        <f t="array" ref="F6">xlookup(E6,Sheet2!A:A,Sheet2!B:B)</f>
        <v>22</v>
      </c>
      <c r="G6" s="1" t="s">
        <v>23</v>
      </c>
      <c r="H6" s="3" t="str">
        <f t="array" ref="H6">JOIN("", SORT(MID(LOWER(G6), SEQUENCE(LEN(G6)), 1)))</f>
        <v>     ,,aaaaaaabdeghhhhhhiiiiijjklmnnnnorsssttuuvyz</v>
      </c>
      <c r="I6" s="1" t="s">
        <v>20</v>
      </c>
      <c r="J6" s="1">
        <f t="array" ref="J6">xlookup(I6,Sheet2!A:A,Sheet2!B:B)</f>
        <v>48</v>
      </c>
      <c r="K6" s="1" t="s">
        <v>23</v>
      </c>
      <c r="L6" s="1" t="s">
        <v>21</v>
      </c>
      <c r="M6" s="1">
        <f t="array" ref="M6">xlookup(L6,Sheet2!A:A,Sheet2!B:B)</f>
        <v>10</v>
      </c>
      <c r="N6" s="1" t="s">
        <v>23</v>
      </c>
      <c r="O6" s="4" t="str">
        <f t="shared" si="1"/>
        <v>110673 : [22,48,10],</v>
      </c>
      <c r="P6" s="4" t="str">
        <f t="shared" si="2"/>
        <v>110673 : 5,</v>
      </c>
    </row>
    <row r="7">
      <c r="A7" s="1" t="s">
        <v>24</v>
      </c>
      <c r="B7" s="2">
        <v>154764.0</v>
      </c>
      <c r="C7" s="1" t="s">
        <v>1</v>
      </c>
      <c r="D7" s="1">
        <f t="array" ref="D7">xlookup(C7,Sheet3!A:A,Sheet3!B:B)</f>
        <v>5</v>
      </c>
      <c r="E7" s="1" t="s">
        <v>13</v>
      </c>
      <c r="F7" s="1">
        <f t="array" ref="F7">xlookup(E7,Sheet2!A:A,Sheet2!B:B)</f>
        <v>17</v>
      </c>
      <c r="G7" s="1" t="s">
        <v>3</v>
      </c>
      <c r="H7" s="3" t="str">
        <f t="array" ref="H7">JOIN("", SORT(MID(LOWER(G7), SEQUENCE(LEN(G7)), 1)))</f>
        <v>an</v>
      </c>
      <c r="I7" s="1" t="s">
        <v>25</v>
      </c>
      <c r="J7" s="1">
        <f t="array" ref="J7">xlookup(I7,Sheet2!A:A,Sheet2!B:B)</f>
        <v>18</v>
      </c>
      <c r="K7" s="1" t="s">
        <v>3</v>
      </c>
      <c r="L7" s="1" t="s">
        <v>26</v>
      </c>
      <c r="M7" s="1">
        <f t="array" ref="M7">xlookup(L7,Sheet2!A:A,Sheet2!B:B)</f>
        <v>7</v>
      </c>
      <c r="N7" s="1" t="s">
        <v>3</v>
      </c>
      <c r="O7" s="4" t="str">
        <f t="shared" si="1"/>
        <v>154764 : [17,18,7],</v>
      </c>
      <c r="P7" s="4" t="str">
        <f t="shared" si="2"/>
        <v>154764 : 5,</v>
      </c>
    </row>
    <row r="8">
      <c r="A8" s="1" t="s">
        <v>27</v>
      </c>
      <c r="B8" s="2">
        <v>110139.0</v>
      </c>
      <c r="C8" s="1" t="s">
        <v>1</v>
      </c>
      <c r="D8" s="1">
        <f t="array" ref="D8">xlookup(C8,Sheet3!A:A,Sheet3!B:B)</f>
        <v>5</v>
      </c>
      <c r="E8" s="1" t="s">
        <v>28</v>
      </c>
      <c r="F8" s="1">
        <f t="array" ref="F8">xlookup(E8,Sheet2!A:A,Sheet2!B:B)</f>
        <v>32</v>
      </c>
      <c r="G8" s="1" t="s">
        <v>29</v>
      </c>
      <c r="H8" s="3" t="str">
        <f t="array" ref="H8">JOIN("", SORT(MID(LOWER(G8), SEQUENCE(LEN(G8)), 1)))</f>
        <v>     ,,aaaaacdefhhiiiiiiiklmnnprrrrtvyz</v>
      </c>
      <c r="I8" s="1" t="s">
        <v>30</v>
      </c>
      <c r="J8" s="1">
        <f t="array" ref="J8">xlookup(I8,Sheet2!A:A,Sheet2!B:B)</f>
        <v>13</v>
      </c>
      <c r="K8" s="1" t="s">
        <v>3</v>
      </c>
      <c r="L8" s="1" t="s">
        <v>2</v>
      </c>
      <c r="M8" s="1">
        <f t="array" ref="M8">xlookup(L8,Sheet2!A:A,Sheet2!B:B)</f>
        <v>25</v>
      </c>
      <c r="N8" s="1" t="s">
        <v>3</v>
      </c>
      <c r="O8" s="4" t="str">
        <f t="shared" si="1"/>
        <v>110139 : [32,13,25],</v>
      </c>
      <c r="P8" s="4" t="str">
        <f t="shared" si="2"/>
        <v>110139 : 5,</v>
      </c>
    </row>
    <row r="9">
      <c r="A9" s="3" t="s">
        <v>31</v>
      </c>
      <c r="B9" s="5">
        <v>115831.0</v>
      </c>
      <c r="C9" s="3" t="s">
        <v>1</v>
      </c>
      <c r="D9" s="1">
        <f t="array" ref="D9">xlookup(C9,Sheet3!A:A,Sheet3!B:B)</f>
        <v>5</v>
      </c>
      <c r="E9" s="3" t="s">
        <v>32</v>
      </c>
      <c r="F9" s="1">
        <f t="array" ref="F9">xlookup(E9,Sheet2!A:A,Sheet2!B:B)</f>
        <v>11</v>
      </c>
      <c r="G9" s="3" t="s">
        <v>33</v>
      </c>
      <c r="H9" s="3" t="str">
        <f t="array" ref="H9">JOIN("", SORT(MID(LOWER(G9), SEQUENCE(LEN(G9)), 1)))</f>
        <v>     ,,aaaabcdeeeghhiijkllllnnoooossuwy</v>
      </c>
      <c r="I9" s="3" t="s">
        <v>34</v>
      </c>
      <c r="J9" s="1">
        <f t="array" ref="J9">xlookup(I9,Sheet2!A:A,Sheet2!B:B)</f>
        <v>8</v>
      </c>
      <c r="K9" s="3" t="s">
        <v>33</v>
      </c>
      <c r="L9" s="3" t="s">
        <v>35</v>
      </c>
      <c r="M9" s="1">
        <f t="array" ref="M9">xlookup(L9,Sheet2!A:A,Sheet2!B:B)</f>
        <v>45</v>
      </c>
      <c r="N9" s="3" t="s">
        <v>33</v>
      </c>
      <c r="O9" s="4" t="str">
        <f t="shared" si="1"/>
        <v>115831 : [11,8,45],</v>
      </c>
      <c r="P9" s="4" t="str">
        <f t="shared" si="2"/>
        <v>115831 : 5,</v>
      </c>
    </row>
    <row r="10">
      <c r="A10" s="3" t="s">
        <v>36</v>
      </c>
      <c r="B10" s="5">
        <v>182440.0</v>
      </c>
      <c r="C10" s="3" t="s">
        <v>1</v>
      </c>
      <c r="D10" s="1">
        <f t="array" ref="D10">xlookup(C10,Sheet3!A:A,Sheet3!B:B)</f>
        <v>5</v>
      </c>
      <c r="E10" s="3" t="s">
        <v>32</v>
      </c>
      <c r="F10" s="1">
        <f t="array" ref="F10">xlookup(E10,Sheet2!A:A,Sheet2!B:B)</f>
        <v>11</v>
      </c>
      <c r="G10" s="3" t="s">
        <v>33</v>
      </c>
      <c r="H10" s="3" t="str">
        <f t="array" ref="H10">JOIN("", SORT(MID(LOWER(G10), SEQUENCE(LEN(G10)), 1)))</f>
        <v>     ,,aaaabcdeeeghhiijkllllnnoooossuwy</v>
      </c>
      <c r="I10" s="3" t="s">
        <v>34</v>
      </c>
      <c r="J10" s="1">
        <f t="array" ref="J10">xlookup(I10,Sheet2!A:A,Sheet2!B:B)</f>
        <v>8</v>
      </c>
      <c r="K10" s="3" t="s">
        <v>33</v>
      </c>
      <c r="L10" s="3" t="s">
        <v>35</v>
      </c>
      <c r="M10" s="1">
        <f t="array" ref="M10">xlookup(L10,Sheet2!A:A,Sheet2!B:B)</f>
        <v>45</v>
      </c>
      <c r="N10" s="3" t="s">
        <v>33</v>
      </c>
      <c r="O10" s="4" t="str">
        <f t="shared" si="1"/>
        <v>182440 : [11,8,45],</v>
      </c>
      <c r="P10" s="4" t="str">
        <f t="shared" si="2"/>
        <v>182440 : 5,</v>
      </c>
    </row>
    <row r="11">
      <c r="A11" s="1" t="s">
        <v>37</v>
      </c>
      <c r="B11" s="2">
        <v>125698.0</v>
      </c>
      <c r="C11" s="1" t="s">
        <v>1</v>
      </c>
      <c r="D11" s="1">
        <f t="array" ref="D11">xlookup(C11,Sheet3!A:A,Sheet3!B:B)</f>
        <v>5</v>
      </c>
      <c r="E11" s="1" t="s">
        <v>38</v>
      </c>
      <c r="F11" s="1">
        <f t="array" ref="F11">xlookup(E11,Sheet2!A:A,Sheet2!B:B)</f>
        <v>6</v>
      </c>
      <c r="G11" s="6" t="s">
        <v>3</v>
      </c>
      <c r="H11" s="3" t="str">
        <f t="array" ref="H11">JOIN("", SORT(MID(LOWER(G11), SEQUENCE(LEN(G11)), 1)))</f>
        <v>an</v>
      </c>
      <c r="I11" s="1" t="s">
        <v>39</v>
      </c>
      <c r="J11" s="1">
        <f t="array" ref="J11">xlookup(I11,Sheet2!A:A,Sheet2!B:B)</f>
        <v>20</v>
      </c>
      <c r="K11" s="6" t="s">
        <v>3</v>
      </c>
      <c r="L11" s="1" t="s">
        <v>40</v>
      </c>
      <c r="M11" s="1">
        <f t="array" ref="M11">xlookup(L11,Sheet2!A:A,Sheet2!B:B)</f>
        <v>44</v>
      </c>
      <c r="N11" s="6" t="s">
        <v>3</v>
      </c>
      <c r="O11" s="4" t="str">
        <f t="shared" si="1"/>
        <v>125698 : [6,20,44],</v>
      </c>
      <c r="P11" s="4" t="str">
        <f t="shared" si="2"/>
        <v>125698 : 5,</v>
      </c>
    </row>
    <row r="12">
      <c r="A12" s="1" t="s">
        <v>41</v>
      </c>
      <c r="B12" s="2">
        <v>116467.0</v>
      </c>
      <c r="C12" s="1" t="s">
        <v>1</v>
      </c>
      <c r="D12" s="1">
        <f t="array" ref="D12">xlookup(C12,Sheet3!A:A,Sheet3!B:B)</f>
        <v>5</v>
      </c>
      <c r="E12" s="1" t="s">
        <v>42</v>
      </c>
      <c r="F12" s="1">
        <f t="array" ref="F12">xlookup(E12,Sheet2!A:A,Sheet2!B:B)</f>
        <v>14</v>
      </c>
      <c r="G12" s="1" t="s">
        <v>3</v>
      </c>
      <c r="H12" s="3" t="str">
        <f t="array" ref="H12">JOIN("", SORT(MID(LOWER(G12), SEQUENCE(LEN(G12)), 1)))</f>
        <v>an</v>
      </c>
      <c r="I12" s="1" t="s">
        <v>5</v>
      </c>
      <c r="J12" s="1">
        <f t="array" ref="J12">xlookup(I12,Sheet2!A:A,Sheet2!B:B)</f>
        <v>35</v>
      </c>
      <c r="K12" s="1" t="s">
        <v>3</v>
      </c>
      <c r="L12" s="1" t="s">
        <v>16</v>
      </c>
      <c r="M12" s="1">
        <f t="array" ref="M12">xlookup(L12,Sheet2!A:A,Sheet2!B:B)</f>
        <v>3</v>
      </c>
      <c r="N12" s="1" t="s">
        <v>3</v>
      </c>
      <c r="O12" s="4" t="str">
        <f t="shared" si="1"/>
        <v>116467 : [14,35,3],</v>
      </c>
      <c r="P12" s="4" t="str">
        <f t="shared" si="2"/>
        <v>116467 : 5,</v>
      </c>
    </row>
    <row r="13">
      <c r="A13" s="1" t="s">
        <v>43</v>
      </c>
      <c r="B13" s="2">
        <v>179384.0</v>
      </c>
      <c r="C13" s="1" t="s">
        <v>1</v>
      </c>
      <c r="D13" s="1">
        <f t="array" ref="D13">xlookup(C13,Sheet3!A:A,Sheet3!B:B)</f>
        <v>5</v>
      </c>
      <c r="E13" s="1" t="s">
        <v>28</v>
      </c>
      <c r="F13" s="1">
        <f t="array" ref="F13">xlookup(E13,Sheet2!A:A,Sheet2!B:B)</f>
        <v>32</v>
      </c>
      <c r="G13" s="1" t="s">
        <v>44</v>
      </c>
      <c r="H13" s="3" t="str">
        <f t="array" ref="H13">JOIN("", SORT(MID(LOWER(G13), SEQUENCE(LEN(G13)), 1)))</f>
        <v>     ,,aaaaacdefhhiiiiiiiklmnnprrrrtvyz</v>
      </c>
      <c r="I13" s="1" t="s">
        <v>30</v>
      </c>
      <c r="J13" s="1">
        <f t="array" ref="J13">xlookup(I13,Sheet2!A:A,Sheet2!B:B)</f>
        <v>13</v>
      </c>
      <c r="K13" s="1" t="s">
        <v>44</v>
      </c>
      <c r="L13" s="1" t="s">
        <v>2</v>
      </c>
      <c r="M13" s="1">
        <f t="array" ref="M13">xlookup(L13,Sheet2!A:A,Sheet2!B:B)</f>
        <v>25</v>
      </c>
      <c r="N13" s="1" t="s">
        <v>44</v>
      </c>
      <c r="O13" s="4" t="str">
        <f t="shared" si="1"/>
        <v>179384 : [32,13,25],</v>
      </c>
      <c r="P13" s="4" t="str">
        <f t="shared" si="2"/>
        <v>179384 : 5,</v>
      </c>
    </row>
    <row r="14">
      <c r="A14" s="1" t="s">
        <v>45</v>
      </c>
      <c r="B14" s="2">
        <v>145711.0</v>
      </c>
      <c r="C14" s="1" t="s">
        <v>1</v>
      </c>
      <c r="D14" s="1">
        <f t="array" ref="D14">xlookup(C14,Sheet3!A:A,Sheet3!B:B)</f>
        <v>5</v>
      </c>
      <c r="E14" s="1" t="s">
        <v>28</v>
      </c>
      <c r="F14" s="1">
        <f t="array" ref="F14">xlookup(E14,Sheet2!A:A,Sheet2!B:B)</f>
        <v>32</v>
      </c>
      <c r="G14" s="1" t="s">
        <v>46</v>
      </c>
      <c r="H14" s="3" t="str">
        <f t="array" ref="H14">JOIN("", SORT(MID(LOWER(G14), SEQUENCE(LEN(G14)), 1)))</f>
        <v>     ,,aaaaacdefhhiiiiiiiklmnnprrrrtvyz</v>
      </c>
      <c r="I14" s="1" t="s">
        <v>47</v>
      </c>
      <c r="J14" s="1">
        <f t="array" ref="J14">xlookup(I14,Sheet2!A:A,Sheet2!B:B)</f>
        <v>27</v>
      </c>
      <c r="K14" s="1" t="s">
        <v>46</v>
      </c>
      <c r="L14" s="1" t="s">
        <v>18</v>
      </c>
      <c r="M14" s="1">
        <f t="array" ref="M14">xlookup(L14,Sheet2!A:A,Sheet2!B:B)</f>
        <v>22</v>
      </c>
      <c r="N14" s="1" t="s">
        <v>46</v>
      </c>
      <c r="O14" s="4" t="str">
        <f t="shared" si="1"/>
        <v>145711 : [32,27,22],</v>
      </c>
      <c r="P14" s="4" t="str">
        <f t="shared" si="2"/>
        <v>145711 : 5,</v>
      </c>
    </row>
    <row r="15">
      <c r="A15" s="3" t="s">
        <v>48</v>
      </c>
      <c r="B15" s="5">
        <v>116685.0</v>
      </c>
      <c r="C15" s="3" t="s">
        <v>1</v>
      </c>
      <c r="D15" s="1">
        <f t="array" ref="D15">xlookup(C15,Sheet3!A:A,Sheet3!B:B)</f>
        <v>5</v>
      </c>
      <c r="E15" s="3" t="s">
        <v>38</v>
      </c>
      <c r="F15" s="1">
        <f t="array" ref="F15">xlookup(E15,Sheet2!A:A,Sheet2!B:B)</f>
        <v>6</v>
      </c>
      <c r="G15" s="3" t="s">
        <v>3</v>
      </c>
      <c r="H15" s="3" t="str">
        <f t="array" ref="H15">JOIN("", SORT(MID(LOWER(G15), SEQUENCE(LEN(G15)), 1)))</f>
        <v>an</v>
      </c>
      <c r="I15" s="3" t="s">
        <v>4</v>
      </c>
      <c r="J15" s="1">
        <f t="array" ref="J15">xlookup(I15,Sheet2!A:A,Sheet2!B:B)</f>
        <v>23</v>
      </c>
      <c r="K15" s="3" t="s">
        <v>3</v>
      </c>
      <c r="L15" s="3" t="s">
        <v>12</v>
      </c>
      <c r="M15" s="1">
        <f t="array" ref="M15">xlookup(L15,Sheet2!A:A,Sheet2!B:B)</f>
        <v>41</v>
      </c>
      <c r="N15" s="3" t="s">
        <v>3</v>
      </c>
      <c r="O15" s="4" t="str">
        <f t="shared" si="1"/>
        <v>116685 : [6,23,41],</v>
      </c>
      <c r="P15" s="4" t="str">
        <f t="shared" si="2"/>
        <v>116685 : 5,</v>
      </c>
    </row>
    <row r="16">
      <c r="A16" s="1" t="s">
        <v>49</v>
      </c>
      <c r="B16" s="2">
        <v>493020.0</v>
      </c>
      <c r="C16" s="1" t="s">
        <v>1</v>
      </c>
      <c r="D16" s="1">
        <f t="array" ref="D16">xlookup(C16,Sheet3!A:A,Sheet3!B:B)</f>
        <v>5</v>
      </c>
      <c r="E16" s="1" t="s">
        <v>18</v>
      </c>
      <c r="F16" s="1">
        <f t="array" ref="F16">xlookup(E16,Sheet2!A:A,Sheet2!B:B)</f>
        <v>22</v>
      </c>
      <c r="G16" s="1" t="s">
        <v>19</v>
      </c>
      <c r="H16" s="3" t="str">
        <f t="array" ref="H16">JOIN("", SORT(MID(LOWER(G16), SEQUENCE(LEN(G16)), 1)))</f>
        <v>     ,,aaaaaaabdeghhhhhhiiiiijjklmnnnnorsssttuuvyz</v>
      </c>
      <c r="I16" s="1" t="s">
        <v>7</v>
      </c>
      <c r="J16" s="1">
        <f t="array" ref="J16">xlookup(I16,Sheet2!A:A,Sheet2!B:B)</f>
        <v>15</v>
      </c>
      <c r="K16" s="1" t="s">
        <v>50</v>
      </c>
      <c r="L16" s="1" t="s">
        <v>7</v>
      </c>
      <c r="M16" s="1">
        <f t="array" ref="M16">xlookup(L16,Sheet2!A:A,Sheet2!B:B)</f>
        <v>15</v>
      </c>
      <c r="N16" s="1" t="s">
        <v>51</v>
      </c>
      <c r="O16" s="4" t="str">
        <f t="shared" si="1"/>
        <v>493020 : [22,15,15],</v>
      </c>
      <c r="P16" s="4" t="str">
        <f t="shared" si="2"/>
        <v>493020 : 5,</v>
      </c>
    </row>
    <row r="17">
      <c r="A17" s="3" t="s">
        <v>52</v>
      </c>
      <c r="B17" s="5">
        <v>111512.0</v>
      </c>
      <c r="C17" s="3" t="s">
        <v>1</v>
      </c>
      <c r="D17" s="1">
        <f t="array" ref="D17">xlookup(C17,Sheet3!A:A,Sheet3!B:B)</f>
        <v>5</v>
      </c>
      <c r="E17" s="3" t="s">
        <v>20</v>
      </c>
      <c r="F17" s="1">
        <f t="array" ref="F17">xlookup(E17,Sheet2!A:A,Sheet2!B:B)</f>
        <v>48</v>
      </c>
      <c r="G17" s="3" t="s">
        <v>53</v>
      </c>
      <c r="H17" s="3" t="str">
        <f t="array" ref="H17">JOIN("", SORT(MID(LOWER(G17), SEQUENCE(LEN(G17)), 1)))</f>
        <v>     ,,aaaaccehhiiiiilllllmooprrssuuuy</v>
      </c>
      <c r="I17" s="3" t="s">
        <v>21</v>
      </c>
      <c r="J17" s="1">
        <f t="array" ref="J17">xlookup(I17,Sheet2!A:A,Sheet2!B:B)</f>
        <v>10</v>
      </c>
      <c r="K17" s="3" t="s">
        <v>53</v>
      </c>
      <c r="L17" s="3" t="s">
        <v>34</v>
      </c>
      <c r="M17" s="1">
        <f t="array" ref="M17">xlookup(L17,Sheet2!A:A,Sheet2!B:B)</f>
        <v>8</v>
      </c>
      <c r="N17" s="3" t="s">
        <v>53</v>
      </c>
      <c r="O17" s="4" t="str">
        <f t="shared" si="1"/>
        <v>111512 : [48,10,8],</v>
      </c>
      <c r="P17" s="4" t="str">
        <f t="shared" si="2"/>
        <v>111512 : 5,</v>
      </c>
    </row>
    <row r="18">
      <c r="A18" s="3" t="s">
        <v>54</v>
      </c>
      <c r="B18" s="5">
        <v>163664.0</v>
      </c>
      <c r="C18" s="3" t="s">
        <v>1</v>
      </c>
      <c r="D18" s="1">
        <f t="array" ref="D18">xlookup(C18,Sheet3!A:A,Sheet3!B:B)</f>
        <v>5</v>
      </c>
      <c r="E18" s="3" t="s">
        <v>32</v>
      </c>
      <c r="F18" s="1">
        <f t="array" ref="F18">xlookup(E18,Sheet2!A:A,Sheet2!B:B)</f>
        <v>11</v>
      </c>
      <c r="G18" s="3" t="s">
        <v>55</v>
      </c>
      <c r="H18" s="3" t="str">
        <f t="array" ref="H18">JOIN("", SORT(MID(LOWER(G18), SEQUENCE(LEN(G18)), 1)))</f>
        <v>     ,,aaaabceeeghhiiiijklllllnooossuvy</v>
      </c>
      <c r="I18" s="3" t="s">
        <v>34</v>
      </c>
      <c r="J18" s="1">
        <f t="array" ref="J18">xlookup(I18,Sheet2!A:A,Sheet2!B:B)</f>
        <v>8</v>
      </c>
      <c r="K18" s="3" t="s">
        <v>55</v>
      </c>
      <c r="L18" s="3" t="s">
        <v>35</v>
      </c>
      <c r="M18" s="1">
        <f t="array" ref="M18">xlookup(L18,Sheet2!A:A,Sheet2!B:B)</f>
        <v>45</v>
      </c>
      <c r="N18" s="3" t="s">
        <v>55</v>
      </c>
      <c r="O18" s="4" t="str">
        <f t="shared" si="1"/>
        <v>163664 : [11,8,45],</v>
      </c>
      <c r="P18" s="4" t="str">
        <f t="shared" si="2"/>
        <v>163664 : 5,</v>
      </c>
    </row>
    <row r="19">
      <c r="A19" s="3" t="s">
        <v>56</v>
      </c>
      <c r="B19" s="5">
        <v>117812.0</v>
      </c>
      <c r="C19" s="3" t="s">
        <v>1</v>
      </c>
      <c r="D19" s="1">
        <f t="array" ref="D19">xlookup(C19,Sheet3!A:A,Sheet3!B:B)</f>
        <v>5</v>
      </c>
      <c r="E19" s="3" t="s">
        <v>20</v>
      </c>
      <c r="F19" s="1">
        <f t="array" ref="F19">xlookup(E19,Sheet2!A:A,Sheet2!B:B)</f>
        <v>48</v>
      </c>
      <c r="G19" s="3" t="s">
        <v>57</v>
      </c>
      <c r="H19" s="3" t="str">
        <f t="array" ref="H19">JOIN("", SORT(MID(LOWER(G19), SEQUENCE(LEN(G19)), 1)))</f>
        <v>     ,,aaaaccehhiiiiilllllmooprrssuuuy</v>
      </c>
      <c r="I19" s="3" t="s">
        <v>21</v>
      </c>
      <c r="J19" s="1">
        <f t="array" ref="J19">xlookup(I19,Sheet2!A:A,Sheet2!B:B)</f>
        <v>10</v>
      </c>
      <c r="K19" s="3" t="s">
        <v>58</v>
      </c>
      <c r="L19" s="3" t="s">
        <v>34</v>
      </c>
      <c r="M19" s="1">
        <f t="array" ref="M19">xlookup(L19,Sheet2!A:A,Sheet2!B:B)</f>
        <v>8</v>
      </c>
      <c r="N19" s="3" t="s">
        <v>58</v>
      </c>
      <c r="O19" s="4" t="str">
        <f t="shared" si="1"/>
        <v>117812 : [48,10,8],</v>
      </c>
      <c r="P19" s="4" t="str">
        <f t="shared" si="2"/>
        <v>117812 : 5,</v>
      </c>
    </row>
    <row r="20">
      <c r="A20" s="1" t="s">
        <v>59</v>
      </c>
      <c r="B20" s="2">
        <v>120747.0</v>
      </c>
      <c r="C20" s="1" t="s">
        <v>60</v>
      </c>
      <c r="D20" s="1">
        <f t="array" ref="D20">xlookup(C20,Sheet3!A:A,Sheet3!B:B)</f>
        <v>4</v>
      </c>
      <c r="E20" s="1" t="s">
        <v>61</v>
      </c>
      <c r="F20" s="1">
        <f t="array" ref="F20">xlookup(E20,Sheet2!A:A,Sheet2!B:B)</f>
        <v>31</v>
      </c>
      <c r="G20" s="1" t="s">
        <v>62</v>
      </c>
      <c r="H20" s="3" t="str">
        <f t="array" ref="H20">JOIN("", SORT(MID(LOWER(G20), SEQUENCE(LEN(G20)), 1)))</f>
        <v>   ,aceeghijjnnnnoouuyyy</v>
      </c>
      <c r="I20" s="1" t="s">
        <v>63</v>
      </c>
      <c r="J20" s="1">
        <f t="array" ref="J20">xlookup(I20,Sheet2!A:A,Sheet2!B:B)</f>
        <v>29</v>
      </c>
      <c r="K20" s="1" t="s">
        <v>62</v>
      </c>
      <c r="L20" s="1" t="s">
        <v>64</v>
      </c>
      <c r="M20" s="1">
        <f t="array" ref="M20">xlookup(L20,Sheet2!A:A,Sheet2!B:B)</f>
        <v>30</v>
      </c>
      <c r="N20" s="1" t="s">
        <v>62</v>
      </c>
      <c r="O20" s="4" t="str">
        <f t="shared" si="1"/>
        <v>120747 : [31,29,30],</v>
      </c>
      <c r="P20" s="4" t="str">
        <f t="shared" si="2"/>
        <v>120747 : 4,</v>
      </c>
    </row>
    <row r="21">
      <c r="A21" s="1" t="s">
        <v>65</v>
      </c>
      <c r="B21" s="2">
        <v>137804.0</v>
      </c>
      <c r="C21" s="1" t="s">
        <v>60</v>
      </c>
      <c r="D21" s="1">
        <f t="array" ref="D21">xlookup(C21,Sheet3!A:A,Sheet3!B:B)</f>
        <v>4</v>
      </c>
      <c r="E21" s="1" t="s">
        <v>7</v>
      </c>
      <c r="F21" s="1">
        <f t="array" ref="F21">xlookup(E21,Sheet2!A:A,Sheet2!B:B)</f>
        <v>15</v>
      </c>
      <c r="G21" s="1" t="s">
        <v>66</v>
      </c>
      <c r="H21" s="3" t="str">
        <f t="array" ref="H21">JOIN("", SORT(MID(LOWER(G21), SEQUENCE(LEN(G21)), 1)))</f>
        <v>   ,aaaaaeeehhiilmnprrrrrsstuuu</v>
      </c>
      <c r="I21" s="1" t="s">
        <v>9</v>
      </c>
      <c r="J21" s="1">
        <f t="array" ref="J21">xlookup(I21,Sheet2!A:A,Sheet2!B:B)</f>
        <v>5</v>
      </c>
      <c r="K21" s="1" t="s">
        <v>67</v>
      </c>
      <c r="L21" s="1" t="s">
        <v>10</v>
      </c>
      <c r="M21" s="1">
        <f t="array" ref="M21">xlookup(L21,Sheet2!A:A,Sheet2!B:B)</f>
        <v>9</v>
      </c>
      <c r="N21" s="1" t="s">
        <v>66</v>
      </c>
      <c r="O21" s="4" t="str">
        <f t="shared" si="1"/>
        <v>137804 : [15,5,9],</v>
      </c>
      <c r="P21" s="4" t="str">
        <f t="shared" si="2"/>
        <v>137804 : 4,</v>
      </c>
    </row>
    <row r="22">
      <c r="A22" s="1" t="s">
        <v>68</v>
      </c>
      <c r="B22" s="2">
        <v>324008.0</v>
      </c>
      <c r="C22" s="1" t="s">
        <v>60</v>
      </c>
      <c r="D22" s="1">
        <f t="array" ref="D22">xlookup(C22,Sheet3!A:A,Sheet3!B:B)</f>
        <v>4</v>
      </c>
      <c r="E22" s="1" t="s">
        <v>21</v>
      </c>
      <c r="F22" s="1">
        <f t="array" ref="F22">xlookup(E22,Sheet2!A:A,Sheet2!B:B)</f>
        <v>10</v>
      </c>
      <c r="G22" s="1" t="s">
        <v>69</v>
      </c>
      <c r="H22" s="3" t="str">
        <f t="array" ref="H22">JOIN("", SORT(MID(LOWER(G22), SEQUENCE(LEN(G22)), 1)))</f>
        <v>     ,,aaaaaacdeegghiiilmnnnnorrtvyy</v>
      </c>
      <c r="I22" s="1" t="s">
        <v>26</v>
      </c>
      <c r="J22" s="1">
        <f t="array" ref="J22">xlookup(I22,Sheet2!A:A,Sheet2!B:B)</f>
        <v>7</v>
      </c>
      <c r="K22" s="1" t="s">
        <v>69</v>
      </c>
      <c r="L22" s="1" t="s">
        <v>20</v>
      </c>
      <c r="M22" s="1">
        <f t="array" ref="M22">xlookup(L22,Sheet2!A:A,Sheet2!B:B)</f>
        <v>48</v>
      </c>
      <c r="N22" s="1" t="s">
        <v>69</v>
      </c>
      <c r="O22" s="4" t="str">
        <f t="shared" si="1"/>
        <v>324008 : [10,7,48],</v>
      </c>
      <c r="P22" s="4" t="str">
        <f t="shared" si="2"/>
        <v>324008 : 4,</v>
      </c>
    </row>
    <row r="23">
      <c r="A23" s="1" t="s">
        <v>70</v>
      </c>
      <c r="B23" s="2">
        <v>110390.0</v>
      </c>
      <c r="C23" s="1" t="s">
        <v>60</v>
      </c>
      <c r="D23" s="1">
        <f t="array" ref="D23">xlookup(C23,Sheet3!A:A,Sheet3!B:B)</f>
        <v>4</v>
      </c>
      <c r="E23" s="1" t="s">
        <v>9</v>
      </c>
      <c r="F23" s="1">
        <f t="array" ref="F23">xlookup(E23,Sheet2!A:A,Sheet2!B:B)</f>
        <v>5</v>
      </c>
      <c r="G23" s="1" t="s">
        <v>71</v>
      </c>
      <c r="H23" s="3" t="str">
        <f t="array" ref="H23">JOIN("", SORT(MID(LOWER(G23), SEQUENCE(LEN(G23)), 1)))</f>
        <v>   ,abceeghiklmnooptuvwy</v>
      </c>
      <c r="I23" s="1" t="s">
        <v>10</v>
      </c>
      <c r="J23" s="1">
        <f t="array" ref="J23">xlookup(I23,Sheet2!A:A,Sheet2!B:B)</f>
        <v>9</v>
      </c>
      <c r="K23" s="1" t="s">
        <v>71</v>
      </c>
      <c r="L23" s="1" t="s">
        <v>72</v>
      </c>
      <c r="M23" s="1">
        <f t="array" ref="M23">xlookup(L23,Sheet2!A:A,Sheet2!B:B)</f>
        <v>34</v>
      </c>
      <c r="N23" s="1" t="s">
        <v>71</v>
      </c>
      <c r="O23" s="4" t="str">
        <f t="shared" si="1"/>
        <v>110390 : [5,9,34],</v>
      </c>
      <c r="P23" s="4" t="str">
        <f t="shared" si="2"/>
        <v>110390 : 4,</v>
      </c>
    </row>
    <row r="24">
      <c r="A24" s="1" t="s">
        <v>73</v>
      </c>
      <c r="B24" s="2">
        <v>111134.0</v>
      </c>
      <c r="C24" s="1" t="s">
        <v>60</v>
      </c>
      <c r="D24" s="1">
        <f t="array" ref="D24">xlookup(C24,Sheet3!A:A,Sheet3!B:B)</f>
        <v>4</v>
      </c>
      <c r="E24" s="1" t="s">
        <v>74</v>
      </c>
      <c r="F24" s="1">
        <f t="array" ref="F24">xlookup(E24,Sheet2!A:A,Sheet2!B:B)</f>
        <v>50</v>
      </c>
      <c r="G24" s="1" t="s">
        <v>75</v>
      </c>
      <c r="H24" s="3" t="str">
        <f t="array" ref="H24">JOIN("", SORT(MID(LOWER(G24), SEQUENCE(LEN(G24)), 1)))</f>
        <v>   ,aaeehhhiikllmnnorrrssttuu</v>
      </c>
      <c r="I24" s="1" t="s">
        <v>76</v>
      </c>
      <c r="J24" s="1">
        <f t="array" ref="J24">xlookup(I24,Sheet2!A:A,Sheet2!B:B)</f>
        <v>24</v>
      </c>
      <c r="K24" s="1" t="s">
        <v>75</v>
      </c>
      <c r="L24" s="1" t="s">
        <v>72</v>
      </c>
      <c r="M24" s="1">
        <f t="array" ref="M24">xlookup(L24,Sheet2!A:A,Sheet2!B:B)</f>
        <v>34</v>
      </c>
      <c r="N24" s="1" t="s">
        <v>75</v>
      </c>
      <c r="O24" s="4" t="str">
        <f t="shared" si="1"/>
        <v>111134 : [50,24,34],</v>
      </c>
      <c r="P24" s="4" t="str">
        <f t="shared" si="2"/>
        <v>111134 : 4,</v>
      </c>
    </row>
    <row r="25">
      <c r="A25" s="1" t="s">
        <v>77</v>
      </c>
      <c r="B25" s="2">
        <v>164480.0</v>
      </c>
      <c r="C25" s="1" t="s">
        <v>60</v>
      </c>
      <c r="D25" s="1">
        <f t="array" ref="D25">xlookup(C25,Sheet3!A:A,Sheet3!B:B)</f>
        <v>4</v>
      </c>
      <c r="E25" s="1" t="s">
        <v>18</v>
      </c>
      <c r="F25" s="1">
        <f t="array" ref="F25">xlookup(E25,Sheet2!A:A,Sheet2!B:B)</f>
        <v>22</v>
      </c>
      <c r="G25" s="1" t="s">
        <v>78</v>
      </c>
      <c r="H25" s="3" t="str">
        <f t="array" ref="H25">JOIN("", SORT(MID(LOWER(G25), SEQUENCE(LEN(G25)), 1)))</f>
        <v>   ,aaaaaaghhiikkknnnnrrsw</v>
      </c>
      <c r="I25" s="1" t="s">
        <v>26</v>
      </c>
      <c r="J25" s="1">
        <f t="array" ref="J25">xlookup(I25,Sheet2!A:A,Sheet2!B:B)</f>
        <v>7</v>
      </c>
      <c r="K25" s="1" t="s">
        <v>78</v>
      </c>
      <c r="L25" s="1" t="s">
        <v>21</v>
      </c>
      <c r="M25" s="1">
        <f t="array" ref="M25">xlookup(L25,Sheet2!A:A,Sheet2!B:B)</f>
        <v>10</v>
      </c>
      <c r="N25" s="1" t="s">
        <v>78</v>
      </c>
      <c r="O25" s="4" t="str">
        <f t="shared" si="1"/>
        <v>164480 : [22,7,10],</v>
      </c>
      <c r="P25" s="4" t="str">
        <f t="shared" si="2"/>
        <v>164480 : 4,</v>
      </c>
    </row>
    <row r="26">
      <c r="A26" s="1" t="s">
        <v>79</v>
      </c>
      <c r="B26" s="2">
        <v>152136.0</v>
      </c>
      <c r="C26" s="1" t="s">
        <v>60</v>
      </c>
      <c r="D26" s="1">
        <f t="array" ref="D26">xlookup(C26,Sheet3!A:A,Sheet3!B:B)</f>
        <v>4</v>
      </c>
      <c r="E26" s="1" t="s">
        <v>34</v>
      </c>
      <c r="F26" s="1">
        <f t="array" ref="F26">xlookup(E26,Sheet2!A:A,Sheet2!B:B)</f>
        <v>8</v>
      </c>
      <c r="G26" s="1" t="s">
        <v>80</v>
      </c>
      <c r="H26" s="3" t="str">
        <f t="array" ref="H26">JOIN("", SORT(MID(LOWER(G26), SEQUENCE(LEN(G26)), 1)))</f>
        <v>    ,aaaaaceghhiiknnnorrrstvyyyy</v>
      </c>
      <c r="I26" s="1" t="s">
        <v>64</v>
      </c>
      <c r="J26" s="1">
        <f t="array" ref="J26">xlookup(I26,Sheet2!A:A,Sheet2!B:B)</f>
        <v>30</v>
      </c>
      <c r="K26" s="1" t="s">
        <v>80</v>
      </c>
      <c r="L26" s="1" t="s">
        <v>21</v>
      </c>
      <c r="M26" s="1">
        <f t="array" ref="M26">xlookup(L26,Sheet2!A:A,Sheet2!B:B)</f>
        <v>10</v>
      </c>
      <c r="N26" s="1" t="s">
        <v>80</v>
      </c>
      <c r="O26" s="4" t="str">
        <f t="shared" si="1"/>
        <v>152136 : [8,30,10],</v>
      </c>
      <c r="P26" s="4" t="str">
        <f t="shared" si="2"/>
        <v>152136 : 4,</v>
      </c>
    </row>
    <row r="27">
      <c r="A27" s="1" t="s">
        <v>81</v>
      </c>
      <c r="B27" s="2">
        <v>119554.0</v>
      </c>
      <c r="C27" s="1" t="s">
        <v>60</v>
      </c>
      <c r="D27" s="1">
        <f t="array" ref="D27">xlookup(C27,Sheet3!A:A,Sheet3!B:B)</f>
        <v>4</v>
      </c>
      <c r="E27" s="1" t="s">
        <v>74</v>
      </c>
      <c r="F27" s="1">
        <f t="array" ref="F27">xlookup(E27,Sheet2!A:A,Sheet2!B:B)</f>
        <v>50</v>
      </c>
      <c r="G27" s="1" t="s">
        <v>82</v>
      </c>
      <c r="H27" s="3" t="str">
        <f t="array" ref="H27">JOIN("", SORT(MID(LOWER(G27), SEQUENCE(LEN(G27)), 1)))</f>
        <v>   ,aaaaaaaaghhhiikkklmnprrsssttu</v>
      </c>
      <c r="I27" s="1" t="s">
        <v>76</v>
      </c>
      <c r="J27" s="1">
        <f t="array" ref="J27">xlookup(I27,Sheet2!A:A,Sheet2!B:B)</f>
        <v>24</v>
      </c>
      <c r="K27" s="1" t="s">
        <v>82</v>
      </c>
      <c r="L27" s="1" t="s">
        <v>10</v>
      </c>
      <c r="M27" s="1">
        <f t="array" ref="M27">xlookup(L27,Sheet2!A:A,Sheet2!B:B)</f>
        <v>9</v>
      </c>
      <c r="N27" s="1" t="s">
        <v>82</v>
      </c>
      <c r="O27" s="4" t="str">
        <f t="shared" si="1"/>
        <v>119554 : [50,24,9],</v>
      </c>
      <c r="P27" s="4" t="str">
        <f t="shared" si="2"/>
        <v>119554 : 4,</v>
      </c>
    </row>
    <row r="28">
      <c r="A28" s="1" t="s">
        <v>83</v>
      </c>
      <c r="B28" s="2">
        <v>118526.0</v>
      </c>
      <c r="C28" s="1" t="s">
        <v>60</v>
      </c>
      <c r="D28" s="1">
        <f t="array" ref="D28">xlookup(C28,Sheet3!A:A,Sheet3!B:B)</f>
        <v>4</v>
      </c>
      <c r="E28" s="1" t="s">
        <v>64</v>
      </c>
      <c r="F28" s="1">
        <f t="array" ref="F28">xlookup(E28,Sheet2!A:A,Sheet2!B:B)</f>
        <v>30</v>
      </c>
      <c r="G28" s="1" t="s">
        <v>3</v>
      </c>
      <c r="H28" s="3" t="str">
        <f t="array" ref="H28">JOIN("", SORT(MID(LOWER(G28), SEQUENCE(LEN(G28)), 1)))</f>
        <v>an</v>
      </c>
      <c r="I28" s="1" t="s">
        <v>61</v>
      </c>
      <c r="J28" s="1">
        <f t="array" ref="J28">xlookup(I28,Sheet2!A:A,Sheet2!B:B)</f>
        <v>31</v>
      </c>
      <c r="K28" s="1" t="s">
        <v>3</v>
      </c>
      <c r="L28" s="1" t="s">
        <v>63</v>
      </c>
      <c r="M28" s="1">
        <f t="array" ref="M28">xlookup(L28,Sheet2!A:A,Sheet2!B:B)</f>
        <v>29</v>
      </c>
      <c r="N28" s="1" t="s">
        <v>3</v>
      </c>
      <c r="O28" s="4" t="str">
        <f t="shared" si="1"/>
        <v>118526 : [30,31,29],</v>
      </c>
      <c r="P28" s="4" t="str">
        <f t="shared" si="2"/>
        <v>118526 : 4,</v>
      </c>
    </row>
    <row r="29">
      <c r="A29" s="1" t="s">
        <v>84</v>
      </c>
      <c r="B29" s="2">
        <v>177495.0</v>
      </c>
      <c r="C29" s="1" t="s">
        <v>60</v>
      </c>
      <c r="D29" s="1">
        <f t="array" ref="D29">xlookup(C29,Sheet3!A:A,Sheet3!B:B)</f>
        <v>4</v>
      </c>
      <c r="E29" s="1" t="s">
        <v>21</v>
      </c>
      <c r="F29" s="1">
        <f t="array" ref="F29">xlookup(E29,Sheet2!A:A,Sheet2!B:B)</f>
        <v>10</v>
      </c>
      <c r="G29" s="1" t="s">
        <v>85</v>
      </c>
      <c r="H29" s="3" t="str">
        <f t="array" ref="H29">JOIN("", SORT(MID(LOWER(G29), SEQUENCE(LEN(G29)), 1)))</f>
        <v>       ,aaaaaaadddeeeehhhhhhiilmmnnnnprrrrssstuvy</v>
      </c>
      <c r="I29" s="1" t="s">
        <v>20</v>
      </c>
      <c r="J29" s="1">
        <f t="array" ref="J29">xlookup(I29,Sheet2!A:A,Sheet2!B:B)</f>
        <v>48</v>
      </c>
      <c r="K29" s="1" t="s">
        <v>86</v>
      </c>
      <c r="L29" s="1" t="s">
        <v>18</v>
      </c>
      <c r="M29" s="1">
        <f t="array" ref="M29">xlookup(L29,Sheet2!A:A,Sheet2!B:B)</f>
        <v>22</v>
      </c>
      <c r="N29" s="1" t="s">
        <v>85</v>
      </c>
      <c r="O29" s="4" t="str">
        <f t="shared" si="1"/>
        <v>177495 : [10,48,22],</v>
      </c>
      <c r="P29" s="4" t="str">
        <f t="shared" si="2"/>
        <v>177495 : 4,</v>
      </c>
    </row>
    <row r="30">
      <c r="A30" s="1" t="s">
        <v>87</v>
      </c>
      <c r="B30" s="2">
        <v>110099.0</v>
      </c>
      <c r="C30" s="1" t="s">
        <v>60</v>
      </c>
      <c r="D30" s="1">
        <f t="array" ref="D30">xlookup(C30,Sheet3!A:A,Sheet3!B:B)</f>
        <v>4</v>
      </c>
      <c r="E30" s="1" t="s">
        <v>13</v>
      </c>
      <c r="F30" s="1">
        <f t="array" ref="F30">xlookup(E30,Sheet2!A:A,Sheet2!B:B)</f>
        <v>17</v>
      </c>
      <c r="G30" s="1" t="s">
        <v>3</v>
      </c>
      <c r="H30" s="3" t="str">
        <f t="array" ref="H30">JOIN("", SORT(MID(LOWER(G30), SEQUENCE(LEN(G30)), 1)))</f>
        <v>an</v>
      </c>
      <c r="I30" s="1" t="s">
        <v>12</v>
      </c>
      <c r="J30" s="1">
        <f t="array" ref="J30">xlookup(I30,Sheet2!A:A,Sheet2!B:B)</f>
        <v>41</v>
      </c>
      <c r="K30" s="1" t="s">
        <v>3</v>
      </c>
      <c r="L30" s="1" t="s">
        <v>47</v>
      </c>
      <c r="M30" s="1">
        <f t="array" ref="M30">xlookup(L30,Sheet2!A:A,Sheet2!B:B)</f>
        <v>27</v>
      </c>
      <c r="N30" s="1" t="s">
        <v>3</v>
      </c>
      <c r="O30" s="4" t="str">
        <f t="shared" si="1"/>
        <v>110099 : [17,41,27],</v>
      </c>
      <c r="P30" s="4" t="str">
        <f t="shared" si="2"/>
        <v>110099 : 4,</v>
      </c>
    </row>
    <row r="31">
      <c r="A31" s="1" t="s">
        <v>88</v>
      </c>
      <c r="B31" s="2">
        <v>139393.0</v>
      </c>
      <c r="C31" s="1" t="s">
        <v>60</v>
      </c>
      <c r="D31" s="1">
        <f t="array" ref="D31">xlookup(C31,Sheet3!A:A,Sheet3!B:B)</f>
        <v>4</v>
      </c>
      <c r="E31" s="1" t="s">
        <v>61</v>
      </c>
      <c r="F31" s="1">
        <f t="array" ref="F31">xlookup(E31,Sheet2!A:A,Sheet2!B:B)</f>
        <v>31</v>
      </c>
      <c r="G31" s="1" t="s">
        <v>89</v>
      </c>
      <c r="H31" s="3" t="str">
        <f t="array" ref="H31">JOIN("", SORT(MID(LOWER(G31), SEQUENCE(LEN(G31)), 1)))</f>
        <v>   ,aaaaaaabehiikklnorsvy</v>
      </c>
      <c r="I31" s="1" t="s">
        <v>64</v>
      </c>
      <c r="J31" s="1">
        <f t="array" ref="J31">xlookup(I31,Sheet2!A:A,Sheet2!B:B)</f>
        <v>30</v>
      </c>
      <c r="K31" s="1" t="s">
        <v>89</v>
      </c>
      <c r="L31" s="1" t="s">
        <v>63</v>
      </c>
      <c r="M31" s="1">
        <f t="array" ref="M31">xlookup(L31,Sheet2!A:A,Sheet2!B:B)</f>
        <v>29</v>
      </c>
      <c r="N31" s="1" t="s">
        <v>89</v>
      </c>
      <c r="O31" s="4" t="str">
        <f t="shared" si="1"/>
        <v>139393 : [31,30,29],</v>
      </c>
      <c r="P31" s="4" t="str">
        <f t="shared" si="2"/>
        <v>139393 : 4,</v>
      </c>
    </row>
    <row r="32">
      <c r="A32" s="1" t="s">
        <v>90</v>
      </c>
      <c r="B32" s="2">
        <v>138923.0</v>
      </c>
      <c r="C32" s="1" t="s">
        <v>60</v>
      </c>
      <c r="D32" s="1">
        <f t="array" ref="D32">xlookup(C32,Sheet3!A:A,Sheet3!B:B)</f>
        <v>4</v>
      </c>
      <c r="E32" s="1" t="s">
        <v>61</v>
      </c>
      <c r="F32" s="1">
        <f t="array" ref="F32">xlookup(E32,Sheet2!A:A,Sheet2!B:B)</f>
        <v>31</v>
      </c>
      <c r="G32" s="1" t="s">
        <v>91</v>
      </c>
      <c r="H32" s="3" t="str">
        <f t="array" ref="H32">JOIN("", SORT(MID(LOWER(G32), SEQUENCE(LEN(G32)), 1)))</f>
        <v>   ,aaaaaaabehiikklnorsvy</v>
      </c>
      <c r="I32" s="1" t="s">
        <v>64</v>
      </c>
      <c r="J32" s="1">
        <f t="array" ref="J32">xlookup(I32,Sheet2!A:A,Sheet2!B:B)</f>
        <v>30</v>
      </c>
      <c r="K32" s="1" t="s">
        <v>91</v>
      </c>
      <c r="L32" s="1" t="s">
        <v>63</v>
      </c>
      <c r="M32" s="1">
        <f t="array" ref="M32">xlookup(L32,Sheet2!A:A,Sheet2!B:B)</f>
        <v>29</v>
      </c>
      <c r="N32" s="1" t="s">
        <v>91</v>
      </c>
      <c r="O32" s="4" t="str">
        <f t="shared" si="1"/>
        <v>138923 : [31,30,29],</v>
      </c>
      <c r="P32" s="4" t="str">
        <f t="shared" si="2"/>
        <v>138923 : 4,</v>
      </c>
    </row>
    <row r="33">
      <c r="A33" s="1" t="s">
        <v>92</v>
      </c>
      <c r="B33" s="2">
        <v>301144.0</v>
      </c>
      <c r="C33" s="1" t="s">
        <v>60</v>
      </c>
      <c r="D33" s="1">
        <f t="array" ref="D33">xlookup(C33,Sheet3!A:A,Sheet3!B:B)</f>
        <v>4</v>
      </c>
      <c r="E33" s="1" t="s">
        <v>34</v>
      </c>
      <c r="F33" s="1">
        <f t="array" ref="F33">xlookup(E33,Sheet2!A:A,Sheet2!B:B)</f>
        <v>8</v>
      </c>
      <c r="G33" s="1" t="s">
        <v>93</v>
      </c>
      <c r="H33" s="3" t="str">
        <f t="array" ref="H33">JOIN("", SORT(MID(LOWER(G33), SEQUENCE(LEN(G33)), 1)))</f>
        <v>   ,aaaaaceghhiiknnnorrrstvyyyy</v>
      </c>
      <c r="I33" s="1" t="s">
        <v>64</v>
      </c>
      <c r="J33" s="1">
        <f t="array" ref="J33">xlookup(I33,Sheet2!A:A,Sheet2!B:B)</f>
        <v>30</v>
      </c>
      <c r="K33" s="1" t="s">
        <v>93</v>
      </c>
      <c r="L33" s="1" t="s">
        <v>21</v>
      </c>
      <c r="M33" s="1">
        <f t="array" ref="M33">xlookup(L33,Sheet2!A:A,Sheet2!B:B)</f>
        <v>10</v>
      </c>
      <c r="N33" s="1" t="s">
        <v>93</v>
      </c>
      <c r="O33" s="4" t="str">
        <f t="shared" si="1"/>
        <v>301144 : [8,30,10],</v>
      </c>
      <c r="P33" s="4" t="str">
        <f t="shared" si="2"/>
        <v>301144 : 4,</v>
      </c>
    </row>
    <row r="34">
      <c r="A34" s="1" t="s">
        <v>94</v>
      </c>
      <c r="B34" s="2">
        <v>111849.0</v>
      </c>
      <c r="C34" s="1" t="s">
        <v>60</v>
      </c>
      <c r="D34" s="1">
        <f t="array" ref="D34">xlookup(C34,Sheet3!A:A,Sheet3!B:B)</f>
        <v>4</v>
      </c>
      <c r="E34" s="1" t="s">
        <v>10</v>
      </c>
      <c r="F34" s="1">
        <f t="array" ref="F34">xlookup(E34,Sheet2!A:A,Sheet2!B:B)</f>
        <v>9</v>
      </c>
      <c r="G34" s="1" t="s">
        <v>95</v>
      </c>
      <c r="H34" s="3" t="str">
        <f t="array" ref="H34">JOIN("", SORT(MID(LOWER(G34), SEQUENCE(LEN(G34)), 1)))</f>
        <v>  aaaaaabbhiilmnnrsssuvw</v>
      </c>
      <c r="I34" s="1" t="s">
        <v>96</v>
      </c>
      <c r="J34" s="1">
        <f t="array" ref="J34">xlookup(I34,Sheet2!A:A,Sheet2!B:B)</f>
        <v>47</v>
      </c>
      <c r="K34" s="1" t="s">
        <v>95</v>
      </c>
      <c r="L34" s="1" t="s">
        <v>16</v>
      </c>
      <c r="M34" s="1">
        <f t="array" ref="M34">xlookup(L34,Sheet2!A:A,Sheet2!B:B)</f>
        <v>3</v>
      </c>
      <c r="N34" s="1" t="s">
        <v>95</v>
      </c>
      <c r="O34" s="4" t="str">
        <f t="shared" si="1"/>
        <v>111849 : [9,47,3],</v>
      </c>
      <c r="P34" s="4" t="str">
        <f t="shared" si="2"/>
        <v>111849 : 4,</v>
      </c>
    </row>
    <row r="35">
      <c r="A35" s="1" t="s">
        <v>97</v>
      </c>
      <c r="B35" s="2">
        <v>110345.0</v>
      </c>
      <c r="C35" s="1" t="s">
        <v>60</v>
      </c>
      <c r="D35" s="1">
        <f t="array" ref="D35">xlookup(C35,Sheet3!A:A,Sheet3!B:B)</f>
        <v>4</v>
      </c>
      <c r="E35" s="1" t="s">
        <v>74</v>
      </c>
      <c r="F35" s="1">
        <f t="array" ref="F35">xlookup(E35,Sheet2!A:A,Sheet2!B:B)</f>
        <v>50</v>
      </c>
      <c r="G35" s="1" t="s">
        <v>75</v>
      </c>
      <c r="H35" s="3" t="str">
        <f t="array" ref="H35">JOIN("", SORT(MID(LOWER(G35), SEQUENCE(LEN(G35)), 1)))</f>
        <v>   ,aaeehhhiikllmnnorrrssttuu</v>
      </c>
      <c r="I35" s="1" t="s">
        <v>76</v>
      </c>
      <c r="J35" s="1">
        <f t="array" ref="J35">xlookup(I35,Sheet2!A:A,Sheet2!B:B)</f>
        <v>24</v>
      </c>
      <c r="K35" s="1" t="s">
        <v>75</v>
      </c>
      <c r="L35" s="1" t="s">
        <v>72</v>
      </c>
      <c r="M35" s="1">
        <f t="array" ref="M35">xlookup(L35,Sheet2!A:A,Sheet2!B:B)</f>
        <v>34</v>
      </c>
      <c r="N35" s="1" t="s">
        <v>75</v>
      </c>
      <c r="O35" s="4" t="str">
        <f t="shared" si="1"/>
        <v>110345 : [50,24,34],</v>
      </c>
      <c r="P35" s="4" t="str">
        <f t="shared" si="2"/>
        <v>110345 : 4,</v>
      </c>
    </row>
    <row r="36">
      <c r="A36" s="1" t="s">
        <v>98</v>
      </c>
      <c r="B36" s="2">
        <v>135551.0</v>
      </c>
      <c r="C36" s="1" t="s">
        <v>60</v>
      </c>
      <c r="D36" s="1">
        <f t="array" ref="D36">xlookup(C36,Sheet3!A:A,Sheet3!B:B)</f>
        <v>4</v>
      </c>
      <c r="E36" s="1" t="s">
        <v>10</v>
      </c>
      <c r="F36" s="1">
        <f t="array" ref="F36">xlookup(E36,Sheet2!A:A,Sheet2!B:B)</f>
        <v>9</v>
      </c>
      <c r="G36" s="1" t="s">
        <v>99</v>
      </c>
      <c r="H36" s="3" t="str">
        <f t="array" ref="H36">JOIN("", SORT(MID(LOWER(G36), SEQUENCE(LEN(G36)), 1)))</f>
        <v>   ,aaacdehiiklmmnnrrsuu</v>
      </c>
      <c r="I36" s="1" t="s">
        <v>96</v>
      </c>
      <c r="J36" s="1">
        <f t="array" ref="J36">xlookup(I36,Sheet2!A:A,Sheet2!B:B)</f>
        <v>47</v>
      </c>
      <c r="K36" s="1" t="s">
        <v>99</v>
      </c>
      <c r="L36" s="1" t="s">
        <v>74</v>
      </c>
      <c r="M36" s="1">
        <f t="array" ref="M36">xlookup(L36,Sheet2!A:A,Sheet2!B:B)</f>
        <v>50</v>
      </c>
      <c r="N36" s="1" t="s">
        <v>99</v>
      </c>
      <c r="O36" s="4" t="str">
        <f t="shared" si="1"/>
        <v>135551 : [9,47,50],</v>
      </c>
      <c r="P36" s="4" t="str">
        <f t="shared" si="2"/>
        <v>135551 : 4,</v>
      </c>
    </row>
    <row r="37">
      <c r="A37" s="1" t="s">
        <v>100</v>
      </c>
      <c r="B37" s="2">
        <v>113511.0</v>
      </c>
      <c r="C37" s="1" t="s">
        <v>60</v>
      </c>
      <c r="D37" s="1">
        <f t="array" ref="D37">xlookup(C37,Sheet3!A:A,Sheet3!B:B)</f>
        <v>4</v>
      </c>
      <c r="E37" s="1" t="s">
        <v>10</v>
      </c>
      <c r="F37" s="1">
        <f t="array" ref="F37">xlookup(E37,Sheet2!A:A,Sheet2!B:B)</f>
        <v>9</v>
      </c>
      <c r="G37" s="1" t="s">
        <v>101</v>
      </c>
      <c r="H37" s="3" t="str">
        <f t="array" ref="H37">JOIN("", SORT(MID(LOWER(G37), SEQUENCE(LEN(G37)), 1)))</f>
        <v>   ,aaacdehiiklmmnnrrsuu</v>
      </c>
      <c r="I37" s="1" t="s">
        <v>96</v>
      </c>
      <c r="J37" s="1">
        <f t="array" ref="J37">xlookup(I37,Sheet2!A:A,Sheet2!B:B)</f>
        <v>47</v>
      </c>
      <c r="K37" s="1" t="s">
        <v>101</v>
      </c>
      <c r="L37" s="1" t="s">
        <v>74</v>
      </c>
      <c r="M37" s="1">
        <f t="array" ref="M37">xlookup(L37,Sheet2!A:A,Sheet2!B:B)</f>
        <v>50</v>
      </c>
      <c r="N37" s="1" t="s">
        <v>101</v>
      </c>
      <c r="O37" s="4" t="str">
        <f t="shared" si="1"/>
        <v>113511 : [9,47,50],</v>
      </c>
      <c r="P37" s="4" t="str">
        <f t="shared" si="2"/>
        <v>113511 : 4,</v>
      </c>
    </row>
    <row r="38">
      <c r="A38" s="1" t="s">
        <v>102</v>
      </c>
      <c r="B38" s="2">
        <v>312654.0</v>
      </c>
      <c r="C38" s="1" t="s">
        <v>60</v>
      </c>
      <c r="D38" s="1">
        <f t="array" ref="D38">xlookup(C38,Sheet3!A:A,Sheet3!B:B)</f>
        <v>4</v>
      </c>
      <c r="E38" s="1" t="s">
        <v>9</v>
      </c>
      <c r="F38" s="1">
        <f t="array" ref="F38">xlookup(E38,Sheet2!A:A,Sheet2!B:B)</f>
        <v>5</v>
      </c>
      <c r="G38" s="1" t="s">
        <v>71</v>
      </c>
      <c r="H38" s="3" t="str">
        <f t="array" ref="H38">JOIN("", SORT(MID(LOWER(G38), SEQUENCE(LEN(G38)), 1)))</f>
        <v>   ,abceeghiklmnooptuvwy</v>
      </c>
      <c r="I38" s="1" t="s">
        <v>10</v>
      </c>
      <c r="J38" s="1">
        <f t="array" ref="J38">xlookup(I38,Sheet2!A:A,Sheet2!B:B)</f>
        <v>9</v>
      </c>
      <c r="K38" s="1" t="s">
        <v>71</v>
      </c>
      <c r="L38" s="1" t="s">
        <v>72</v>
      </c>
      <c r="M38" s="1">
        <f t="array" ref="M38">xlookup(L38,Sheet2!A:A,Sheet2!B:B)</f>
        <v>34</v>
      </c>
      <c r="N38" s="1" t="s">
        <v>71</v>
      </c>
      <c r="O38" s="4" t="str">
        <f t="shared" si="1"/>
        <v>312654 : [5,9,34],</v>
      </c>
      <c r="P38" s="4" t="str">
        <f t="shared" si="2"/>
        <v>312654 : 4,</v>
      </c>
    </row>
    <row r="39">
      <c r="A39" s="1" t="s">
        <v>103</v>
      </c>
      <c r="B39" s="2">
        <v>306645.0</v>
      </c>
      <c r="C39" s="1" t="s">
        <v>60</v>
      </c>
      <c r="D39" s="1">
        <f t="array" ref="D39">xlookup(C39,Sheet3!A:A,Sheet3!B:B)</f>
        <v>4</v>
      </c>
      <c r="E39" s="1" t="s">
        <v>15</v>
      </c>
      <c r="F39" s="1">
        <f t="array" ref="F39">xlookup(E39,Sheet2!A:A,Sheet2!B:B)</f>
        <v>0</v>
      </c>
      <c r="G39" s="1" t="s">
        <v>3</v>
      </c>
      <c r="H39" s="3" t="str">
        <f t="array" ref="H39">JOIN("", SORT(MID(LOWER(G39), SEQUENCE(LEN(G39)), 1)))</f>
        <v>an</v>
      </c>
      <c r="I39" s="1" t="s">
        <v>16</v>
      </c>
      <c r="J39" s="1">
        <f t="array" ref="J39">xlookup(I39,Sheet2!A:A,Sheet2!B:B)</f>
        <v>3</v>
      </c>
      <c r="K39" s="1" t="s">
        <v>3</v>
      </c>
      <c r="L39" s="1" t="s">
        <v>5</v>
      </c>
      <c r="M39" s="1">
        <f t="array" ref="M39">xlookup(L39,Sheet2!A:A,Sheet2!B:B)</f>
        <v>35</v>
      </c>
      <c r="N39" s="1" t="s">
        <v>3</v>
      </c>
      <c r="O39" s="4" t="str">
        <f t="shared" si="1"/>
        <v>306645 : [0,3,35],</v>
      </c>
      <c r="P39" s="4" t="str">
        <f t="shared" si="2"/>
        <v>306645 : 4,</v>
      </c>
    </row>
    <row r="40">
      <c r="A40" s="1" t="s">
        <v>104</v>
      </c>
      <c r="B40" s="2">
        <v>323614.0</v>
      </c>
      <c r="C40" s="1" t="s">
        <v>60</v>
      </c>
      <c r="D40" s="1">
        <f t="array" ref="D40">xlookup(C40,Sheet3!A:A,Sheet3!B:B)</f>
        <v>4</v>
      </c>
      <c r="E40" s="1" t="s">
        <v>2</v>
      </c>
      <c r="F40" s="1">
        <f t="array" ref="F40">xlookup(E40,Sheet2!A:A,Sheet2!B:B)</f>
        <v>25</v>
      </c>
      <c r="G40" s="1" t="s">
        <v>3</v>
      </c>
      <c r="H40" s="3" t="str">
        <f t="array" ref="H40">JOIN("", SORT(MID(LOWER(G40), SEQUENCE(LEN(G40)), 1)))</f>
        <v>an</v>
      </c>
      <c r="I40" s="1" t="s">
        <v>39</v>
      </c>
      <c r="J40" s="1">
        <f t="array" ref="J40">xlookup(I40,Sheet2!A:A,Sheet2!B:B)</f>
        <v>20</v>
      </c>
      <c r="K40" s="1" t="s">
        <v>3</v>
      </c>
      <c r="L40" s="1" t="s">
        <v>105</v>
      </c>
      <c r="M40" s="1">
        <f t="array" ref="M40">xlookup(L40,Sheet2!A:A,Sheet2!B:B)</f>
        <v>26</v>
      </c>
      <c r="N40" s="1" t="s">
        <v>3</v>
      </c>
      <c r="O40" s="4" t="str">
        <f t="shared" si="1"/>
        <v>323614 : [25,20,26],</v>
      </c>
      <c r="P40" s="4" t="str">
        <f t="shared" si="2"/>
        <v>323614 : 4,</v>
      </c>
    </row>
    <row r="41">
      <c r="A41" s="1" t="s">
        <v>106</v>
      </c>
      <c r="B41" s="2">
        <v>110137.0</v>
      </c>
      <c r="C41" s="1" t="s">
        <v>60</v>
      </c>
      <c r="D41" s="1">
        <f t="array" ref="D41">xlookup(C41,Sheet3!A:A,Sheet3!B:B)</f>
        <v>4</v>
      </c>
      <c r="E41" s="1" t="s">
        <v>15</v>
      </c>
      <c r="F41" s="1">
        <f t="array" ref="F41">xlookup(E41,Sheet2!A:A,Sheet2!B:B)</f>
        <v>0</v>
      </c>
      <c r="G41" s="1" t="s">
        <v>3</v>
      </c>
      <c r="H41" s="3" t="str">
        <f t="array" ref="H41">JOIN("", SORT(MID(LOWER(G41), SEQUENCE(LEN(G41)), 1)))</f>
        <v>an</v>
      </c>
      <c r="I41" s="1" t="s">
        <v>16</v>
      </c>
      <c r="J41" s="1">
        <f t="array" ref="J41">xlookup(I41,Sheet2!A:A,Sheet2!B:B)</f>
        <v>3</v>
      </c>
      <c r="K41" s="1" t="s">
        <v>3</v>
      </c>
      <c r="L41" s="1" t="s">
        <v>12</v>
      </c>
      <c r="M41" s="1">
        <f t="array" ref="M41">xlookup(L41,Sheet2!A:A,Sheet2!B:B)</f>
        <v>41</v>
      </c>
      <c r="N41" s="1" t="s">
        <v>3</v>
      </c>
      <c r="O41" s="4" t="str">
        <f t="shared" si="1"/>
        <v>110137 : [0,3,41],</v>
      </c>
      <c r="P41" s="4" t="str">
        <f t="shared" si="2"/>
        <v>110137 : 4,</v>
      </c>
    </row>
    <row r="42">
      <c r="A42" s="1" t="s">
        <v>107</v>
      </c>
      <c r="B42" s="2">
        <v>152840.0</v>
      </c>
      <c r="C42" s="1" t="s">
        <v>60</v>
      </c>
      <c r="D42" s="1">
        <f t="array" ref="D42">xlookup(C42,Sheet3!A:A,Sheet3!B:B)</f>
        <v>4</v>
      </c>
      <c r="E42" s="1" t="s">
        <v>25</v>
      </c>
      <c r="F42" s="1">
        <f t="array" ref="F42">xlookup(E42,Sheet2!A:A,Sheet2!B:B)</f>
        <v>18</v>
      </c>
      <c r="G42" s="1" t="s">
        <v>3</v>
      </c>
      <c r="H42" s="3" t="str">
        <f t="array" ref="H42">JOIN("", SORT(MID(LOWER(G42), SEQUENCE(LEN(G42)), 1)))</f>
        <v>an</v>
      </c>
      <c r="I42" s="1" t="s">
        <v>30</v>
      </c>
      <c r="J42" s="1">
        <f t="array" ref="J42">xlookup(I42,Sheet2!A:A,Sheet2!B:B)</f>
        <v>13</v>
      </c>
      <c r="K42" s="1" t="s">
        <v>3</v>
      </c>
      <c r="L42" s="1" t="s">
        <v>32</v>
      </c>
      <c r="M42" s="1">
        <f t="array" ref="M42">xlookup(L42,Sheet2!A:A,Sheet2!B:B)</f>
        <v>11</v>
      </c>
      <c r="N42" s="1" t="s">
        <v>3</v>
      </c>
      <c r="O42" s="4" t="str">
        <f t="shared" si="1"/>
        <v>152840 : [18,13,11],</v>
      </c>
      <c r="P42" s="4" t="str">
        <f t="shared" si="2"/>
        <v>152840 : 4,</v>
      </c>
    </row>
    <row r="43">
      <c r="A43" s="3" t="s">
        <v>108</v>
      </c>
      <c r="B43" s="5">
        <v>139441.0</v>
      </c>
      <c r="C43" s="3" t="s">
        <v>60</v>
      </c>
      <c r="D43" s="1">
        <f t="array" ref="D43">xlookup(C43,Sheet3!A:A,Sheet3!B:B)</f>
        <v>4</v>
      </c>
      <c r="E43" s="3" t="s">
        <v>109</v>
      </c>
      <c r="F43" s="1">
        <f t="array" ref="F43">xlookup(E43,Sheet2!A:A,Sheet2!B:B)</f>
        <v>49</v>
      </c>
      <c r="G43" s="3" t="s">
        <v>110</v>
      </c>
      <c r="H43" s="3" t="str">
        <f t="array" ref="H43">JOIN("", SORT(MID(LOWER(G43), SEQUENCE(LEN(G43)), 1)))</f>
        <v>     ,,aaaaaaaaabdehhhhiiiiillmmnnnprrrrsstuwyyy</v>
      </c>
      <c r="I43" s="3" t="s">
        <v>47</v>
      </c>
      <c r="J43" s="1">
        <f t="array" ref="J43">xlookup(I43,Sheet2!A:A,Sheet2!B:B)</f>
        <v>27</v>
      </c>
      <c r="K43" s="3" t="s">
        <v>110</v>
      </c>
      <c r="L43" s="3" t="s">
        <v>111</v>
      </c>
      <c r="M43" s="1">
        <f t="array" ref="M43">xlookup(L43,Sheet2!A:A,Sheet2!B:B)</f>
        <v>28</v>
      </c>
      <c r="N43" s="3" t="s">
        <v>110</v>
      </c>
      <c r="O43" s="4" t="str">
        <f t="shared" si="1"/>
        <v>139441 : [49,27,28],</v>
      </c>
      <c r="P43" s="4" t="str">
        <f t="shared" si="2"/>
        <v>139441 : 4,</v>
      </c>
    </row>
    <row r="44">
      <c r="A44" s="3" t="s">
        <v>112</v>
      </c>
      <c r="B44" s="5">
        <v>310712.0</v>
      </c>
      <c r="C44" s="3" t="s">
        <v>60</v>
      </c>
      <c r="D44" s="1">
        <f t="array" ref="D44">xlookup(C44,Sheet3!A:A,Sheet3!B:B)</f>
        <v>4</v>
      </c>
      <c r="E44" s="3" t="s">
        <v>25</v>
      </c>
      <c r="F44" s="1">
        <f t="array" ref="F44">xlookup(E44,Sheet2!A:A,Sheet2!B:B)</f>
        <v>18</v>
      </c>
      <c r="G44" s="3" t="s">
        <v>113</v>
      </c>
      <c r="H44" s="3" t="str">
        <f t="array" ref="H44">JOIN("", SORT(MID(LOWER(G44), SEQUENCE(LEN(G44)), 1)))</f>
        <v>   ,aaaceeeghhiiillnnnpptwy</v>
      </c>
      <c r="I44" s="3" t="s">
        <v>114</v>
      </c>
      <c r="J44" s="1">
        <f t="array" ref="J44">xlookup(I44,Sheet2!A:A,Sheet2!B:B)</f>
        <v>12</v>
      </c>
      <c r="K44" s="3" t="s">
        <v>115</v>
      </c>
      <c r="L44" s="3" t="s">
        <v>30</v>
      </c>
      <c r="M44" s="1">
        <f t="array" ref="M44">xlookup(L44,Sheet2!A:A,Sheet2!B:B)</f>
        <v>13</v>
      </c>
      <c r="N44" s="3" t="s">
        <v>113</v>
      </c>
      <c r="O44" s="4" t="str">
        <f t="shared" si="1"/>
        <v>310712 : [18,12,13],</v>
      </c>
      <c r="P44" s="4" t="str">
        <f t="shared" si="2"/>
        <v>310712 : 4,</v>
      </c>
    </row>
    <row r="45">
      <c r="A45" s="3" t="s">
        <v>116</v>
      </c>
      <c r="B45" s="5">
        <v>145985.0</v>
      </c>
      <c r="C45" s="3" t="s">
        <v>60</v>
      </c>
      <c r="D45" s="1">
        <f t="array" ref="D45">xlookup(C45,Sheet3!A:A,Sheet3!B:B)</f>
        <v>4</v>
      </c>
      <c r="E45" s="3" t="s">
        <v>61</v>
      </c>
      <c r="F45" s="1">
        <f t="array" ref="F45">xlookup(E45,Sheet2!A:A,Sheet2!B:B)</f>
        <v>31</v>
      </c>
      <c r="G45" s="3" t="s">
        <v>3</v>
      </c>
      <c r="H45" s="3" t="str">
        <f t="array" ref="H45">JOIN("", SORT(MID(LOWER(G45), SEQUENCE(LEN(G45)), 1)))</f>
        <v>an</v>
      </c>
      <c r="I45" s="3" t="s">
        <v>64</v>
      </c>
      <c r="J45" s="1">
        <f t="array" ref="J45">xlookup(I45,Sheet2!A:A,Sheet2!B:B)</f>
        <v>30</v>
      </c>
      <c r="K45" s="3" t="s">
        <v>3</v>
      </c>
      <c r="L45" s="3" t="s">
        <v>63</v>
      </c>
      <c r="M45" s="1">
        <f t="array" ref="M45">xlookup(L45,Sheet2!A:A,Sheet2!B:B)</f>
        <v>29</v>
      </c>
      <c r="N45" s="3" t="s">
        <v>3</v>
      </c>
      <c r="O45" s="4" t="str">
        <f t="shared" si="1"/>
        <v>145985 : [31,30,29],</v>
      </c>
      <c r="P45" s="4" t="str">
        <f t="shared" si="2"/>
        <v>145985 : 4,</v>
      </c>
    </row>
    <row r="46">
      <c r="A46" s="1" t="s">
        <v>117</v>
      </c>
      <c r="B46" s="2">
        <v>311130.0</v>
      </c>
      <c r="C46" s="1" t="s">
        <v>118</v>
      </c>
      <c r="D46" s="1">
        <f t="array" ref="D46">xlookup(C46,Sheet3!A:A,Sheet3!B:B)</f>
        <v>3</v>
      </c>
      <c r="E46" s="1" t="s">
        <v>32</v>
      </c>
      <c r="F46" s="1">
        <f t="array" ref="F46">xlookup(E46,Sheet2!A:A,Sheet2!B:B)</f>
        <v>11</v>
      </c>
      <c r="G46" s="1" t="s">
        <v>3</v>
      </c>
      <c r="H46" s="3" t="str">
        <f t="array" ref="H46">JOIN("", SORT(MID(LOWER(G46), SEQUENCE(LEN(G46)), 1)))</f>
        <v>an</v>
      </c>
      <c r="I46" s="1" t="s">
        <v>34</v>
      </c>
      <c r="J46" s="1">
        <f t="array" ref="J46">xlookup(I46,Sheet2!A:A,Sheet2!B:B)</f>
        <v>8</v>
      </c>
      <c r="K46" s="1" t="s">
        <v>3</v>
      </c>
      <c r="L46" s="1" t="s">
        <v>114</v>
      </c>
      <c r="M46" s="1">
        <f t="array" ref="M46">xlookup(L46,Sheet2!A:A,Sheet2!B:B)</f>
        <v>12</v>
      </c>
      <c r="N46" s="1" t="s">
        <v>3</v>
      </c>
      <c r="O46" s="4" t="str">
        <f t="shared" si="1"/>
        <v>311130 : [11,8,12],</v>
      </c>
      <c r="P46" s="4" t="str">
        <f t="shared" si="2"/>
        <v>311130 : 3,</v>
      </c>
    </row>
    <row r="47">
      <c r="A47" s="1" t="s">
        <v>119</v>
      </c>
      <c r="B47" s="2">
        <v>126515.0</v>
      </c>
      <c r="C47" s="1" t="s">
        <v>118</v>
      </c>
      <c r="D47" s="1">
        <f t="array" ref="D47">xlookup(C47,Sheet3!A:A,Sheet3!B:B)</f>
        <v>3</v>
      </c>
      <c r="E47" s="1" t="s">
        <v>12</v>
      </c>
      <c r="F47" s="1">
        <f t="array" ref="F47">xlookup(E47,Sheet2!A:A,Sheet2!B:B)</f>
        <v>41</v>
      </c>
      <c r="G47" s="1" t="s">
        <v>3</v>
      </c>
      <c r="H47" s="3" t="str">
        <f t="array" ref="H47">JOIN("", SORT(MID(LOWER(G47), SEQUENCE(LEN(G47)), 1)))</f>
        <v>an</v>
      </c>
      <c r="I47" s="1" t="s">
        <v>120</v>
      </c>
      <c r="J47" s="1">
        <f t="array" ref="J47">xlookup(I47,Sheet2!A:A,Sheet2!B:B)</f>
        <v>42</v>
      </c>
      <c r="K47" s="1" t="s">
        <v>3</v>
      </c>
      <c r="L47" s="1" t="s">
        <v>38</v>
      </c>
      <c r="M47" s="1">
        <f t="array" ref="M47">xlookup(L47,Sheet2!A:A,Sheet2!B:B)</f>
        <v>6</v>
      </c>
      <c r="N47" s="1" t="s">
        <v>3</v>
      </c>
      <c r="O47" s="4" t="str">
        <f t="shared" si="1"/>
        <v>126515 : [41,42,6],</v>
      </c>
      <c r="P47" s="4" t="str">
        <f t="shared" si="2"/>
        <v>126515 : 3,</v>
      </c>
    </row>
    <row r="48">
      <c r="A48" s="1" t="s">
        <v>121</v>
      </c>
      <c r="B48" s="2">
        <v>153380.0</v>
      </c>
      <c r="C48" s="1" t="s">
        <v>118</v>
      </c>
      <c r="D48" s="1">
        <f t="array" ref="D48">xlookup(C48,Sheet3!A:A,Sheet3!B:B)</f>
        <v>3</v>
      </c>
      <c r="E48" s="1" t="s">
        <v>15</v>
      </c>
      <c r="F48" s="1">
        <f t="array" ref="F48">xlookup(E48,Sheet2!A:A,Sheet2!B:B)</f>
        <v>0</v>
      </c>
      <c r="G48" s="1" t="s">
        <v>3</v>
      </c>
      <c r="H48" s="3" t="str">
        <f t="array" ref="H48">JOIN("", SORT(MID(LOWER(G48), SEQUENCE(LEN(G48)), 1)))</f>
        <v>an</v>
      </c>
      <c r="I48" s="1" t="s">
        <v>16</v>
      </c>
      <c r="J48" s="1">
        <f t="array" ref="J48">xlookup(I48,Sheet2!A:A,Sheet2!B:B)</f>
        <v>3</v>
      </c>
      <c r="K48" s="1" t="s">
        <v>3</v>
      </c>
      <c r="L48" s="1" t="s">
        <v>5</v>
      </c>
      <c r="M48" s="1">
        <f t="array" ref="M48">xlookup(L48,Sheet2!A:A,Sheet2!B:B)</f>
        <v>35</v>
      </c>
      <c r="N48" s="1" t="s">
        <v>3</v>
      </c>
      <c r="O48" s="4" t="str">
        <f t="shared" si="1"/>
        <v>153380 : [0,3,35],</v>
      </c>
      <c r="P48" s="4" t="str">
        <f t="shared" si="2"/>
        <v>153380 : 3,</v>
      </c>
    </row>
    <row r="49">
      <c r="A49" s="1" t="s">
        <v>122</v>
      </c>
      <c r="B49" s="2">
        <v>111264.0</v>
      </c>
      <c r="C49" s="1" t="s">
        <v>118</v>
      </c>
      <c r="D49" s="1">
        <f t="array" ref="D49">xlookup(C49,Sheet3!A:A,Sheet3!B:B)</f>
        <v>3</v>
      </c>
      <c r="E49" s="1" t="s">
        <v>114</v>
      </c>
      <c r="F49" s="1">
        <f t="array" ref="F49">xlookup(E49,Sheet2!A:A,Sheet2!B:B)</f>
        <v>12</v>
      </c>
      <c r="G49" s="1" t="s">
        <v>3</v>
      </c>
      <c r="H49" s="3" t="str">
        <f t="array" ref="H49">JOIN("", SORT(MID(LOWER(G49), SEQUENCE(LEN(G49)), 1)))</f>
        <v>an</v>
      </c>
      <c r="I49" s="1" t="s">
        <v>30</v>
      </c>
      <c r="J49" s="1">
        <f t="array" ref="J49">xlookup(I49,Sheet2!A:A,Sheet2!B:B)</f>
        <v>13</v>
      </c>
      <c r="K49" s="1" t="s">
        <v>3</v>
      </c>
      <c r="L49" s="1" t="s">
        <v>18</v>
      </c>
      <c r="M49" s="1">
        <f t="array" ref="M49">xlookup(L49,Sheet2!A:A,Sheet2!B:B)</f>
        <v>22</v>
      </c>
      <c r="N49" s="1" t="s">
        <v>3</v>
      </c>
      <c r="O49" s="4" t="str">
        <f t="shared" si="1"/>
        <v>111264 : [12,13,22],</v>
      </c>
      <c r="P49" s="4" t="str">
        <f t="shared" si="2"/>
        <v>111264 : 3,</v>
      </c>
    </row>
    <row r="50">
      <c r="A50" s="1" t="s">
        <v>123</v>
      </c>
      <c r="B50" s="2">
        <v>145700.0</v>
      </c>
      <c r="C50" s="1" t="s">
        <v>118</v>
      </c>
      <c r="D50" s="1">
        <f t="array" ref="D50">xlookup(C50,Sheet3!A:A,Sheet3!B:B)</f>
        <v>3</v>
      </c>
      <c r="E50" s="1" t="s">
        <v>39</v>
      </c>
      <c r="F50" s="1">
        <f t="array" ref="F50">xlookup(E50,Sheet2!A:A,Sheet2!B:B)</f>
        <v>20</v>
      </c>
      <c r="G50" s="1" t="s">
        <v>3</v>
      </c>
      <c r="H50" s="3" t="str">
        <f t="array" ref="H50">JOIN("", SORT(MID(LOWER(G50), SEQUENCE(LEN(G50)), 1)))</f>
        <v>an</v>
      </c>
      <c r="I50" s="1" t="s">
        <v>124</v>
      </c>
      <c r="J50" s="1">
        <f t="array" ref="J50">xlookup(I50,Sheet2!A:A,Sheet2!B:B)</f>
        <v>46</v>
      </c>
      <c r="K50" s="1" t="s">
        <v>3</v>
      </c>
      <c r="L50" s="1" t="s">
        <v>125</v>
      </c>
      <c r="M50" s="1">
        <f t="array" ref="M50">xlookup(L50,Sheet2!A:A,Sheet2!B:B)</f>
        <v>19</v>
      </c>
      <c r="N50" s="1" t="s">
        <v>3</v>
      </c>
      <c r="O50" s="4" t="str">
        <f t="shared" si="1"/>
        <v>145700 : [20,46,19],</v>
      </c>
      <c r="P50" s="4" t="str">
        <f t="shared" si="2"/>
        <v>145700 : 3,</v>
      </c>
    </row>
    <row r="51">
      <c r="A51" s="1" t="s">
        <v>126</v>
      </c>
      <c r="B51" s="2">
        <v>136758.0</v>
      </c>
      <c r="C51" s="1" t="s">
        <v>118</v>
      </c>
      <c r="D51" s="1">
        <f t="array" ref="D51">xlookup(C51,Sheet3!A:A,Sheet3!B:B)</f>
        <v>3</v>
      </c>
      <c r="E51" s="1" t="s">
        <v>12</v>
      </c>
      <c r="F51" s="1">
        <f t="array" ref="F51">xlookup(E51,Sheet2!A:A,Sheet2!B:B)</f>
        <v>41</v>
      </c>
      <c r="G51" s="1" t="s">
        <v>3</v>
      </c>
      <c r="H51" s="3" t="str">
        <f t="array" ref="H51">JOIN("", SORT(MID(LOWER(G51), SEQUENCE(LEN(G51)), 1)))</f>
        <v>an</v>
      </c>
      <c r="I51" s="1" t="s">
        <v>4</v>
      </c>
      <c r="J51" s="1">
        <f t="array" ref="J51">xlookup(I51,Sheet2!A:A,Sheet2!B:B)</f>
        <v>23</v>
      </c>
      <c r="K51" s="1" t="s">
        <v>3</v>
      </c>
      <c r="L51" s="1" t="s">
        <v>13</v>
      </c>
      <c r="M51" s="1">
        <f t="array" ref="M51">xlookup(L51,Sheet2!A:A,Sheet2!B:B)</f>
        <v>17</v>
      </c>
      <c r="N51" s="1" t="s">
        <v>3</v>
      </c>
      <c r="O51" s="4" t="str">
        <f t="shared" si="1"/>
        <v>136758 : [41,23,17],</v>
      </c>
      <c r="P51" s="4" t="str">
        <f t="shared" si="2"/>
        <v>136758 : 3,</v>
      </c>
    </row>
    <row r="52">
      <c r="A52" s="1" t="s">
        <v>127</v>
      </c>
      <c r="B52" s="2">
        <v>153984.0</v>
      </c>
      <c r="C52" s="1" t="s">
        <v>118</v>
      </c>
      <c r="D52" s="1">
        <f t="array" ref="D52">xlookup(C52,Sheet3!A:A,Sheet3!B:B)</f>
        <v>3</v>
      </c>
      <c r="E52" s="1" t="s">
        <v>9</v>
      </c>
      <c r="F52" s="1">
        <f t="array" ref="F52">xlookup(E52,Sheet2!A:A,Sheet2!B:B)</f>
        <v>5</v>
      </c>
      <c r="G52" s="1" t="s">
        <v>128</v>
      </c>
      <c r="H52" s="3" t="str">
        <f t="array" ref="H52">JOIN("", SORT(MID(LOWER(G52), SEQUENCE(LEN(G52)), 1)))</f>
        <v>   ,aaeehhllnooruwwy</v>
      </c>
      <c r="I52" s="1" t="s">
        <v>74</v>
      </c>
      <c r="J52" s="1">
        <f t="array" ref="J52">xlookup(I52,Sheet2!A:A,Sheet2!B:B)</f>
        <v>50</v>
      </c>
      <c r="K52" s="1" t="s">
        <v>128</v>
      </c>
      <c r="L52" s="1" t="s">
        <v>72</v>
      </c>
      <c r="M52" s="1">
        <f t="array" ref="M52">xlookup(L52,Sheet2!A:A,Sheet2!B:B)</f>
        <v>34</v>
      </c>
      <c r="N52" s="1" t="s">
        <v>128</v>
      </c>
      <c r="O52" s="4" t="str">
        <f t="shared" si="1"/>
        <v>153984 : [5,50,34],</v>
      </c>
      <c r="P52" s="4" t="str">
        <f t="shared" si="2"/>
        <v>153984 : 3,</v>
      </c>
    </row>
    <row r="53">
      <c r="A53" s="1" t="s">
        <v>129</v>
      </c>
      <c r="B53" s="2">
        <v>148882.0</v>
      </c>
      <c r="C53" s="1" t="s">
        <v>118</v>
      </c>
      <c r="D53" s="1">
        <f t="array" ref="D53">xlookup(C53,Sheet3!A:A,Sheet3!B:B)</f>
        <v>3</v>
      </c>
      <c r="E53" s="1" t="s">
        <v>10</v>
      </c>
      <c r="F53" s="1">
        <f t="array" ref="F53">xlookup(E53,Sheet2!A:A,Sheet2!B:B)</f>
        <v>9</v>
      </c>
      <c r="G53" s="1" t="s">
        <v>130</v>
      </c>
      <c r="H53" s="3" t="str">
        <f t="array" ref="H53">JOIN("", SORT(MID(LOWER(G53), SEQUENCE(LEN(G53)), 1)))</f>
        <v>   ,aaaaaaaabbhiiklllmnnnrrrssstuuuvw</v>
      </c>
      <c r="I53" s="1" t="s">
        <v>96</v>
      </c>
      <c r="J53" s="1">
        <f t="array" ref="J53">xlookup(I53,Sheet2!A:A,Sheet2!B:B)</f>
        <v>47</v>
      </c>
      <c r="K53" s="1" t="s">
        <v>130</v>
      </c>
      <c r="L53" s="1" t="s">
        <v>38</v>
      </c>
      <c r="M53" s="1">
        <f t="array" ref="M53">xlookup(L53,Sheet2!A:A,Sheet2!B:B)</f>
        <v>6</v>
      </c>
      <c r="N53" s="1" t="s">
        <v>130</v>
      </c>
      <c r="O53" s="4" t="str">
        <f t="shared" si="1"/>
        <v>148882 : [9,47,6],</v>
      </c>
      <c r="P53" s="4" t="str">
        <f t="shared" si="2"/>
        <v>148882 : 3,</v>
      </c>
    </row>
    <row r="54">
      <c r="A54" s="1" t="s">
        <v>131</v>
      </c>
      <c r="B54" s="2">
        <v>119448.0</v>
      </c>
      <c r="C54" s="1" t="s">
        <v>118</v>
      </c>
      <c r="D54" s="1">
        <f t="array" ref="D54">xlookup(C54,Sheet3!A:A,Sheet3!B:B)</f>
        <v>3</v>
      </c>
      <c r="E54" s="1" t="s">
        <v>47</v>
      </c>
      <c r="F54" s="1">
        <f t="array" ref="F54">xlookup(E54,Sheet2!A:A,Sheet2!B:B)</f>
        <v>27</v>
      </c>
      <c r="G54" s="1" t="s">
        <v>132</v>
      </c>
      <c r="H54" s="3" t="str">
        <f t="array" ref="H54">JOIN("", SORT(MID(LOWER(G54), SEQUENCE(LEN(G54)), 1)))</f>
        <v>   ,ceeeeehiiillllmnuw</v>
      </c>
      <c r="I54" s="1" t="s">
        <v>109</v>
      </c>
      <c r="J54" s="1">
        <f t="array" ref="J54">xlookup(I54,Sheet2!A:A,Sheet2!B:B)</f>
        <v>49</v>
      </c>
      <c r="K54" s="1" t="s">
        <v>132</v>
      </c>
      <c r="L54" s="1" t="s">
        <v>28</v>
      </c>
      <c r="M54" s="1">
        <f t="array" ref="M54">xlookup(L54,Sheet2!A:A,Sheet2!B:B)</f>
        <v>32</v>
      </c>
      <c r="N54" s="1" t="s">
        <v>132</v>
      </c>
      <c r="O54" s="4" t="str">
        <f t="shared" si="1"/>
        <v>119448 : [27,49,32],</v>
      </c>
      <c r="P54" s="4" t="str">
        <f t="shared" si="2"/>
        <v>119448 : 3,</v>
      </c>
    </row>
    <row r="55">
      <c r="A55" s="1" t="s">
        <v>133</v>
      </c>
      <c r="B55" s="2">
        <v>152872.0</v>
      </c>
      <c r="C55" s="1" t="s">
        <v>118</v>
      </c>
      <c r="D55" s="1">
        <f t="array" ref="D55">xlookup(C55,Sheet3!A:A,Sheet3!B:B)</f>
        <v>3</v>
      </c>
      <c r="E55" s="1" t="s">
        <v>74</v>
      </c>
      <c r="F55" s="1">
        <f t="array" ref="F55">xlookup(E55,Sheet2!A:A,Sheet2!B:B)</f>
        <v>50</v>
      </c>
      <c r="G55" s="1" t="s">
        <v>134</v>
      </c>
      <c r="H55" s="3" t="str">
        <f t="array" ref="H55">JOIN("", SORT(MID(LOWER(G55), SEQUENCE(LEN(G55)), 1)))</f>
        <v>   ,aaaaaaacdddhhhhhiiimnnnnorrssstuvy</v>
      </c>
      <c r="I55" s="1" t="s">
        <v>96</v>
      </c>
      <c r="J55" s="1">
        <f t="array" ref="J55">xlookup(I55,Sheet2!A:A,Sheet2!B:B)</f>
        <v>47</v>
      </c>
      <c r="K55" s="1" t="s">
        <v>134</v>
      </c>
      <c r="L55" s="1" t="s">
        <v>76</v>
      </c>
      <c r="M55" s="1">
        <f t="array" ref="M55">xlookup(L55,Sheet2!A:A,Sheet2!B:B)</f>
        <v>24</v>
      </c>
      <c r="N55" s="1" t="s">
        <v>134</v>
      </c>
      <c r="O55" s="4" t="str">
        <f t="shared" si="1"/>
        <v>152872 : [50,47,24],</v>
      </c>
      <c r="P55" s="4" t="str">
        <f t="shared" si="2"/>
        <v>152872 : 3,</v>
      </c>
    </row>
    <row r="56">
      <c r="A56" s="1" t="s">
        <v>135</v>
      </c>
      <c r="B56" s="2">
        <v>110580.0</v>
      </c>
      <c r="C56" s="1" t="s">
        <v>118</v>
      </c>
      <c r="D56" s="1">
        <f t="array" ref="D56">xlookup(C56,Sheet3!A:A,Sheet3!B:B)</f>
        <v>3</v>
      </c>
      <c r="E56" s="1" t="s">
        <v>30</v>
      </c>
      <c r="F56" s="1">
        <f t="array" ref="F56">xlookup(E56,Sheet2!A:A,Sheet2!B:B)</f>
        <v>13</v>
      </c>
      <c r="G56" s="1" t="s">
        <v>136</v>
      </c>
      <c r="H56" s="3" t="str">
        <f t="array" ref="H56">JOIN("", SORT(MID(LOWER(G56), SEQUENCE(LEN(G56)), 1)))</f>
        <v>     ,,aaaaaaaabddeeggghhhhiiiiillmmnnnoprrrrrrrrsssuwy</v>
      </c>
      <c r="I56" s="1" t="s">
        <v>114</v>
      </c>
      <c r="J56" s="1">
        <f t="array" ref="J56">xlookup(I56,Sheet2!A:A,Sheet2!B:B)</f>
        <v>12</v>
      </c>
      <c r="K56" s="1" t="s">
        <v>136</v>
      </c>
      <c r="L56" s="1" t="s">
        <v>34</v>
      </c>
      <c r="M56" s="1">
        <f t="array" ref="M56">xlookup(L56,Sheet2!A:A,Sheet2!B:B)</f>
        <v>8</v>
      </c>
      <c r="N56" s="3" t="s">
        <v>3</v>
      </c>
      <c r="O56" s="4" t="str">
        <f t="shared" si="1"/>
        <v>110580 : [13,12,8],</v>
      </c>
      <c r="P56" s="4" t="str">
        <f t="shared" si="2"/>
        <v>110580 : 3,</v>
      </c>
    </row>
    <row r="57">
      <c r="A57" s="1" t="s">
        <v>137</v>
      </c>
      <c r="B57" s="2">
        <v>110176.0</v>
      </c>
      <c r="C57" s="1" t="s">
        <v>118</v>
      </c>
      <c r="D57" s="1">
        <f t="array" ref="D57">xlookup(C57,Sheet3!A:A,Sheet3!B:B)</f>
        <v>3</v>
      </c>
      <c r="E57" s="1" t="s">
        <v>35</v>
      </c>
      <c r="F57" s="1">
        <f t="array" ref="F57">xlookup(E57,Sheet2!A:A,Sheet2!B:B)</f>
        <v>45</v>
      </c>
      <c r="G57" s="1" t="s">
        <v>137</v>
      </c>
      <c r="H57" s="3" t="str">
        <f t="array" ref="H57">JOIN("", SORT(MID(LOWER(G57), SEQUENCE(LEN(G57)), 1)))</f>
        <v> aaabhhiillrst</v>
      </c>
      <c r="I57" s="1" t="s">
        <v>26</v>
      </c>
      <c r="J57" s="1">
        <f t="array" ref="J57">xlookup(I57,Sheet2!A:A,Sheet2!B:B)</f>
        <v>7</v>
      </c>
      <c r="K57" s="1" t="s">
        <v>137</v>
      </c>
      <c r="L57" s="1" t="s">
        <v>25</v>
      </c>
      <c r="M57" s="1">
        <f t="array" ref="M57">xlookup(L57,Sheet2!A:A,Sheet2!B:B)</f>
        <v>18</v>
      </c>
      <c r="N57" s="1" t="s">
        <v>137</v>
      </c>
      <c r="O57" s="4" t="str">
        <f t="shared" si="1"/>
        <v>110176 : [45,7,18],</v>
      </c>
      <c r="P57" s="4" t="str">
        <f t="shared" si="2"/>
        <v>110176 : 3,</v>
      </c>
    </row>
    <row r="58">
      <c r="A58" s="1" t="s">
        <v>138</v>
      </c>
      <c r="B58" s="2">
        <v>136893.0</v>
      </c>
      <c r="C58" s="1" t="s">
        <v>118</v>
      </c>
      <c r="D58" s="1">
        <f t="array" ref="D58">xlookup(C58,Sheet3!A:A,Sheet3!B:B)</f>
        <v>3</v>
      </c>
      <c r="E58" s="1" t="s">
        <v>139</v>
      </c>
      <c r="F58" s="1">
        <f t="array" ref="F58">xlookup(E58,Sheet2!A:A,Sheet2!B:B)</f>
        <v>21</v>
      </c>
      <c r="G58" s="1" t="s">
        <v>140</v>
      </c>
      <c r="H58" s="3" t="str">
        <f t="array" ref="H58">JOIN("", SORT(MID(LOWER(G58), SEQUENCE(LEN(G58)), 1)))</f>
        <v>     ,,aaaaghiillmnnnooorrrrssstuuuuvz</v>
      </c>
      <c r="I58" s="1" t="s">
        <v>34</v>
      </c>
      <c r="J58" s="1">
        <f t="array" ref="J58">xlookup(I58,Sheet2!A:A,Sheet2!B:B)</f>
        <v>8</v>
      </c>
      <c r="K58" s="1" t="s">
        <v>140</v>
      </c>
      <c r="L58" s="1" t="s">
        <v>28</v>
      </c>
      <c r="M58" s="1">
        <f t="array" ref="M58">xlookup(L58,Sheet2!A:A,Sheet2!B:B)</f>
        <v>32</v>
      </c>
      <c r="N58" s="1" t="s">
        <v>140</v>
      </c>
      <c r="O58" s="4" t="str">
        <f t="shared" si="1"/>
        <v>136893 : [21,8,32],</v>
      </c>
      <c r="P58" s="4" t="str">
        <f t="shared" si="2"/>
        <v>136893 : 3,</v>
      </c>
    </row>
    <row r="59">
      <c r="A59" s="1" t="s">
        <v>141</v>
      </c>
      <c r="B59" s="2">
        <v>136788.0</v>
      </c>
      <c r="C59" s="1" t="s">
        <v>118</v>
      </c>
      <c r="D59" s="1">
        <f t="array" ref="D59">xlookup(C59,Sheet3!A:A,Sheet3!B:B)</f>
        <v>3</v>
      </c>
      <c r="E59" s="1" t="s">
        <v>139</v>
      </c>
      <c r="F59" s="1">
        <f t="array" ref="F59">xlookup(E59,Sheet2!A:A,Sheet2!B:B)</f>
        <v>21</v>
      </c>
      <c r="G59" s="1" t="s">
        <v>140</v>
      </c>
      <c r="H59" s="3" t="str">
        <f t="array" ref="H59">JOIN("", SORT(MID(LOWER(G59), SEQUENCE(LEN(G59)), 1)))</f>
        <v>     ,,aaaaghiillmnnnooorrrrssstuuuuvz</v>
      </c>
      <c r="I59" s="1" t="s">
        <v>34</v>
      </c>
      <c r="J59" s="1">
        <f t="array" ref="J59">xlookup(I59,Sheet2!A:A,Sheet2!B:B)</f>
        <v>8</v>
      </c>
      <c r="K59" s="1" t="s">
        <v>140</v>
      </c>
      <c r="L59" s="1" t="s">
        <v>28</v>
      </c>
      <c r="M59" s="1">
        <f t="array" ref="M59">xlookup(L59,Sheet2!A:A,Sheet2!B:B)</f>
        <v>32</v>
      </c>
      <c r="N59" s="1" t="s">
        <v>140</v>
      </c>
      <c r="O59" s="4" t="str">
        <f t="shared" si="1"/>
        <v>136788 : [21,8,32],</v>
      </c>
      <c r="P59" s="4" t="str">
        <f t="shared" si="2"/>
        <v>136788 : 3,</v>
      </c>
    </row>
    <row r="60">
      <c r="A60" s="1" t="s">
        <v>142</v>
      </c>
      <c r="B60" s="2">
        <v>136796.0</v>
      </c>
      <c r="C60" s="1" t="s">
        <v>118</v>
      </c>
      <c r="D60" s="1">
        <f t="array" ref="D60">xlookup(C60,Sheet3!A:A,Sheet3!B:B)</f>
        <v>3</v>
      </c>
      <c r="E60" s="1" t="s">
        <v>139</v>
      </c>
      <c r="F60" s="1">
        <f t="array" ref="F60">xlookup(E60,Sheet2!A:A,Sheet2!B:B)</f>
        <v>21</v>
      </c>
      <c r="G60" s="1" t="s">
        <v>143</v>
      </c>
      <c r="H60" s="3" t="str">
        <f t="array" ref="H60">JOIN("", SORT(MID(LOWER(G60), SEQUENCE(LEN(G60)), 1)))</f>
        <v>     ,,aaaaghiillmnnnooorrrrssstuuuuvz</v>
      </c>
      <c r="I60" s="1" t="s">
        <v>34</v>
      </c>
      <c r="J60" s="1">
        <f t="array" ref="J60">xlookup(I60,Sheet2!A:A,Sheet2!B:B)</f>
        <v>8</v>
      </c>
      <c r="K60" s="1" t="s">
        <v>143</v>
      </c>
      <c r="L60" s="1" t="s">
        <v>28</v>
      </c>
      <c r="M60" s="1">
        <f t="array" ref="M60">xlookup(L60,Sheet2!A:A,Sheet2!B:B)</f>
        <v>32</v>
      </c>
      <c r="N60" s="1" t="s">
        <v>143</v>
      </c>
      <c r="O60" s="4" t="str">
        <f t="shared" si="1"/>
        <v>136796 : [21,8,32],</v>
      </c>
      <c r="P60" s="4" t="str">
        <f t="shared" si="2"/>
        <v>136796 : 3,</v>
      </c>
    </row>
    <row r="61">
      <c r="A61" s="3" t="s">
        <v>144</v>
      </c>
      <c r="B61" s="5">
        <v>306538.0</v>
      </c>
      <c r="C61" s="3" t="s">
        <v>118</v>
      </c>
      <c r="D61" s="1">
        <f t="array" ref="D61">xlookup(C61,Sheet3!A:A,Sheet3!B:B)</f>
        <v>3</v>
      </c>
      <c r="E61" s="3" t="s">
        <v>72</v>
      </c>
      <c r="F61" s="1">
        <f t="array" ref="F61">xlookup(E61,Sheet2!A:A,Sheet2!B:B)</f>
        <v>34</v>
      </c>
      <c r="G61" s="3" t="s">
        <v>145</v>
      </c>
      <c r="H61" s="3" t="str">
        <f t="array" ref="H61">JOIN("", SORT(MID(LOWER(G61), SEQUENCE(LEN(G61)), 1)))</f>
        <v>   ,aaeiiijjlmmnorrs</v>
      </c>
      <c r="I61" s="3" t="s">
        <v>10</v>
      </c>
      <c r="J61" s="1">
        <f t="array" ref="J61">xlookup(I61,Sheet2!A:A,Sheet2!B:B)</f>
        <v>9</v>
      </c>
      <c r="K61" s="3" t="s">
        <v>145</v>
      </c>
      <c r="L61" s="3" t="s">
        <v>76</v>
      </c>
      <c r="M61" s="1">
        <f t="array" ref="M61">xlookup(L61,Sheet2!A:A,Sheet2!B:B)</f>
        <v>24</v>
      </c>
      <c r="N61" s="3" t="s">
        <v>145</v>
      </c>
      <c r="O61" s="4" t="str">
        <f t="shared" si="1"/>
        <v>306538 : [34,9,24],</v>
      </c>
      <c r="P61" s="4" t="str">
        <f t="shared" si="2"/>
        <v>306538 : 3,</v>
      </c>
    </row>
    <row r="62">
      <c r="A62" s="1" t="s">
        <v>146</v>
      </c>
      <c r="B62" s="2">
        <v>110481.0</v>
      </c>
      <c r="C62" s="1" t="s">
        <v>118</v>
      </c>
      <c r="D62" s="1">
        <f t="array" ref="D62">xlookup(C62,Sheet3!A:A,Sheet3!B:B)</f>
        <v>3</v>
      </c>
      <c r="E62" s="1" t="s">
        <v>111</v>
      </c>
      <c r="F62" s="1">
        <f t="array" ref="F62">xlookup(E62,Sheet2!A:A,Sheet2!B:B)</f>
        <v>28</v>
      </c>
      <c r="G62" s="1" t="s">
        <v>147</v>
      </c>
      <c r="H62" s="3" t="str">
        <f t="array" ref="H62">JOIN("", SORT(MID(LOWER(G62), SEQUENCE(LEN(G62)), 1)))</f>
        <v>     ,,aaaaaaaaddeeeehhhhikkmmnnnpprsssttuvvyyz</v>
      </c>
      <c r="I62" s="1" t="s">
        <v>34</v>
      </c>
      <c r="J62" s="1">
        <f t="array" ref="J62">xlookup(I62,Sheet2!A:A,Sheet2!B:B)</f>
        <v>8</v>
      </c>
      <c r="K62" s="1" t="s">
        <v>147</v>
      </c>
      <c r="L62" s="1" t="s">
        <v>109</v>
      </c>
      <c r="M62" s="1">
        <f t="array" ref="M62">xlookup(L62,Sheet2!A:A,Sheet2!B:B)</f>
        <v>49</v>
      </c>
      <c r="N62" s="1" t="s">
        <v>147</v>
      </c>
      <c r="O62" s="4" t="str">
        <f t="shared" si="1"/>
        <v>110481 : [28,8,49],</v>
      </c>
      <c r="P62" s="4" t="str">
        <f t="shared" si="2"/>
        <v>110481 : 3,</v>
      </c>
    </row>
    <row r="63">
      <c r="A63" s="3" t="s">
        <v>148</v>
      </c>
      <c r="B63" s="5">
        <v>306517.0</v>
      </c>
      <c r="C63" s="3" t="s">
        <v>118</v>
      </c>
      <c r="D63" s="1">
        <f t="array" ref="D63">xlookup(C63,Sheet3!A:A,Sheet3!B:B)</f>
        <v>3</v>
      </c>
      <c r="E63" s="3" t="s">
        <v>109</v>
      </c>
      <c r="F63" s="1">
        <f t="array" ref="F63">xlookup(E63,Sheet2!A:A,Sheet2!B:B)</f>
        <v>49</v>
      </c>
      <c r="G63" s="3" t="s">
        <v>110</v>
      </c>
      <c r="H63" s="3" t="str">
        <f t="array" ref="H63">JOIN("", SORT(MID(LOWER(G63), SEQUENCE(LEN(G63)), 1)))</f>
        <v>     ,,aaaaaaaaabdehhhhiiiiillmmnnnprrrrsstuwyyy</v>
      </c>
      <c r="I63" s="3" t="s">
        <v>47</v>
      </c>
      <c r="J63" s="1">
        <f t="array" ref="J63">xlookup(I63,Sheet2!A:A,Sheet2!B:B)</f>
        <v>27</v>
      </c>
      <c r="K63" s="3" t="s">
        <v>110</v>
      </c>
      <c r="L63" s="3" t="s">
        <v>111</v>
      </c>
      <c r="M63" s="1">
        <f t="array" ref="M63">xlookup(L63,Sheet2!A:A,Sheet2!B:B)</f>
        <v>28</v>
      </c>
      <c r="N63" s="3" t="s">
        <v>110</v>
      </c>
      <c r="O63" s="4" t="str">
        <f t="shared" si="1"/>
        <v>306517 : [49,27,28],</v>
      </c>
      <c r="P63" s="4" t="str">
        <f t="shared" si="2"/>
        <v>306517 : 3,</v>
      </c>
    </row>
    <row r="64">
      <c r="A64" s="3" t="s">
        <v>149</v>
      </c>
      <c r="B64" s="5">
        <v>110400.0</v>
      </c>
      <c r="C64" s="3" t="s">
        <v>118</v>
      </c>
      <c r="D64" s="1">
        <f t="array" ref="D64">xlookup(C64,Sheet3!A:A,Sheet3!B:B)</f>
        <v>3</v>
      </c>
      <c r="E64" s="3" t="s">
        <v>34</v>
      </c>
      <c r="F64" s="1">
        <f t="array" ref="F64">xlookup(E64,Sheet2!A:A,Sheet2!B:B)</f>
        <v>8</v>
      </c>
      <c r="G64" s="3" t="s">
        <v>3</v>
      </c>
      <c r="H64" s="3" t="str">
        <f t="array" ref="H64">JOIN("", SORT(MID(LOWER(G64), SEQUENCE(LEN(G64)), 1)))</f>
        <v>an</v>
      </c>
      <c r="I64" s="3" t="s">
        <v>20</v>
      </c>
      <c r="J64" s="1">
        <f t="array" ref="J64">xlookup(I64,Sheet2!A:A,Sheet2!B:B)</f>
        <v>48</v>
      </c>
      <c r="K64" s="3" t="s">
        <v>3</v>
      </c>
      <c r="L64" s="3" t="s">
        <v>4</v>
      </c>
      <c r="M64" s="1">
        <f t="array" ref="M64">xlookup(L64,Sheet2!A:A,Sheet2!B:B)</f>
        <v>23</v>
      </c>
      <c r="N64" s="3" t="s">
        <v>3</v>
      </c>
      <c r="O64" s="4" t="str">
        <f t="shared" si="1"/>
        <v>110400 : [8,48,23],</v>
      </c>
      <c r="P64" s="4" t="str">
        <f t="shared" si="2"/>
        <v>110400 : 3,</v>
      </c>
    </row>
    <row r="65">
      <c r="A65" s="3" t="s">
        <v>150</v>
      </c>
      <c r="B65" s="5">
        <v>109886.0</v>
      </c>
      <c r="C65" s="3" t="s">
        <v>118</v>
      </c>
      <c r="D65" s="1">
        <f t="array" ref="D65">xlookup(C65,Sheet3!A:A,Sheet3!B:B)</f>
        <v>3</v>
      </c>
      <c r="E65" s="3" t="s">
        <v>139</v>
      </c>
      <c r="F65" s="1">
        <f t="array" ref="F65">xlookup(E65,Sheet2!A:A,Sheet2!B:B)</f>
        <v>21</v>
      </c>
      <c r="G65" s="3" t="s">
        <v>151</v>
      </c>
      <c r="H65" s="3" t="str">
        <f t="array" ref="H65">JOIN("", SORT(MID(LOWER(G65), SEQUENCE(LEN(G65)), 1)))</f>
        <v>     ,,aaaabdegiiillmmnnnnoprrssyyyy</v>
      </c>
      <c r="I65" s="3" t="s">
        <v>34</v>
      </c>
      <c r="J65" s="1">
        <f t="array" ref="J65">xlookup(I65,Sheet2!A:A,Sheet2!B:B)</f>
        <v>8</v>
      </c>
      <c r="K65" s="3" t="s">
        <v>151</v>
      </c>
      <c r="L65" s="3" t="s">
        <v>26</v>
      </c>
      <c r="M65" s="1">
        <f t="array" ref="M65">xlookup(L65,Sheet2!A:A,Sheet2!B:B)</f>
        <v>7</v>
      </c>
      <c r="N65" s="3" t="s">
        <v>151</v>
      </c>
      <c r="O65" s="4" t="str">
        <f t="shared" si="1"/>
        <v>109886 : [21,8,7],</v>
      </c>
      <c r="P65" s="4" t="str">
        <f t="shared" si="2"/>
        <v>109886 : 3,</v>
      </c>
    </row>
    <row r="66">
      <c r="A66" s="1" t="s">
        <v>152</v>
      </c>
      <c r="B66" s="2">
        <v>309122.0</v>
      </c>
      <c r="C66" s="1" t="s">
        <v>153</v>
      </c>
      <c r="D66" s="1">
        <f t="array" ref="D66">xlookup(C66,Sheet3!A:A,Sheet3!B:B)</f>
        <v>2</v>
      </c>
      <c r="E66" s="1" t="s">
        <v>109</v>
      </c>
      <c r="F66" s="1">
        <f t="array" ref="F66">xlookup(E66,Sheet2!A:A,Sheet2!B:B)</f>
        <v>49</v>
      </c>
      <c r="G66" s="1" t="s">
        <v>154</v>
      </c>
      <c r="H66" s="3" t="str">
        <f t="array" ref="H66">JOIN("", SORT(MID(LOWER(G66), SEQUENCE(LEN(G66)), 1)))</f>
        <v>     ,,aaaaaaaaaabdeeeehhhiijjklllnnnsssssy</v>
      </c>
      <c r="I66" s="1" t="s">
        <v>47</v>
      </c>
      <c r="J66" s="1">
        <f t="array" ref="J66">xlookup(I66,Sheet2!A:A,Sheet2!B:B)</f>
        <v>27</v>
      </c>
      <c r="K66" s="1" t="s">
        <v>154</v>
      </c>
      <c r="L66" s="1" t="s">
        <v>30</v>
      </c>
      <c r="M66" s="1">
        <f t="array" ref="M66">xlookup(L66,Sheet2!A:A,Sheet2!B:B)</f>
        <v>13</v>
      </c>
      <c r="N66" s="1" t="s">
        <v>154</v>
      </c>
      <c r="O66" s="4" t="str">
        <f t="shared" si="1"/>
        <v>309122 : [49,27,13],</v>
      </c>
      <c r="P66" s="4" t="str">
        <f t="shared" si="2"/>
        <v>309122 : 2,</v>
      </c>
    </row>
    <row r="67">
      <c r="A67" s="1" t="s">
        <v>155</v>
      </c>
      <c r="B67" s="2">
        <v>309123.0</v>
      </c>
      <c r="C67" s="1" t="s">
        <v>153</v>
      </c>
      <c r="D67" s="1">
        <f t="array" ref="D67">xlookup(C67,Sheet3!A:A,Sheet3!B:B)</f>
        <v>2</v>
      </c>
      <c r="E67" s="1" t="s">
        <v>109</v>
      </c>
      <c r="F67" s="1">
        <f t="array" ref="F67">xlookup(E67,Sheet2!A:A,Sheet2!B:B)</f>
        <v>49</v>
      </c>
      <c r="G67" s="1" t="s">
        <v>156</v>
      </c>
      <c r="H67" s="3" t="str">
        <f t="array" ref="H67">JOIN("", SORT(MID(LOWER(G67), SEQUENCE(LEN(G67)), 1)))</f>
        <v>     ,,aaaaaaaaaabdeeeehhhiijjklllnnnsssssy</v>
      </c>
      <c r="I67" s="1" t="s">
        <v>47</v>
      </c>
      <c r="J67" s="1">
        <f t="array" ref="J67">xlookup(I67,Sheet2!A:A,Sheet2!B:B)</f>
        <v>27</v>
      </c>
      <c r="K67" s="1" t="s">
        <v>156</v>
      </c>
      <c r="L67" s="1" t="s">
        <v>30</v>
      </c>
      <c r="M67" s="1">
        <f t="array" ref="M67">xlookup(L67,Sheet2!A:A,Sheet2!B:B)</f>
        <v>13</v>
      </c>
      <c r="N67" s="1" t="s">
        <v>156</v>
      </c>
      <c r="O67" s="4" t="str">
        <f t="shared" si="1"/>
        <v>309123 : [49,27,13],</v>
      </c>
      <c r="P67" s="4" t="str">
        <f t="shared" si="2"/>
        <v>309123 : 2,</v>
      </c>
    </row>
    <row r="68">
      <c r="A68" s="1" t="s">
        <v>157</v>
      </c>
      <c r="B68" s="2">
        <v>150236.0</v>
      </c>
      <c r="C68" s="1" t="s">
        <v>153</v>
      </c>
      <c r="D68" s="1">
        <f t="array" ref="D68">xlookup(C68,Sheet3!A:A,Sheet3!B:B)</f>
        <v>2</v>
      </c>
      <c r="E68" s="1" t="s">
        <v>2</v>
      </c>
      <c r="F68" s="1">
        <f t="array" ref="F68">xlookup(E68,Sheet2!A:A,Sheet2!B:B)</f>
        <v>25</v>
      </c>
      <c r="G68" s="1" t="s">
        <v>3</v>
      </c>
      <c r="H68" s="3" t="str">
        <f t="array" ref="H68">JOIN("", SORT(MID(LOWER(G68), SEQUENCE(LEN(G68)), 1)))</f>
        <v>an</v>
      </c>
      <c r="I68" s="1" t="s">
        <v>105</v>
      </c>
      <c r="J68" s="1">
        <f t="array" ref="J68">xlookup(I68,Sheet2!A:A,Sheet2!B:B)</f>
        <v>26</v>
      </c>
      <c r="K68" s="1" t="s">
        <v>3</v>
      </c>
      <c r="L68" s="1" t="s">
        <v>120</v>
      </c>
      <c r="M68" s="1">
        <f t="array" ref="M68">xlookup(L68,Sheet2!A:A,Sheet2!B:B)</f>
        <v>42</v>
      </c>
      <c r="N68" s="1" t="s">
        <v>3</v>
      </c>
      <c r="O68" s="4" t="str">
        <f t="shared" si="1"/>
        <v>150236 : [25,26,42],</v>
      </c>
      <c r="P68" s="4" t="str">
        <f t="shared" si="2"/>
        <v>150236 : 2,</v>
      </c>
    </row>
    <row r="69">
      <c r="A69" s="1" t="s">
        <v>158</v>
      </c>
      <c r="B69" s="2">
        <v>162386.0</v>
      </c>
      <c r="C69" s="1" t="s">
        <v>153</v>
      </c>
      <c r="D69" s="1">
        <f t="array" ref="D69">xlookup(C69,Sheet3!A:A,Sheet3!B:B)</f>
        <v>2</v>
      </c>
      <c r="E69" s="1" t="s">
        <v>16</v>
      </c>
      <c r="F69" s="1">
        <f t="array" ref="F69">xlookup(E69,Sheet2!A:A,Sheet2!B:B)</f>
        <v>3</v>
      </c>
      <c r="G69" s="1" t="s">
        <v>3</v>
      </c>
      <c r="H69" s="3" t="str">
        <f t="array" ref="H69">JOIN("", SORT(MID(LOWER(G69), SEQUENCE(LEN(G69)), 1)))</f>
        <v>an</v>
      </c>
      <c r="I69" s="1" t="s">
        <v>15</v>
      </c>
      <c r="J69" s="1">
        <f t="array" ref="J69">xlookup(I69,Sheet2!A:A,Sheet2!B:B)</f>
        <v>0</v>
      </c>
      <c r="K69" s="1" t="s">
        <v>3</v>
      </c>
      <c r="L69" s="1" t="s">
        <v>5</v>
      </c>
      <c r="M69" s="1">
        <f t="array" ref="M69">xlookup(L69,Sheet2!A:A,Sheet2!B:B)</f>
        <v>35</v>
      </c>
      <c r="N69" s="1" t="s">
        <v>3</v>
      </c>
      <c r="O69" s="4" t="str">
        <f t="shared" si="1"/>
        <v>162386 : [3,0,35],</v>
      </c>
      <c r="P69" s="4" t="str">
        <f t="shared" si="2"/>
        <v>162386 : 2,</v>
      </c>
    </row>
    <row r="70">
      <c r="A70" s="1" t="s">
        <v>159</v>
      </c>
      <c r="B70" s="2">
        <v>319194.0</v>
      </c>
      <c r="C70" s="1" t="s">
        <v>153</v>
      </c>
      <c r="D70" s="1">
        <f t="array" ref="D70">xlookup(C70,Sheet3!A:A,Sheet3!B:B)</f>
        <v>2</v>
      </c>
      <c r="E70" s="1" t="s">
        <v>21</v>
      </c>
      <c r="F70" s="1">
        <f t="array" ref="F70">xlookup(E70,Sheet2!A:A,Sheet2!B:B)</f>
        <v>10</v>
      </c>
      <c r="G70" s="1" t="s">
        <v>3</v>
      </c>
      <c r="H70" s="3" t="str">
        <f t="array" ref="H70">JOIN("", SORT(MID(LOWER(G70), SEQUENCE(LEN(G70)), 1)))</f>
        <v>an</v>
      </c>
      <c r="I70" s="1" t="s">
        <v>20</v>
      </c>
      <c r="J70" s="1">
        <f t="array" ref="J70">xlookup(I70,Sheet2!A:A,Sheet2!B:B)</f>
        <v>48</v>
      </c>
      <c r="K70" s="1" t="s">
        <v>3</v>
      </c>
      <c r="L70" s="1" t="s">
        <v>26</v>
      </c>
      <c r="M70" s="1">
        <f t="array" ref="M70">xlookup(L70,Sheet2!A:A,Sheet2!B:B)</f>
        <v>7</v>
      </c>
      <c r="N70" s="1" t="s">
        <v>3</v>
      </c>
      <c r="O70" s="4" t="str">
        <f t="shared" si="1"/>
        <v>319194 : [10,48,7],</v>
      </c>
      <c r="P70" s="4" t="str">
        <f t="shared" si="2"/>
        <v>319194 : 2,</v>
      </c>
    </row>
    <row r="71">
      <c r="A71" s="1" t="s">
        <v>160</v>
      </c>
      <c r="B71" s="2">
        <v>150736.0</v>
      </c>
      <c r="C71" s="1" t="s">
        <v>153</v>
      </c>
      <c r="D71" s="1">
        <f t="array" ref="D71">xlookup(C71,Sheet3!A:A,Sheet3!B:B)</f>
        <v>2</v>
      </c>
      <c r="E71" s="1" t="s">
        <v>109</v>
      </c>
      <c r="F71" s="1">
        <f t="array" ref="F71">xlookup(E71,Sheet2!A:A,Sheet2!B:B)</f>
        <v>49</v>
      </c>
      <c r="G71" s="1" t="s">
        <v>161</v>
      </c>
      <c r="H71" s="3" t="str">
        <f t="array" ref="H71">JOIN("", SORT(MID(LOWER(G71), SEQUENCE(LEN(G71)), 1)))</f>
        <v>     ,,aaaaaaaaaabdeeeehhhiijjklllnnnsssssy</v>
      </c>
      <c r="I71" s="1" t="s">
        <v>47</v>
      </c>
      <c r="J71" s="1">
        <f t="array" ref="J71">xlookup(I71,Sheet2!A:A,Sheet2!B:B)</f>
        <v>27</v>
      </c>
      <c r="K71" s="1" t="s">
        <v>161</v>
      </c>
      <c r="L71" s="1" t="s">
        <v>30</v>
      </c>
      <c r="M71" s="1">
        <f t="array" ref="M71">xlookup(L71,Sheet2!A:A,Sheet2!B:B)</f>
        <v>13</v>
      </c>
      <c r="N71" s="1" t="s">
        <v>161</v>
      </c>
      <c r="O71" s="4" t="str">
        <f t="shared" si="1"/>
        <v>150736 : [49,27,13],</v>
      </c>
      <c r="P71" s="4" t="str">
        <f t="shared" si="2"/>
        <v>150736 : 2,</v>
      </c>
    </row>
    <row r="72">
      <c r="A72" s="1" t="s">
        <v>162</v>
      </c>
      <c r="B72" s="2">
        <v>155629.0</v>
      </c>
      <c r="C72" s="1" t="s">
        <v>153</v>
      </c>
      <c r="D72" s="1">
        <f t="array" ref="D72">xlookup(C72,Sheet3!A:A,Sheet3!B:B)</f>
        <v>2</v>
      </c>
      <c r="E72" s="1" t="s">
        <v>16</v>
      </c>
      <c r="F72" s="1">
        <f t="array" ref="F72">xlookup(E72,Sheet2!A:A,Sheet2!B:B)</f>
        <v>3</v>
      </c>
      <c r="G72" s="1" t="s">
        <v>3</v>
      </c>
      <c r="H72" s="3" t="str">
        <f t="array" ref="H72">JOIN("", SORT(MID(LOWER(G72), SEQUENCE(LEN(G72)), 1)))</f>
        <v>an</v>
      </c>
      <c r="I72" s="1" t="s">
        <v>5</v>
      </c>
      <c r="J72" s="1">
        <f t="array" ref="J72">xlookup(I72,Sheet2!A:A,Sheet2!B:B)</f>
        <v>35</v>
      </c>
      <c r="K72" s="1" t="s">
        <v>3</v>
      </c>
      <c r="L72" s="1" t="s">
        <v>15</v>
      </c>
      <c r="M72" s="1">
        <f t="array" ref="M72">xlookup(L72,Sheet2!A:A,Sheet2!B:B)</f>
        <v>0</v>
      </c>
      <c r="N72" s="1" t="s">
        <v>3</v>
      </c>
      <c r="O72" s="4" t="str">
        <f t="shared" si="1"/>
        <v>155629 : [3,35,0],</v>
      </c>
      <c r="P72" s="4" t="str">
        <f t="shared" si="2"/>
        <v>155629 : 2,</v>
      </c>
    </row>
    <row r="73">
      <c r="A73" s="1" t="s">
        <v>163</v>
      </c>
      <c r="B73" s="2">
        <v>118860.0</v>
      </c>
      <c r="C73" s="1" t="s">
        <v>153</v>
      </c>
      <c r="D73" s="1">
        <f t="array" ref="D73">xlookup(C73,Sheet3!A:A,Sheet3!B:B)</f>
        <v>2</v>
      </c>
      <c r="E73" s="1" t="s">
        <v>105</v>
      </c>
      <c r="F73" s="1">
        <f t="array" ref="F73">xlookup(E73,Sheet2!A:A,Sheet2!B:B)</f>
        <v>26</v>
      </c>
      <c r="G73" s="1" t="s">
        <v>3</v>
      </c>
      <c r="H73" s="3" t="str">
        <f t="array" ref="H73">JOIN("", SORT(MID(LOWER(G73), SEQUENCE(LEN(G73)), 1)))</f>
        <v>an</v>
      </c>
      <c r="I73" s="1" t="s">
        <v>4</v>
      </c>
      <c r="J73" s="1">
        <f t="array" ref="J73">xlookup(I73,Sheet2!A:A,Sheet2!B:B)</f>
        <v>23</v>
      </c>
      <c r="K73" s="1" t="s">
        <v>3</v>
      </c>
      <c r="L73" s="1" t="s">
        <v>2</v>
      </c>
      <c r="M73" s="1">
        <f t="array" ref="M73">xlookup(L73,Sheet2!A:A,Sheet2!B:B)</f>
        <v>25</v>
      </c>
      <c r="N73" s="1" t="s">
        <v>3</v>
      </c>
      <c r="O73" s="4" t="str">
        <f t="shared" si="1"/>
        <v>118860 : [26,23,25],</v>
      </c>
      <c r="P73" s="4" t="str">
        <f t="shared" si="2"/>
        <v>118860 : 2,</v>
      </c>
    </row>
    <row r="74">
      <c r="A74" s="1" t="s">
        <v>164</v>
      </c>
      <c r="B74" s="2">
        <v>174961.0</v>
      </c>
      <c r="C74" s="1" t="s">
        <v>153</v>
      </c>
      <c r="D74" s="1">
        <f t="array" ref="D74">xlookup(C74,Sheet3!A:A,Sheet3!B:B)</f>
        <v>2</v>
      </c>
      <c r="E74" s="1" t="s">
        <v>21</v>
      </c>
      <c r="F74" s="1">
        <f t="array" ref="F74">xlookup(E74,Sheet2!A:A,Sheet2!B:B)</f>
        <v>10</v>
      </c>
      <c r="G74" s="1" t="s">
        <v>165</v>
      </c>
      <c r="H74" s="3" t="str">
        <f t="array" ref="H74">JOIN("", SORT(MID(LOWER(G74), SEQUENCE(LEN(G74)), 1)))</f>
        <v>     ,,aaaaaacdeegghiiilmnnnnorrtvyy</v>
      </c>
      <c r="I74" s="1" t="s">
        <v>26</v>
      </c>
      <c r="J74" s="1">
        <f t="array" ref="J74">xlookup(I74,Sheet2!A:A,Sheet2!B:B)</f>
        <v>7</v>
      </c>
      <c r="K74" s="1" t="s">
        <v>165</v>
      </c>
      <c r="L74" s="1" t="s">
        <v>20</v>
      </c>
      <c r="M74" s="1">
        <f t="array" ref="M74">xlookup(L74,Sheet2!A:A,Sheet2!B:B)</f>
        <v>48</v>
      </c>
      <c r="N74" s="1" t="s">
        <v>165</v>
      </c>
      <c r="O74" s="4" t="str">
        <f t="shared" si="1"/>
        <v>174961 : [10,7,48],</v>
      </c>
      <c r="P74" s="4" t="str">
        <f t="shared" si="2"/>
        <v>174961 : 2,</v>
      </c>
    </row>
    <row r="75">
      <c r="A75" s="1" t="s">
        <v>166</v>
      </c>
      <c r="B75" s="2">
        <v>308141.0</v>
      </c>
      <c r="C75" s="1" t="s">
        <v>153</v>
      </c>
      <c r="D75" s="1">
        <f t="array" ref="D75">xlookup(C75,Sheet3!A:A,Sheet3!B:B)</f>
        <v>2</v>
      </c>
      <c r="E75" s="1" t="s">
        <v>40</v>
      </c>
      <c r="F75" s="1">
        <f t="array" ref="F75">xlookup(E75,Sheet2!A:A,Sheet2!B:B)</f>
        <v>44</v>
      </c>
      <c r="G75" s="1" t="s">
        <v>3</v>
      </c>
      <c r="H75" s="3" t="str">
        <f t="array" ref="H75">JOIN("", SORT(MID(LOWER(G75), SEQUENCE(LEN(G75)), 1)))</f>
        <v>an</v>
      </c>
      <c r="I75" s="1" t="s">
        <v>38</v>
      </c>
      <c r="J75" s="1">
        <f t="array" ref="J75">xlookup(I75,Sheet2!A:A,Sheet2!B:B)</f>
        <v>6</v>
      </c>
      <c r="K75" s="1" t="s">
        <v>3</v>
      </c>
      <c r="L75" s="1" t="s">
        <v>167</v>
      </c>
      <c r="M75" s="1">
        <f t="array" ref="M75">xlookup(L75,Sheet2!A:A,Sheet2!B:B)</f>
        <v>33</v>
      </c>
      <c r="N75" s="1" t="s">
        <v>3</v>
      </c>
      <c r="O75" s="4" t="str">
        <f t="shared" si="1"/>
        <v>308141 : [44,6,33],</v>
      </c>
      <c r="P75" s="4" t="str">
        <f t="shared" si="2"/>
        <v>308141 : 2,</v>
      </c>
    </row>
    <row r="76">
      <c r="A76" s="1" t="s">
        <v>168</v>
      </c>
      <c r="B76" s="2">
        <v>136686.0</v>
      </c>
      <c r="C76" s="1" t="s">
        <v>153</v>
      </c>
      <c r="D76" s="1">
        <f t="array" ref="D76">xlookup(C76,Sheet3!A:A,Sheet3!B:B)</f>
        <v>2</v>
      </c>
      <c r="E76" s="1" t="s">
        <v>18</v>
      </c>
      <c r="F76" s="1">
        <f t="array" ref="F76">xlookup(E76,Sheet2!A:A,Sheet2!B:B)</f>
        <v>22</v>
      </c>
      <c r="G76" s="1" t="s">
        <v>169</v>
      </c>
      <c r="H76" s="3" t="str">
        <f t="array" ref="H76">JOIN("", SORT(MID(LOWER(G76), SEQUENCE(LEN(G76)), 1)))</f>
        <v>   ,’aadeghiiilnnnoosvwy</v>
      </c>
      <c r="I76" s="1" t="s">
        <v>26</v>
      </c>
      <c r="J76" s="1">
        <f t="array" ref="J76">xlookup(I76,Sheet2!A:A,Sheet2!B:B)</f>
        <v>7</v>
      </c>
      <c r="K76" s="1" t="s">
        <v>169</v>
      </c>
      <c r="L76" s="1" t="s">
        <v>170</v>
      </c>
      <c r="M76" s="1">
        <f t="array" ref="M76">xlookup(L76,Sheet2!A:A,Sheet2!B:B)</f>
        <v>16</v>
      </c>
      <c r="N76" s="1" t="s">
        <v>169</v>
      </c>
      <c r="O76" s="4" t="str">
        <f t="shared" si="1"/>
        <v>136686 : [22,7,16],</v>
      </c>
      <c r="P76" s="4" t="str">
        <f t="shared" si="2"/>
        <v>136686 : 2,</v>
      </c>
    </row>
    <row r="77">
      <c r="A77" s="1" t="s">
        <v>171</v>
      </c>
      <c r="B77" s="2">
        <v>119064.0</v>
      </c>
      <c r="C77" s="1" t="s">
        <v>153</v>
      </c>
      <c r="D77" s="1">
        <f t="array" ref="D77">xlookup(C77,Sheet3!A:A,Sheet3!B:B)</f>
        <v>2</v>
      </c>
      <c r="E77" s="1" t="s">
        <v>32</v>
      </c>
      <c r="F77" s="1">
        <f t="array" ref="F77">xlookup(E77,Sheet2!A:A,Sheet2!B:B)</f>
        <v>11</v>
      </c>
      <c r="G77" s="1" t="s">
        <v>172</v>
      </c>
      <c r="H77" s="3" t="str">
        <f t="array" ref="H77">JOIN("", SORT(MID(LOWER(G77), SEQUENCE(LEN(G77)), 1)))</f>
        <v>     ,,aaaaaacdeeeeeghiiiilmnnnnrrrvxyy</v>
      </c>
      <c r="I77" s="1" t="s">
        <v>114</v>
      </c>
      <c r="J77" s="1">
        <f t="array" ref="J77">xlookup(I77,Sheet2!A:A,Sheet2!B:B)</f>
        <v>12</v>
      </c>
      <c r="K77" s="1" t="s">
        <v>172</v>
      </c>
      <c r="L77" s="1" t="s">
        <v>47</v>
      </c>
      <c r="M77" s="1">
        <f t="array" ref="M77">xlookup(L77,Sheet2!A:A,Sheet2!B:B)</f>
        <v>27</v>
      </c>
      <c r="N77" s="1" t="s">
        <v>172</v>
      </c>
      <c r="O77" s="4" t="str">
        <f t="shared" si="1"/>
        <v>119064 : [11,12,27],</v>
      </c>
      <c r="P77" s="4" t="str">
        <f t="shared" si="2"/>
        <v>119064 : 2,</v>
      </c>
    </row>
    <row r="78">
      <c r="A78" s="1" t="s">
        <v>173</v>
      </c>
      <c r="B78" s="2">
        <v>119030.0</v>
      </c>
      <c r="C78" s="1" t="s">
        <v>153</v>
      </c>
      <c r="D78" s="1">
        <f t="array" ref="D78">xlookup(C78,Sheet3!A:A,Sheet3!B:B)</f>
        <v>2</v>
      </c>
      <c r="E78" s="1" t="s">
        <v>32</v>
      </c>
      <c r="F78" s="1">
        <f t="array" ref="F78">xlookup(E78,Sheet2!A:A,Sheet2!B:B)</f>
        <v>11</v>
      </c>
      <c r="G78" s="1" t="s">
        <v>174</v>
      </c>
      <c r="H78" s="3" t="str">
        <f t="array" ref="H78">JOIN("", SORT(MID(LOWER(G78), SEQUENCE(LEN(G78)), 1)))</f>
        <v>     ,,aaaaaacdeeeeeghiiiilmnnnnrrrvxyy</v>
      </c>
      <c r="I78" s="1" t="s">
        <v>114</v>
      </c>
      <c r="J78" s="1">
        <f t="array" ref="J78">xlookup(I78,Sheet2!A:A,Sheet2!B:B)</f>
        <v>12</v>
      </c>
      <c r="K78" s="1" t="s">
        <v>174</v>
      </c>
      <c r="L78" s="1" t="s">
        <v>47</v>
      </c>
      <c r="M78" s="1">
        <f t="array" ref="M78">xlookup(L78,Sheet2!A:A,Sheet2!B:B)</f>
        <v>27</v>
      </c>
      <c r="N78" s="1" t="s">
        <v>174</v>
      </c>
      <c r="O78" s="4" t="str">
        <f t="shared" si="1"/>
        <v>119030 : [11,12,27],</v>
      </c>
      <c r="P78" s="4" t="str">
        <f t="shared" si="2"/>
        <v>119030 : 2,</v>
      </c>
    </row>
    <row r="79">
      <c r="A79" s="1" t="s">
        <v>175</v>
      </c>
      <c r="B79" s="2">
        <v>118927.0</v>
      </c>
      <c r="C79" s="1" t="s">
        <v>153</v>
      </c>
      <c r="D79" s="1">
        <f t="array" ref="D79">xlookup(C79,Sheet3!A:A,Sheet3!B:B)</f>
        <v>2</v>
      </c>
      <c r="E79" s="1" t="s">
        <v>32</v>
      </c>
      <c r="F79" s="1">
        <f t="array" ref="F79">xlookup(E79,Sheet2!A:A,Sheet2!B:B)</f>
        <v>11</v>
      </c>
      <c r="G79" s="1" t="s">
        <v>176</v>
      </c>
      <c r="H79" s="3" t="str">
        <f t="array" ref="H79">JOIN("", SORT(MID(LOWER(G79), SEQUENCE(LEN(G79)), 1)))</f>
        <v>     ,,aaaaaacdeeeeeghiiiilmnnnnrrrvxyy</v>
      </c>
      <c r="I79" s="1" t="s">
        <v>114</v>
      </c>
      <c r="J79" s="1">
        <f t="array" ref="J79">xlookup(I79,Sheet2!A:A,Sheet2!B:B)</f>
        <v>12</v>
      </c>
      <c r="K79" s="1" t="s">
        <v>176</v>
      </c>
      <c r="L79" s="1" t="s">
        <v>47</v>
      </c>
      <c r="M79" s="1">
        <f t="array" ref="M79">xlookup(L79,Sheet2!A:A,Sheet2!B:B)</f>
        <v>27</v>
      </c>
      <c r="N79" s="1" t="s">
        <v>176</v>
      </c>
      <c r="O79" s="4" t="str">
        <f t="shared" si="1"/>
        <v>118927 : [11,12,27],</v>
      </c>
      <c r="P79" s="4" t="str">
        <f t="shared" si="2"/>
        <v>118927 : 2,</v>
      </c>
    </row>
    <row r="80">
      <c r="A80" s="1" t="s">
        <v>177</v>
      </c>
      <c r="B80" s="2">
        <v>184175.0</v>
      </c>
      <c r="C80" s="1" t="s">
        <v>153</v>
      </c>
      <c r="D80" s="1">
        <f t="array" ref="D80">xlookup(C80,Sheet3!A:A,Sheet3!B:B)</f>
        <v>2</v>
      </c>
      <c r="E80" s="1" t="s">
        <v>64</v>
      </c>
      <c r="F80" s="1">
        <f t="array" ref="F80">xlookup(E80,Sheet2!A:A,Sheet2!B:B)</f>
        <v>30</v>
      </c>
      <c r="G80" s="1" t="s">
        <v>178</v>
      </c>
      <c r="H80" s="3" t="str">
        <f t="array" ref="H80">JOIN("", SORT(MID(LOWER(G80), SEQUENCE(LEN(G80)), 1)))</f>
        <v>   ,aaaaaaeghiknnnprsttuuy</v>
      </c>
      <c r="I80" s="1" t="s">
        <v>63</v>
      </c>
      <c r="J80" s="1">
        <f t="array" ref="J80">xlookup(I80,Sheet2!A:A,Sheet2!B:B)</f>
        <v>29</v>
      </c>
      <c r="K80" s="1" t="s">
        <v>178</v>
      </c>
      <c r="L80" s="1" t="s">
        <v>61</v>
      </c>
      <c r="M80" s="1">
        <f t="array" ref="M80">xlookup(L80,Sheet2!A:A,Sheet2!B:B)</f>
        <v>31</v>
      </c>
      <c r="N80" s="1" t="s">
        <v>178</v>
      </c>
      <c r="O80" s="4" t="str">
        <f t="shared" si="1"/>
        <v>184175 : [30,29,31],</v>
      </c>
      <c r="P80" s="4" t="str">
        <f t="shared" si="2"/>
        <v>184175 : 2,</v>
      </c>
    </row>
    <row r="81">
      <c r="A81" s="1" t="s">
        <v>179</v>
      </c>
      <c r="B81" s="2">
        <v>302489.0</v>
      </c>
      <c r="C81" s="1" t="s">
        <v>153</v>
      </c>
      <c r="D81" s="1">
        <f t="array" ref="D81">xlookup(C81,Sheet3!A:A,Sheet3!B:B)</f>
        <v>2</v>
      </c>
      <c r="E81" s="1" t="s">
        <v>64</v>
      </c>
      <c r="F81" s="1">
        <f t="array" ref="F81">xlookup(E81,Sheet2!A:A,Sheet2!B:B)</f>
        <v>30</v>
      </c>
      <c r="G81" s="1" t="s">
        <v>180</v>
      </c>
      <c r="H81" s="3" t="str">
        <f t="array" ref="H81">JOIN("", SORT(MID(LOWER(G81), SEQUENCE(LEN(G81)), 1)))</f>
        <v>   ,aaaaaaeghiknnnprsttuuy</v>
      </c>
      <c r="I81" s="1" t="s">
        <v>63</v>
      </c>
      <c r="J81" s="1">
        <f t="array" ref="J81">xlookup(I81,Sheet2!A:A,Sheet2!B:B)</f>
        <v>29</v>
      </c>
      <c r="K81" s="1" t="s">
        <v>180</v>
      </c>
      <c r="L81" s="1" t="s">
        <v>61</v>
      </c>
      <c r="M81" s="1">
        <f t="array" ref="M81">xlookup(L81,Sheet2!A:A,Sheet2!B:B)</f>
        <v>31</v>
      </c>
      <c r="N81" s="1" t="s">
        <v>180</v>
      </c>
      <c r="O81" s="4" t="str">
        <f t="shared" si="1"/>
        <v>302489 : [30,29,31],</v>
      </c>
      <c r="P81" s="4" t="str">
        <f t="shared" si="2"/>
        <v>302489 : 2,</v>
      </c>
    </row>
    <row r="82">
      <c r="A82" s="1" t="s">
        <v>181</v>
      </c>
      <c r="B82" s="2">
        <v>151889.0</v>
      </c>
      <c r="C82" s="1" t="s">
        <v>153</v>
      </c>
      <c r="D82" s="1">
        <f t="array" ref="D82">xlookup(C82,Sheet3!A:A,Sheet3!B:B)</f>
        <v>2</v>
      </c>
      <c r="E82" s="1" t="s">
        <v>124</v>
      </c>
      <c r="F82" s="1">
        <f t="array" ref="F82">xlookup(E82,Sheet2!A:A,Sheet2!B:B)</f>
        <v>46</v>
      </c>
      <c r="G82" s="1" t="s">
        <v>3</v>
      </c>
      <c r="H82" s="3" t="str">
        <f t="array" ref="H82">JOIN("", SORT(MID(LOWER(G82), SEQUENCE(LEN(G82)), 1)))</f>
        <v>an</v>
      </c>
      <c r="I82" s="1" t="s">
        <v>16</v>
      </c>
      <c r="J82" s="1">
        <f t="array" ref="J82">xlookup(I82,Sheet2!A:A,Sheet2!B:B)</f>
        <v>3</v>
      </c>
      <c r="K82" s="1" t="s">
        <v>3</v>
      </c>
      <c r="L82" s="1" t="s">
        <v>105</v>
      </c>
      <c r="M82" s="1">
        <f t="array" ref="M82">xlookup(L82,Sheet2!A:A,Sheet2!B:B)</f>
        <v>26</v>
      </c>
      <c r="N82" s="6" t="s">
        <v>3</v>
      </c>
      <c r="O82" s="4" t="str">
        <f t="shared" si="1"/>
        <v>151889 : [46,3,26],</v>
      </c>
      <c r="P82" s="4" t="str">
        <f t="shared" si="2"/>
        <v>151889 : 2,</v>
      </c>
    </row>
    <row r="83">
      <c r="A83" s="1" t="s">
        <v>182</v>
      </c>
      <c r="B83" s="2">
        <v>138399.0</v>
      </c>
      <c r="C83" s="1" t="s">
        <v>153</v>
      </c>
      <c r="D83" s="1">
        <f t="array" ref="D83">xlookup(C83,Sheet3!A:A,Sheet3!B:B)</f>
        <v>2</v>
      </c>
      <c r="E83" s="1" t="s">
        <v>18</v>
      </c>
      <c r="F83" s="1">
        <f t="array" ref="F83">xlookup(E83,Sheet2!A:A,Sheet2!B:B)</f>
        <v>22</v>
      </c>
      <c r="G83" s="1" t="s">
        <v>183</v>
      </c>
      <c r="H83" s="3" t="str">
        <f t="array" ref="H83">JOIN("", SORT(MID(LOWER(G83), SEQUENCE(LEN(G83)), 1)))</f>
        <v>   ,aaaaaeghhhknnnnprrstuuy</v>
      </c>
      <c r="I83" s="1" t="s">
        <v>184</v>
      </c>
      <c r="J83" s="1">
        <f t="array" ref="J83">xlookup(I83,Sheet2!A:A,Sheet2!B:B)</f>
        <v>4</v>
      </c>
      <c r="K83" s="1" t="s">
        <v>183</v>
      </c>
      <c r="L83" s="1" t="s">
        <v>26</v>
      </c>
      <c r="M83" s="1">
        <f t="array" ref="M83">xlookup(L83,Sheet2!A:A,Sheet2!B:B)</f>
        <v>7</v>
      </c>
      <c r="N83" s="1" t="s">
        <v>183</v>
      </c>
      <c r="O83" s="4" t="str">
        <f t="shared" si="1"/>
        <v>138399 : [22,4,7],</v>
      </c>
      <c r="P83" s="4" t="str">
        <f t="shared" si="2"/>
        <v>138399 : 2,</v>
      </c>
    </row>
    <row r="84">
      <c r="A84" s="1" t="s">
        <v>185</v>
      </c>
      <c r="B84" s="2">
        <v>136292.0</v>
      </c>
      <c r="C84" s="1" t="s">
        <v>153</v>
      </c>
      <c r="D84" s="1">
        <f t="array" ref="D84">xlookup(C84,Sheet3!A:A,Sheet3!B:B)</f>
        <v>2</v>
      </c>
      <c r="E84" s="1" t="s">
        <v>18</v>
      </c>
      <c r="F84" s="1">
        <f t="array" ref="F84">xlookup(E84,Sheet2!A:A,Sheet2!B:B)</f>
        <v>22</v>
      </c>
      <c r="G84" s="1" t="s">
        <v>186</v>
      </c>
      <c r="H84" s="3" t="str">
        <f t="array" ref="H84">JOIN("", SORT(MID(LOWER(G84), SEQUENCE(LEN(G84)), 1)))</f>
        <v>   ,'aadeghiiilnnnoosvwy</v>
      </c>
      <c r="I84" s="1" t="s">
        <v>26</v>
      </c>
      <c r="J84" s="1">
        <f t="array" ref="J84">xlookup(I84,Sheet2!A:A,Sheet2!B:B)</f>
        <v>7</v>
      </c>
      <c r="K84" s="1" t="s">
        <v>186</v>
      </c>
      <c r="L84" s="1" t="s">
        <v>170</v>
      </c>
      <c r="M84" s="1">
        <f t="array" ref="M84">xlookup(L84,Sheet2!A:A,Sheet2!B:B)</f>
        <v>16</v>
      </c>
      <c r="N84" s="1" t="s">
        <v>186</v>
      </c>
      <c r="O84" s="4" t="str">
        <f t="shared" si="1"/>
        <v>136292 : [22,7,16],</v>
      </c>
      <c r="P84" s="4" t="str">
        <f t="shared" si="2"/>
        <v>136292 : 2,</v>
      </c>
    </row>
    <row r="85">
      <c r="A85" s="1" t="s">
        <v>187</v>
      </c>
      <c r="B85" s="2">
        <v>127669.0</v>
      </c>
      <c r="C85" s="1" t="s">
        <v>153</v>
      </c>
      <c r="D85" s="1">
        <f t="array" ref="D85">xlookup(C85,Sheet3!A:A,Sheet3!B:B)</f>
        <v>2</v>
      </c>
      <c r="E85" s="1" t="s">
        <v>74</v>
      </c>
      <c r="F85" s="1">
        <f t="array" ref="F85">xlookup(E85,Sheet2!A:A,Sheet2!B:B)</f>
        <v>50</v>
      </c>
      <c r="G85" s="1" t="s">
        <v>82</v>
      </c>
      <c r="H85" s="3" t="str">
        <f t="array" ref="H85">JOIN("", SORT(MID(LOWER(G85), SEQUENCE(LEN(G85)), 1)))</f>
        <v>   ,aaaaaaaaghhhiikkklmnprrsssttu</v>
      </c>
      <c r="I85" s="1" t="s">
        <v>76</v>
      </c>
      <c r="J85" s="1">
        <f t="array" ref="J85">xlookup(I85,Sheet2!A:A,Sheet2!B:B)</f>
        <v>24</v>
      </c>
      <c r="K85" s="1" t="s">
        <v>82</v>
      </c>
      <c r="L85" s="1" t="s">
        <v>10</v>
      </c>
      <c r="M85" s="1">
        <f t="array" ref="M85">xlookup(L85,Sheet2!A:A,Sheet2!B:B)</f>
        <v>9</v>
      </c>
      <c r="N85" s="1" t="s">
        <v>82</v>
      </c>
      <c r="O85" s="4" t="str">
        <f t="shared" si="1"/>
        <v>127669 : [50,24,9],</v>
      </c>
      <c r="P85" s="4" t="str">
        <f t="shared" si="2"/>
        <v>127669 : 2,</v>
      </c>
    </row>
    <row r="86">
      <c r="A86" s="1" t="s">
        <v>188</v>
      </c>
      <c r="B86" s="2">
        <v>119887.0</v>
      </c>
      <c r="C86" s="1" t="s">
        <v>153</v>
      </c>
      <c r="D86" s="1">
        <f t="array" ref="D86">xlookup(C86,Sheet3!A:A,Sheet3!B:B)</f>
        <v>2</v>
      </c>
      <c r="E86" s="1" t="s">
        <v>9</v>
      </c>
      <c r="F86" s="1">
        <f t="array" ref="F86">xlookup(E86,Sheet2!A:A,Sheet2!B:B)</f>
        <v>5</v>
      </c>
      <c r="G86" s="1" t="s">
        <v>189</v>
      </c>
      <c r="H86" s="3" t="str">
        <f t="array" ref="H86">JOIN("", SORT(MID(LOWER(G86), SEQUENCE(LEN(G86)), 1)))</f>
        <v>   ,aaeehhllnooruwwy</v>
      </c>
      <c r="I86" s="1" t="s">
        <v>74</v>
      </c>
      <c r="J86" s="1">
        <f t="array" ref="J86">xlookup(I86,Sheet2!A:A,Sheet2!B:B)</f>
        <v>50</v>
      </c>
      <c r="K86" s="1" t="s">
        <v>189</v>
      </c>
      <c r="L86" s="1" t="s">
        <v>72</v>
      </c>
      <c r="M86" s="1">
        <f t="array" ref="M86">xlookup(L86,Sheet2!A:A,Sheet2!B:B)</f>
        <v>34</v>
      </c>
      <c r="N86" s="1" t="s">
        <v>189</v>
      </c>
      <c r="O86" s="4" t="str">
        <f t="shared" si="1"/>
        <v>119887 : [5,50,34],</v>
      </c>
      <c r="P86" s="4" t="str">
        <f t="shared" si="2"/>
        <v>119887 : 2,</v>
      </c>
    </row>
    <row r="87">
      <c r="A87" s="7" t="s">
        <v>190</v>
      </c>
      <c r="B87" s="8">
        <v>180335.0</v>
      </c>
      <c r="C87" s="7" t="s">
        <v>153</v>
      </c>
      <c r="D87" s="1">
        <f t="array" ref="D87">xlookup(C87,Sheet3!A:A,Sheet3!B:B)</f>
        <v>2</v>
      </c>
      <c r="E87" s="7" t="s">
        <v>76</v>
      </c>
      <c r="F87" s="1">
        <f t="array" ref="F87">xlookup(E87,Sheet2!A:A,Sheet2!B:B)</f>
        <v>24</v>
      </c>
      <c r="G87" s="9" t="s">
        <v>3</v>
      </c>
      <c r="H87" s="3" t="str">
        <f t="array" ref="H87">JOIN("", SORT(MID(LOWER(G87), SEQUENCE(LEN(G87)), 1)))</f>
        <v>an</v>
      </c>
      <c r="I87" s="7" t="s">
        <v>96</v>
      </c>
      <c r="J87" s="1">
        <f t="array" ref="J87">xlookup(I87,Sheet2!A:A,Sheet2!B:B)</f>
        <v>47</v>
      </c>
      <c r="K87" s="9" t="s">
        <v>3</v>
      </c>
      <c r="L87" s="7" t="s">
        <v>191</v>
      </c>
      <c r="M87" s="1">
        <f t="array" ref="M87">xlookup(L87,Sheet2!A:A,Sheet2!B:B)</f>
        <v>39</v>
      </c>
      <c r="N87" s="9" t="s">
        <v>3</v>
      </c>
      <c r="O87" s="4" t="str">
        <f t="shared" si="1"/>
        <v>180335 : [24,47,39],</v>
      </c>
      <c r="P87" s="4" t="str">
        <f t="shared" si="2"/>
        <v>180335 : 2,</v>
      </c>
    </row>
    <row r="88">
      <c r="A88" s="1" t="s">
        <v>192</v>
      </c>
      <c r="B88" s="2">
        <v>154787.0</v>
      </c>
      <c r="C88" s="1" t="s">
        <v>153</v>
      </c>
      <c r="D88" s="1">
        <f t="array" ref="D88">xlookup(C88,Sheet3!A:A,Sheet3!B:B)</f>
        <v>2</v>
      </c>
      <c r="E88" s="1" t="s">
        <v>111</v>
      </c>
      <c r="F88" s="1">
        <f t="array" ref="F88">xlookup(E88,Sheet2!A:A,Sheet2!B:B)</f>
        <v>28</v>
      </c>
      <c r="G88" s="1" t="s">
        <v>193</v>
      </c>
      <c r="H88" s="3" t="str">
        <f t="array" ref="H88">JOIN("", SORT(MID(LOWER(G88), SEQUENCE(LEN(G88)), 1)))</f>
        <v>     ,,aaaaaaaaaaaddeiiiillmmmnprrrrsstvyy</v>
      </c>
      <c r="I88" s="1" t="s">
        <v>109</v>
      </c>
      <c r="J88" s="1">
        <f t="array" ref="J88">xlookup(I88,Sheet2!A:A,Sheet2!B:B)</f>
        <v>49</v>
      </c>
      <c r="K88" s="1" t="s">
        <v>193</v>
      </c>
      <c r="L88" s="1" t="s">
        <v>184</v>
      </c>
      <c r="M88" s="1">
        <f t="array" ref="M88">xlookup(L88,Sheet2!A:A,Sheet2!B:B)</f>
        <v>4</v>
      </c>
      <c r="N88" s="1" t="s">
        <v>193</v>
      </c>
      <c r="O88" s="4" t="str">
        <f t="shared" si="1"/>
        <v>154787 : [28,49,4],</v>
      </c>
      <c r="P88" s="4" t="str">
        <f t="shared" si="2"/>
        <v>154787 : 2,</v>
      </c>
    </row>
    <row r="89">
      <c r="A89" s="3" t="s">
        <v>194</v>
      </c>
      <c r="B89" s="5">
        <v>110300.0</v>
      </c>
      <c r="C89" s="3" t="s">
        <v>153</v>
      </c>
      <c r="D89" s="1">
        <f t="array" ref="D89">xlookup(C89,Sheet3!A:A,Sheet3!B:B)</f>
        <v>2</v>
      </c>
      <c r="E89" s="3" t="s">
        <v>109</v>
      </c>
      <c r="F89" s="1">
        <f t="array" ref="F89">xlookup(E89,Sheet2!A:A,Sheet2!B:B)</f>
        <v>49</v>
      </c>
      <c r="G89" s="3" t="s">
        <v>110</v>
      </c>
      <c r="H89" s="3" t="str">
        <f t="array" ref="H89">JOIN("", SORT(MID(LOWER(G89), SEQUENCE(LEN(G89)), 1)))</f>
        <v>     ,,aaaaaaaaabdehhhhiiiiillmmnnnprrrrsstuwyyy</v>
      </c>
      <c r="I89" s="3" t="s">
        <v>47</v>
      </c>
      <c r="J89" s="1">
        <f t="array" ref="J89">xlookup(I89,Sheet2!A:A,Sheet2!B:B)</f>
        <v>27</v>
      </c>
      <c r="K89" s="3" t="s">
        <v>110</v>
      </c>
      <c r="L89" s="3" t="s">
        <v>111</v>
      </c>
      <c r="M89" s="1">
        <f t="array" ref="M89">xlookup(L89,Sheet2!A:A,Sheet2!B:B)</f>
        <v>28</v>
      </c>
      <c r="N89" s="3" t="s">
        <v>110</v>
      </c>
      <c r="O89" s="4" t="str">
        <f t="shared" si="1"/>
        <v>110300 : [49,27,28],</v>
      </c>
      <c r="P89" s="4" t="str">
        <f t="shared" si="2"/>
        <v>110300 : 2,</v>
      </c>
    </row>
    <row r="90">
      <c r="A90" s="1" t="s">
        <v>195</v>
      </c>
      <c r="B90" s="2">
        <v>119330.0</v>
      </c>
      <c r="C90" s="1" t="s">
        <v>153</v>
      </c>
      <c r="D90" s="1">
        <f t="array" ref="D90">xlookup(C90,Sheet3!A:A,Sheet3!B:B)</f>
        <v>2</v>
      </c>
      <c r="E90" s="1" t="s">
        <v>64</v>
      </c>
      <c r="F90" s="1">
        <f t="array" ref="F90">xlookup(E90,Sheet2!A:A,Sheet2!B:B)</f>
        <v>30</v>
      </c>
      <c r="G90" s="1" t="s">
        <v>196</v>
      </c>
      <c r="H90" s="3" t="str">
        <f t="array" ref="H90">JOIN("", SORT(MID(LOWER(G90), SEQUENCE(LEN(G90)), 1)))</f>
        <v>    ,aaaaadddeeeeeehiimnnnnprrrstttuvyy</v>
      </c>
      <c r="I90" s="1" t="s">
        <v>63</v>
      </c>
      <c r="J90" s="1">
        <f t="array" ref="J90">xlookup(I90,Sheet2!A:A,Sheet2!B:B)</f>
        <v>29</v>
      </c>
      <c r="K90" s="1" t="s">
        <v>196</v>
      </c>
      <c r="L90" s="1" t="s">
        <v>61</v>
      </c>
      <c r="M90" s="1">
        <f t="array" ref="M90">xlookup(L90,Sheet2!A:A,Sheet2!B:B)</f>
        <v>31</v>
      </c>
      <c r="N90" s="1" t="s">
        <v>196</v>
      </c>
      <c r="O90" s="4" t="str">
        <f t="shared" si="1"/>
        <v>119330 : [30,29,31],</v>
      </c>
      <c r="P90" s="4" t="str">
        <f t="shared" si="2"/>
        <v>119330 : 2,</v>
      </c>
    </row>
    <row r="91">
      <c r="A91" s="1" t="s">
        <v>197</v>
      </c>
      <c r="B91" s="2">
        <v>190651.0</v>
      </c>
      <c r="C91" s="1" t="s">
        <v>153</v>
      </c>
      <c r="D91" s="1">
        <f t="array" ref="D91">xlookup(C91,Sheet3!A:A,Sheet3!B:B)</f>
        <v>2</v>
      </c>
      <c r="E91" s="1" t="s">
        <v>64</v>
      </c>
      <c r="F91" s="1">
        <f t="array" ref="F91">xlookup(E91,Sheet2!A:A,Sheet2!B:B)</f>
        <v>30</v>
      </c>
      <c r="G91" s="1" t="s">
        <v>198</v>
      </c>
      <c r="H91" s="3" t="str">
        <f t="array" ref="H91">JOIN("", SORT(MID(LOWER(G91), SEQUENCE(LEN(G91)), 1)))</f>
        <v>   ,aaaaadeeeeehiimnnnnprrstttuvy</v>
      </c>
      <c r="I91" s="1" t="s">
        <v>63</v>
      </c>
      <c r="J91" s="1">
        <f t="array" ref="J91">xlookup(I91,Sheet2!A:A,Sheet2!B:B)</f>
        <v>29</v>
      </c>
      <c r="K91" s="1" t="s">
        <v>198</v>
      </c>
      <c r="L91" s="1" t="s">
        <v>61</v>
      </c>
      <c r="M91" s="1">
        <f t="array" ref="M91">xlookup(L91,Sheet2!A:A,Sheet2!B:B)</f>
        <v>31</v>
      </c>
      <c r="N91" s="1" t="s">
        <v>198</v>
      </c>
      <c r="O91" s="4" t="str">
        <f t="shared" si="1"/>
        <v>190651 : [30,29,31],</v>
      </c>
      <c r="P91" s="4" t="str">
        <f t="shared" si="2"/>
        <v>190651 : 2,</v>
      </c>
    </row>
    <row r="92">
      <c r="A92" s="1" t="s">
        <v>199</v>
      </c>
      <c r="B92" s="2">
        <v>128793.0</v>
      </c>
      <c r="C92" s="1" t="s">
        <v>153</v>
      </c>
      <c r="D92" s="1">
        <f t="array" ref="D92">xlookup(C92,Sheet3!A:A,Sheet3!B:B)</f>
        <v>2</v>
      </c>
      <c r="E92" s="1" t="s">
        <v>42</v>
      </c>
      <c r="F92" s="1">
        <f t="array" ref="F92">xlookup(E92,Sheet2!A:A,Sheet2!B:B)</f>
        <v>14</v>
      </c>
      <c r="G92" s="1" t="s">
        <v>3</v>
      </c>
      <c r="H92" s="3" t="str">
        <f t="array" ref="H92">JOIN("", SORT(MID(LOWER(G92), SEQUENCE(LEN(G92)), 1)))</f>
        <v>an</v>
      </c>
      <c r="I92" s="1" t="s">
        <v>16</v>
      </c>
      <c r="J92" s="1">
        <f t="array" ref="J92">xlookup(I92,Sheet2!A:A,Sheet2!B:B)</f>
        <v>3</v>
      </c>
      <c r="K92" s="1" t="s">
        <v>3</v>
      </c>
      <c r="L92" s="1" t="s">
        <v>4</v>
      </c>
      <c r="M92" s="1">
        <f t="array" ref="M92">xlookup(L92,Sheet2!A:A,Sheet2!B:B)</f>
        <v>23</v>
      </c>
      <c r="N92" s="1" t="s">
        <v>3</v>
      </c>
      <c r="O92" s="4" t="str">
        <f t="shared" si="1"/>
        <v>128793 : [14,3,23],</v>
      </c>
      <c r="P92" s="4" t="str">
        <f t="shared" si="2"/>
        <v>128793 : 2,</v>
      </c>
    </row>
    <row r="93">
      <c r="A93" s="1" t="s">
        <v>200</v>
      </c>
      <c r="B93" s="2">
        <v>119687.0</v>
      </c>
      <c r="C93" s="1" t="s">
        <v>153</v>
      </c>
      <c r="D93" s="1">
        <f t="array" ref="D93">xlookup(C93,Sheet3!A:A,Sheet3!B:B)</f>
        <v>2</v>
      </c>
      <c r="E93" s="1" t="s">
        <v>4</v>
      </c>
      <c r="F93" s="1">
        <f t="array" ref="F93">xlookup(E93,Sheet2!A:A,Sheet2!B:B)</f>
        <v>23</v>
      </c>
      <c r="G93" s="1" t="s">
        <v>3</v>
      </c>
      <c r="H93" s="3" t="str">
        <f t="array" ref="H93">JOIN("", SORT(MID(LOWER(G93), SEQUENCE(LEN(G93)), 1)))</f>
        <v>an</v>
      </c>
      <c r="I93" s="1" t="s">
        <v>13</v>
      </c>
      <c r="J93" s="1">
        <f t="array" ref="J93">xlookup(I93,Sheet2!A:A,Sheet2!B:B)</f>
        <v>17</v>
      </c>
      <c r="K93" s="1" t="s">
        <v>3</v>
      </c>
      <c r="L93" s="1" t="s">
        <v>63</v>
      </c>
      <c r="M93" s="1">
        <f t="array" ref="M93">xlookup(L93,Sheet2!A:A,Sheet2!B:B)</f>
        <v>29</v>
      </c>
      <c r="N93" s="1" t="s">
        <v>3</v>
      </c>
      <c r="O93" s="4" t="str">
        <f t="shared" si="1"/>
        <v>119687 : [23,17,29],</v>
      </c>
      <c r="P93" s="4" t="str">
        <f t="shared" si="2"/>
        <v>119687 : 2,</v>
      </c>
    </row>
    <row r="94">
      <c r="A94" s="1" t="s">
        <v>201</v>
      </c>
      <c r="B94" s="2">
        <v>187156.0</v>
      </c>
      <c r="C94" s="1" t="s">
        <v>153</v>
      </c>
      <c r="D94" s="1">
        <f t="array" ref="D94">xlookup(C94,Sheet3!A:A,Sheet3!B:B)</f>
        <v>2</v>
      </c>
      <c r="E94" s="1" t="s">
        <v>64</v>
      </c>
      <c r="F94" s="1">
        <f t="array" ref="F94">xlookup(E94,Sheet2!A:A,Sheet2!B:B)</f>
        <v>30</v>
      </c>
      <c r="G94" s="1" t="s">
        <v>202</v>
      </c>
      <c r="H94" s="3" t="str">
        <f t="array" ref="H94">JOIN("", SORT(MID(LOWER(G94), SEQUENCE(LEN(G94)), 1)))</f>
        <v>an</v>
      </c>
      <c r="I94" s="1" t="s">
        <v>20</v>
      </c>
      <c r="J94" s="1">
        <f t="array" ref="J94">xlookup(I94,Sheet2!A:A,Sheet2!B:B)</f>
        <v>48</v>
      </c>
      <c r="K94" s="1" t="s">
        <v>202</v>
      </c>
      <c r="L94" s="1" t="s">
        <v>124</v>
      </c>
      <c r="M94" s="1">
        <f t="array" ref="M94">xlookup(L94,Sheet2!A:A,Sheet2!B:B)</f>
        <v>46</v>
      </c>
      <c r="N94" s="1" t="s">
        <v>202</v>
      </c>
      <c r="O94" s="4" t="str">
        <f t="shared" si="1"/>
        <v>187156 : [30,48,46],</v>
      </c>
      <c r="P94" s="4" t="str">
        <f t="shared" si="2"/>
        <v>187156 : 2,</v>
      </c>
    </row>
    <row r="95">
      <c r="A95" s="1" t="s">
        <v>203</v>
      </c>
      <c r="B95" s="2">
        <v>119009.0</v>
      </c>
      <c r="C95" s="1" t="s">
        <v>153</v>
      </c>
      <c r="D95" s="1">
        <f t="array" ref="D95">xlookup(C95,Sheet3!A:A,Sheet3!B:B)</f>
        <v>2</v>
      </c>
      <c r="E95" s="1" t="s">
        <v>105</v>
      </c>
      <c r="F95" s="1">
        <f t="array" ref="F95">xlookup(E95,Sheet2!A:A,Sheet2!B:B)</f>
        <v>26</v>
      </c>
      <c r="G95" s="1" t="s">
        <v>3</v>
      </c>
      <c r="H95" s="3" t="str">
        <f t="array" ref="H95">JOIN("", SORT(MID(LOWER(G95), SEQUENCE(LEN(G95)), 1)))</f>
        <v>an</v>
      </c>
      <c r="I95" s="1" t="s">
        <v>204</v>
      </c>
      <c r="J95" s="1">
        <f t="array" ref="J95">xlookup(I95,Sheet2!A:A,Sheet2!B:B)</f>
        <v>43</v>
      </c>
      <c r="K95" s="1" t="s">
        <v>3</v>
      </c>
      <c r="L95" s="1" t="s">
        <v>2</v>
      </c>
      <c r="M95" s="1">
        <f t="array" ref="M95">xlookup(L95,Sheet2!A:A,Sheet2!B:B)</f>
        <v>25</v>
      </c>
      <c r="N95" s="1" t="s">
        <v>3</v>
      </c>
      <c r="O95" s="4" t="str">
        <f t="shared" si="1"/>
        <v>119009 : [26,43,25],</v>
      </c>
      <c r="P95" s="4" t="str">
        <f t="shared" si="2"/>
        <v>119009 : 2,</v>
      </c>
    </row>
    <row r="96">
      <c r="A96" s="1" t="s">
        <v>205</v>
      </c>
      <c r="B96" s="2">
        <v>188911.0</v>
      </c>
      <c r="C96" s="1" t="s">
        <v>153</v>
      </c>
      <c r="D96" s="1">
        <f t="array" ref="D96">xlookup(C96,Sheet3!A:A,Sheet3!B:B)</f>
        <v>2</v>
      </c>
      <c r="E96" s="1" t="s">
        <v>13</v>
      </c>
      <c r="F96" s="1">
        <f t="array" ref="F96">xlookup(E96,Sheet2!A:A,Sheet2!B:B)</f>
        <v>17</v>
      </c>
      <c r="G96" s="1" t="s">
        <v>3</v>
      </c>
      <c r="H96" s="3" t="str">
        <f t="array" ref="H96">JOIN("", SORT(MID(LOWER(G96), SEQUENCE(LEN(G96)), 1)))</f>
        <v>an</v>
      </c>
      <c r="I96" s="1" t="s">
        <v>42</v>
      </c>
      <c r="J96" s="1">
        <f t="array" ref="J96">xlookup(I96,Sheet2!A:A,Sheet2!B:B)</f>
        <v>14</v>
      </c>
      <c r="K96" s="1" t="s">
        <v>3</v>
      </c>
      <c r="L96" s="1" t="s">
        <v>16</v>
      </c>
      <c r="M96" s="1">
        <f t="array" ref="M96">xlookup(L96,Sheet2!A:A,Sheet2!B:B)</f>
        <v>3</v>
      </c>
      <c r="N96" s="1" t="s">
        <v>3</v>
      </c>
      <c r="O96" s="4" t="str">
        <f t="shared" si="1"/>
        <v>188911 : [17,14,3],</v>
      </c>
      <c r="P96" s="4" t="str">
        <f t="shared" si="2"/>
        <v>188911 : 2,</v>
      </c>
    </row>
    <row r="97">
      <c r="A97" s="1" t="s">
        <v>206</v>
      </c>
      <c r="B97" s="2">
        <v>124399.0</v>
      </c>
      <c r="C97" s="1" t="s">
        <v>153</v>
      </c>
      <c r="D97" s="1">
        <f t="array" ref="D97">xlookup(C97,Sheet3!A:A,Sheet3!B:B)</f>
        <v>2</v>
      </c>
      <c r="E97" s="1" t="s">
        <v>105</v>
      </c>
      <c r="F97" s="1">
        <f t="array" ref="F97">xlookup(E97,Sheet2!A:A,Sheet2!B:B)</f>
        <v>26</v>
      </c>
      <c r="G97" s="1" t="s">
        <v>3</v>
      </c>
      <c r="H97" s="3" t="str">
        <f t="array" ref="H97">JOIN("", SORT(MID(LOWER(G97), SEQUENCE(LEN(G97)), 1)))</f>
        <v>an</v>
      </c>
      <c r="I97" s="1" t="s">
        <v>207</v>
      </c>
      <c r="J97" s="1">
        <f t="array" ref="J97">xlookup(I97,Sheet2!A:A,Sheet2!B:B)</f>
        <v>1</v>
      </c>
      <c r="K97" s="1" t="s">
        <v>3</v>
      </c>
      <c r="L97" s="1" t="s">
        <v>2</v>
      </c>
      <c r="M97" s="1">
        <f t="array" ref="M97">xlookup(L97,Sheet2!A:A,Sheet2!B:B)</f>
        <v>25</v>
      </c>
      <c r="N97" s="1" t="s">
        <v>3</v>
      </c>
      <c r="O97" s="4" t="str">
        <f t="shared" si="1"/>
        <v>124399 : [26,1,25],</v>
      </c>
      <c r="P97" s="4" t="str">
        <f t="shared" si="2"/>
        <v>124399 : 2,</v>
      </c>
    </row>
    <row r="98">
      <c r="A98" s="1" t="s">
        <v>208</v>
      </c>
      <c r="B98" s="2">
        <v>111281.0</v>
      </c>
      <c r="C98" s="1" t="s">
        <v>153</v>
      </c>
      <c r="D98" s="1">
        <f t="array" ref="D98">xlookup(C98,Sheet3!A:A,Sheet3!B:B)</f>
        <v>2</v>
      </c>
      <c r="E98" s="1" t="s">
        <v>38</v>
      </c>
      <c r="F98" s="1">
        <f t="array" ref="F98">xlookup(E98,Sheet2!A:A,Sheet2!B:B)</f>
        <v>6</v>
      </c>
      <c r="G98" s="1" t="s">
        <v>3</v>
      </c>
      <c r="H98" s="3" t="str">
        <f t="array" ref="H98">JOIN("", SORT(MID(LOWER(G98), SEQUENCE(LEN(G98)), 1)))</f>
        <v>an</v>
      </c>
      <c r="I98" s="1" t="s">
        <v>2</v>
      </c>
      <c r="J98" s="1">
        <f t="array" ref="J98">xlookup(I98,Sheet2!A:A,Sheet2!B:B)</f>
        <v>25</v>
      </c>
      <c r="K98" s="1" t="s">
        <v>3</v>
      </c>
      <c r="L98" s="1" t="s">
        <v>96</v>
      </c>
      <c r="M98" s="1">
        <f t="array" ref="M98">xlookup(L98,Sheet2!A:A,Sheet2!B:B)</f>
        <v>47</v>
      </c>
      <c r="N98" s="1" t="s">
        <v>3</v>
      </c>
      <c r="O98" s="4" t="str">
        <f t="shared" si="1"/>
        <v>111281 : [6,25,47],</v>
      </c>
      <c r="P98" s="4" t="str">
        <f t="shared" si="2"/>
        <v>111281 : 2,</v>
      </c>
    </row>
    <row r="99">
      <c r="A99" s="1" t="s">
        <v>209</v>
      </c>
      <c r="B99" s="2">
        <v>301809.0</v>
      </c>
      <c r="C99" s="1" t="s">
        <v>153</v>
      </c>
      <c r="D99" s="1">
        <f t="array" ref="D99">xlookup(C99,Sheet3!A:A,Sheet3!B:B)</f>
        <v>2</v>
      </c>
      <c r="E99" s="1" t="s">
        <v>47</v>
      </c>
      <c r="F99" s="1">
        <f t="array" ref="F99">xlookup(E99,Sheet2!A:A,Sheet2!B:B)</f>
        <v>27</v>
      </c>
      <c r="G99" s="1" t="s">
        <v>210</v>
      </c>
      <c r="H99" s="3" t="str">
        <f t="array" ref="H99">JOIN("", SORT(MID(LOWER(G99), SEQUENCE(LEN(G99)), 1)))</f>
        <v>   ,aaaadghhiiimnnorrsstt</v>
      </c>
      <c r="I99" s="1" t="s">
        <v>25</v>
      </c>
      <c r="J99" s="1">
        <f t="array" ref="J99">xlookup(I99,Sheet2!A:A,Sheet2!B:B)</f>
        <v>18</v>
      </c>
      <c r="K99" s="1" t="s">
        <v>210</v>
      </c>
      <c r="L99" s="1" t="s">
        <v>109</v>
      </c>
      <c r="M99" s="1">
        <f t="array" ref="M99">xlookup(L99,Sheet2!A:A,Sheet2!B:B)</f>
        <v>49</v>
      </c>
      <c r="N99" s="1" t="s">
        <v>210</v>
      </c>
      <c r="O99" s="4" t="str">
        <f t="shared" si="1"/>
        <v>301809 : [27,18,49],</v>
      </c>
      <c r="P99" s="4" t="str">
        <f t="shared" si="2"/>
        <v>301809 : 2,</v>
      </c>
    </row>
    <row r="100">
      <c r="A100" s="1" t="s">
        <v>211</v>
      </c>
      <c r="B100" s="2">
        <v>163486.0</v>
      </c>
      <c r="C100" s="1" t="s">
        <v>153</v>
      </c>
      <c r="D100" s="1">
        <f t="array" ref="D100">xlookup(C100,Sheet3!A:A,Sheet3!B:B)</f>
        <v>2</v>
      </c>
      <c r="E100" s="1" t="s">
        <v>212</v>
      </c>
      <c r="F100" s="1">
        <f t="array" ref="F100">xlookup(E100,Sheet2!A:A,Sheet2!B:B)</f>
        <v>2</v>
      </c>
      <c r="G100" s="1" t="s">
        <v>3</v>
      </c>
      <c r="H100" s="3" t="str">
        <f t="array" ref="H100">JOIN("", SORT(MID(LOWER(G100), SEQUENCE(LEN(G100)), 1)))</f>
        <v>an</v>
      </c>
      <c r="I100" s="1" t="s">
        <v>38</v>
      </c>
      <c r="J100" s="1">
        <f t="array" ref="J100">xlookup(I100,Sheet2!A:A,Sheet2!B:B)</f>
        <v>6</v>
      </c>
      <c r="K100" s="1" t="s">
        <v>3</v>
      </c>
      <c r="L100" s="1" t="s">
        <v>96</v>
      </c>
      <c r="M100" s="1">
        <f t="array" ref="M100">xlookup(L100,Sheet2!A:A,Sheet2!B:B)</f>
        <v>47</v>
      </c>
      <c r="N100" s="1" t="s">
        <v>213</v>
      </c>
      <c r="O100" s="4" t="str">
        <f t="shared" si="1"/>
        <v>163486 : [2,6,47],</v>
      </c>
      <c r="P100" s="4" t="str">
        <f t="shared" si="2"/>
        <v>163486 : 2,</v>
      </c>
    </row>
    <row r="101">
      <c r="A101" s="1" t="s">
        <v>214</v>
      </c>
      <c r="B101" s="2">
        <v>324051.0</v>
      </c>
      <c r="C101" s="1" t="s">
        <v>153</v>
      </c>
      <c r="D101" s="1">
        <f t="array" ref="D101">xlookup(C101,Sheet3!A:A,Sheet3!B:B)</f>
        <v>2</v>
      </c>
      <c r="E101" s="1" t="s">
        <v>74</v>
      </c>
      <c r="F101" s="1">
        <f t="array" ref="F101">xlookup(E101,Sheet2!A:A,Sheet2!B:B)</f>
        <v>50</v>
      </c>
      <c r="G101" s="1" t="s">
        <v>215</v>
      </c>
      <c r="H101" s="3" t="str">
        <f t="array" ref="H101">JOIN("", SORT(MID(LOWER(G101), SEQUENCE(LEN(G101)), 1)))</f>
        <v>   ,aaaacdehhhilnnnnoortuwyyz</v>
      </c>
      <c r="I101" s="1" t="s">
        <v>39</v>
      </c>
      <c r="J101" s="1">
        <f t="array" ref="J101">xlookup(I101,Sheet2!A:A,Sheet2!B:B)</f>
        <v>20</v>
      </c>
      <c r="K101" s="1" t="s">
        <v>3</v>
      </c>
      <c r="L101" s="1" t="s">
        <v>15</v>
      </c>
      <c r="M101" s="1">
        <f t="array" ref="M101">xlookup(L101,Sheet2!A:A,Sheet2!B:B)</f>
        <v>0</v>
      </c>
      <c r="N101" s="1" t="s">
        <v>3</v>
      </c>
      <c r="O101" s="4" t="str">
        <f t="shared" si="1"/>
        <v>324051 : [50,20,0],</v>
      </c>
      <c r="P101" s="4" t="str">
        <f t="shared" si="2"/>
        <v>324051 : 2,</v>
      </c>
    </row>
    <row r="102">
      <c r="A102" s="1" t="s">
        <v>216</v>
      </c>
      <c r="B102" s="2">
        <v>119930.0</v>
      </c>
      <c r="C102" s="1" t="s">
        <v>153</v>
      </c>
      <c r="D102" s="1">
        <f t="array" ref="D102">xlookup(C102,Sheet3!A:A,Sheet3!B:B)</f>
        <v>2</v>
      </c>
      <c r="E102" s="1" t="s">
        <v>74</v>
      </c>
      <c r="F102" s="1">
        <f t="array" ref="F102">xlookup(E102,Sheet2!A:A,Sheet2!B:B)</f>
        <v>50</v>
      </c>
      <c r="G102" s="1" t="s">
        <v>217</v>
      </c>
      <c r="H102" s="3" t="str">
        <f t="array" ref="H102">JOIN("", SORT(MID(LOWER(G102), SEQUENCE(LEN(G102)), 1)))</f>
        <v>   ,aaaeegghhhiilllmnnnwzz</v>
      </c>
      <c r="I102" s="1" t="s">
        <v>76</v>
      </c>
      <c r="J102" s="1">
        <f t="array" ref="J102">xlookup(I102,Sheet2!A:A,Sheet2!B:B)</f>
        <v>24</v>
      </c>
      <c r="K102" s="1" t="s">
        <v>217</v>
      </c>
      <c r="L102" s="1" t="s">
        <v>125</v>
      </c>
      <c r="M102" s="1">
        <f t="array" ref="M102">xlookup(L102,Sheet2!A:A,Sheet2!B:B)</f>
        <v>19</v>
      </c>
      <c r="N102" s="1" t="s">
        <v>217</v>
      </c>
      <c r="O102" s="4" t="str">
        <f t="shared" si="1"/>
        <v>119930 : [50,24,19],</v>
      </c>
      <c r="P102" s="4" t="str">
        <f t="shared" si="2"/>
        <v>119930 : 2,</v>
      </c>
    </row>
    <row r="103">
      <c r="A103" s="1" t="s">
        <v>218</v>
      </c>
      <c r="B103" s="2">
        <v>109820.0</v>
      </c>
      <c r="C103" s="1" t="s">
        <v>153</v>
      </c>
      <c r="D103" s="1">
        <f t="array" ref="D103">xlookup(C103,Sheet3!A:A,Sheet3!B:B)</f>
        <v>2</v>
      </c>
      <c r="E103" s="1" t="s">
        <v>39</v>
      </c>
      <c r="F103" s="1">
        <f t="array" ref="F103">xlookup(E103,Sheet2!A:A,Sheet2!B:B)</f>
        <v>20</v>
      </c>
      <c r="G103" s="1" t="s">
        <v>3</v>
      </c>
      <c r="H103" s="3" t="str">
        <f t="array" ref="H103">JOIN("", SORT(MID(LOWER(G103), SEQUENCE(LEN(G103)), 1)))</f>
        <v>an</v>
      </c>
      <c r="I103" s="1" t="s">
        <v>207</v>
      </c>
      <c r="J103" s="1">
        <f t="array" ref="J103">xlookup(I103,Sheet2!A:A,Sheet2!B:B)</f>
        <v>1</v>
      </c>
      <c r="K103" s="1" t="s">
        <v>3</v>
      </c>
      <c r="L103" s="1" t="s">
        <v>167</v>
      </c>
      <c r="M103" s="1">
        <f t="array" ref="M103">xlookup(L103,Sheet2!A:A,Sheet2!B:B)</f>
        <v>33</v>
      </c>
      <c r="N103" s="1" t="s">
        <v>3</v>
      </c>
      <c r="O103" s="4" t="str">
        <f t="shared" si="1"/>
        <v>109820 : [20,1,33],</v>
      </c>
      <c r="P103" s="4" t="str">
        <f t="shared" si="2"/>
        <v>109820 : 2,</v>
      </c>
    </row>
    <row r="104">
      <c r="A104" s="1" t="s">
        <v>219</v>
      </c>
      <c r="B104" s="2">
        <v>109668.0</v>
      </c>
      <c r="C104" s="1" t="s">
        <v>153</v>
      </c>
      <c r="D104" s="1">
        <f t="array" ref="D104">xlookup(C104,Sheet3!A:A,Sheet3!B:B)</f>
        <v>2</v>
      </c>
      <c r="E104" s="1" t="s">
        <v>32</v>
      </c>
      <c r="F104" s="1">
        <f t="array" ref="F104">xlookup(E104,Sheet2!A:A,Sheet2!B:B)</f>
        <v>11</v>
      </c>
      <c r="G104" s="1" t="s">
        <v>220</v>
      </c>
      <c r="H104" s="3" t="str">
        <f t="array" ref="H104">JOIN("", SORT(MID(LOWER(G104), SEQUENCE(LEN(G104)), 1)))</f>
        <v>     ,,aaaaaaaaaaaabddeghhhhiijjmmmnnorrrrrrsstuvwy</v>
      </c>
      <c r="I104" s="1" t="s">
        <v>47</v>
      </c>
      <c r="J104" s="1">
        <f t="array" ref="J104">xlookup(I104,Sheet2!A:A,Sheet2!B:B)</f>
        <v>27</v>
      </c>
      <c r="K104" s="1" t="s">
        <v>220</v>
      </c>
      <c r="L104" s="1" t="s">
        <v>111</v>
      </c>
      <c r="M104" s="1">
        <f t="array" ref="M104">xlookup(L104,Sheet2!A:A,Sheet2!B:B)</f>
        <v>28</v>
      </c>
      <c r="N104" s="1" t="s">
        <v>220</v>
      </c>
      <c r="O104" s="4" t="str">
        <f t="shared" si="1"/>
        <v>109668 : [11,27,28],</v>
      </c>
      <c r="P104" s="4" t="str">
        <f t="shared" si="2"/>
        <v>109668 : 2,</v>
      </c>
    </row>
    <row r="105">
      <c r="A105" s="1" t="s">
        <v>221</v>
      </c>
      <c r="B105" s="2">
        <v>109841.0</v>
      </c>
      <c r="C105" s="1" t="s">
        <v>153</v>
      </c>
      <c r="D105" s="1">
        <f t="array" ref="D105">xlookup(C105,Sheet3!A:A,Sheet3!B:B)</f>
        <v>2</v>
      </c>
      <c r="E105" s="1" t="s">
        <v>32</v>
      </c>
      <c r="F105" s="1">
        <f t="array" ref="F105">xlookup(E105,Sheet2!A:A,Sheet2!B:B)</f>
        <v>11</v>
      </c>
      <c r="G105" s="1" t="s">
        <v>222</v>
      </c>
      <c r="H105" s="3" t="str">
        <f t="array" ref="H105">JOIN("", SORT(MID(LOWER(G105), SEQUENCE(LEN(G105)), 1)))</f>
        <v>     ,,aaaaaaaaaaaabddeghhhhiijjmmmnnorrrrrrsstuvwy</v>
      </c>
      <c r="I105" s="1" t="s">
        <v>47</v>
      </c>
      <c r="J105" s="1">
        <f t="array" ref="J105">xlookup(I105,Sheet2!A:A,Sheet2!B:B)</f>
        <v>27</v>
      </c>
      <c r="K105" s="1" t="s">
        <v>222</v>
      </c>
      <c r="L105" s="1" t="s">
        <v>111</v>
      </c>
      <c r="M105" s="1">
        <f t="array" ref="M105">xlookup(L105,Sheet2!A:A,Sheet2!B:B)</f>
        <v>28</v>
      </c>
      <c r="N105" s="1" t="s">
        <v>222</v>
      </c>
      <c r="O105" s="4" t="str">
        <f t="shared" si="1"/>
        <v>109841 : [11,27,28],</v>
      </c>
      <c r="P105" s="4" t="str">
        <f t="shared" si="2"/>
        <v>109841 : 2,</v>
      </c>
    </row>
    <row r="106">
      <c r="A106" s="3" t="s">
        <v>223</v>
      </c>
      <c r="B106" s="5">
        <v>138492.0</v>
      </c>
      <c r="C106" s="3" t="s">
        <v>153</v>
      </c>
      <c r="D106" s="1">
        <f t="array" ref="D106">xlookup(C106,Sheet3!A:A,Sheet3!B:B)</f>
        <v>2</v>
      </c>
      <c r="E106" s="3" t="s">
        <v>125</v>
      </c>
      <c r="F106" s="1">
        <f t="array" ref="F106">xlookup(E106,Sheet2!A:A,Sheet2!B:B)</f>
        <v>19</v>
      </c>
      <c r="G106" s="3" t="s">
        <v>224</v>
      </c>
      <c r="H106" s="3" t="str">
        <f t="array" ref="H106">JOIN("", SORT(MID(LOWER(G106), SEQUENCE(LEN(G106)), 1)))</f>
        <v>  ,eiiklmv</v>
      </c>
      <c r="I106" s="3" t="s">
        <v>9</v>
      </c>
      <c r="J106" s="1">
        <f t="array" ref="J106">xlookup(I106,Sheet2!A:A,Sheet2!B:B)</f>
        <v>5</v>
      </c>
      <c r="K106" s="3" t="s">
        <v>224</v>
      </c>
      <c r="L106" s="3" t="s">
        <v>7</v>
      </c>
      <c r="M106" s="1">
        <f t="array" ref="M106">xlookup(L106,Sheet2!A:A,Sheet2!B:B)</f>
        <v>15</v>
      </c>
      <c r="N106" s="3" t="s">
        <v>225</v>
      </c>
      <c r="O106" s="4" t="str">
        <f t="shared" si="1"/>
        <v>138492 : [19,5,15],</v>
      </c>
      <c r="P106" s="4" t="str">
        <f t="shared" si="2"/>
        <v>138492 : 2,</v>
      </c>
    </row>
    <row r="107">
      <c r="A107" s="1" t="s">
        <v>226</v>
      </c>
      <c r="B107" s="2">
        <v>193431.0</v>
      </c>
      <c r="C107" s="1" t="s">
        <v>153</v>
      </c>
      <c r="D107" s="1">
        <f t="array" ref="D107">xlookup(C107,Sheet3!A:A,Sheet3!B:B)</f>
        <v>2</v>
      </c>
      <c r="E107" s="1" t="s">
        <v>111</v>
      </c>
      <c r="F107" s="1">
        <f t="array" ref="F107">xlookup(E107,Sheet2!A:A,Sheet2!B:B)</f>
        <v>28</v>
      </c>
      <c r="G107" s="1" t="s">
        <v>227</v>
      </c>
      <c r="H107" s="3" t="str">
        <f t="array" ref="H107">JOIN("", SORT(MID(LOWER(G107), SEQUENCE(LEN(G107)), 1)))</f>
        <v>   ,aaaaaabbhhhiklnrsstty</v>
      </c>
      <c r="I107" s="1" t="s">
        <v>28</v>
      </c>
      <c r="J107" s="1">
        <f t="array" ref="J107">xlookup(I107,Sheet2!A:A,Sheet2!B:B)</f>
        <v>32</v>
      </c>
      <c r="K107" s="1" t="s">
        <v>227</v>
      </c>
      <c r="L107" s="1" t="s">
        <v>109</v>
      </c>
      <c r="M107" s="1">
        <f t="array" ref="M107">xlookup(L107,Sheet2!A:A,Sheet2!B:B)</f>
        <v>49</v>
      </c>
      <c r="N107" s="1" t="s">
        <v>227</v>
      </c>
      <c r="O107" s="4" t="str">
        <f t="shared" si="1"/>
        <v>193431 : [28,32,49],</v>
      </c>
      <c r="P107" s="4" t="str">
        <f t="shared" si="2"/>
        <v>193431 : 2,</v>
      </c>
    </row>
    <row r="108">
      <c r="A108" s="1" t="s">
        <v>228</v>
      </c>
      <c r="B108" s="2">
        <v>184727.0</v>
      </c>
      <c r="C108" s="1" t="s">
        <v>153</v>
      </c>
      <c r="D108" s="1">
        <f t="array" ref="D108">xlookup(C108,Sheet3!A:A,Sheet3!B:B)</f>
        <v>2</v>
      </c>
      <c r="E108" s="1" t="s">
        <v>74</v>
      </c>
      <c r="F108" s="1">
        <f t="array" ref="F108">xlookup(E108,Sheet2!A:A,Sheet2!B:B)</f>
        <v>50</v>
      </c>
      <c r="G108" s="1" t="s">
        <v>229</v>
      </c>
      <c r="H108" s="3" t="str">
        <f t="array" ref="H108">JOIN("", SORT(MID(LOWER(G108), SEQUENCE(LEN(G108)), 1)))</f>
        <v>   ,aaaaaaacdddhhhhhiiimnnnnorrssstuvy</v>
      </c>
      <c r="I108" s="1" t="s">
        <v>96</v>
      </c>
      <c r="J108" s="1">
        <f t="array" ref="J108">xlookup(I108,Sheet2!A:A,Sheet2!B:B)</f>
        <v>47</v>
      </c>
      <c r="K108" s="1" t="s">
        <v>229</v>
      </c>
      <c r="L108" s="1" t="s">
        <v>76</v>
      </c>
      <c r="M108" s="1">
        <f t="array" ref="M108">xlookup(L108,Sheet2!A:A,Sheet2!B:B)</f>
        <v>24</v>
      </c>
      <c r="N108" s="1" t="s">
        <v>229</v>
      </c>
      <c r="O108" s="4" t="str">
        <f t="shared" si="1"/>
        <v>184727 : [50,47,24],</v>
      </c>
      <c r="P108" s="4" t="str">
        <f t="shared" si="2"/>
        <v>184727 : 2,</v>
      </c>
    </row>
    <row r="109">
      <c r="A109" s="1" t="s">
        <v>230</v>
      </c>
      <c r="B109" s="2">
        <v>152185.0</v>
      </c>
      <c r="C109" s="1" t="s">
        <v>153</v>
      </c>
      <c r="D109" s="1">
        <f t="array" ref="D109">xlookup(C109,Sheet3!A:A,Sheet3!B:B)</f>
        <v>2</v>
      </c>
      <c r="E109" s="1" t="s">
        <v>40</v>
      </c>
      <c r="F109" s="1">
        <f t="array" ref="F109">xlookup(E109,Sheet2!A:A,Sheet2!B:B)</f>
        <v>44</v>
      </c>
      <c r="G109" s="1" t="s">
        <v>3</v>
      </c>
      <c r="H109" s="3" t="str">
        <f t="array" ref="H109">JOIN("", SORT(MID(LOWER(G109), SEQUENCE(LEN(G109)), 1)))</f>
        <v>an</v>
      </c>
      <c r="I109" s="1" t="s">
        <v>207</v>
      </c>
      <c r="J109" s="1">
        <f t="array" ref="J109">xlookup(I109,Sheet2!A:A,Sheet2!B:B)</f>
        <v>1</v>
      </c>
      <c r="K109" s="1" t="s">
        <v>3</v>
      </c>
      <c r="L109" s="1" t="s">
        <v>212</v>
      </c>
      <c r="M109" s="1">
        <f t="array" ref="M109">xlookup(L109,Sheet2!A:A,Sheet2!B:B)</f>
        <v>2</v>
      </c>
      <c r="N109" s="1" t="s">
        <v>3</v>
      </c>
      <c r="O109" s="4" t="str">
        <f t="shared" si="1"/>
        <v>152185 : [44,1,2],</v>
      </c>
      <c r="P109" s="4" t="str">
        <f t="shared" si="2"/>
        <v>152185 : 2,</v>
      </c>
    </row>
    <row r="110">
      <c r="A110" s="1" t="s">
        <v>231</v>
      </c>
      <c r="B110" s="2">
        <v>109833.0</v>
      </c>
      <c r="C110" s="1" t="s">
        <v>153</v>
      </c>
      <c r="D110" s="1">
        <f t="array" ref="D110">xlookup(C110,Sheet3!A:A,Sheet3!B:B)</f>
        <v>2</v>
      </c>
      <c r="E110" s="1" t="s">
        <v>32</v>
      </c>
      <c r="F110" s="1">
        <f t="array" ref="F110">xlookup(E110,Sheet2!A:A,Sheet2!B:B)</f>
        <v>11</v>
      </c>
      <c r="G110" s="1" t="s">
        <v>222</v>
      </c>
      <c r="H110" s="3" t="str">
        <f t="array" ref="H110">JOIN("", SORT(MID(LOWER(G110), SEQUENCE(LEN(G110)), 1)))</f>
        <v>     ,,aaaaaaaaaaaabddeghhhhiijjmmmnnorrrrrrsstuvwy</v>
      </c>
      <c r="I110" s="1" t="s">
        <v>47</v>
      </c>
      <c r="J110" s="1">
        <f t="array" ref="J110">xlookup(I110,Sheet2!A:A,Sheet2!B:B)</f>
        <v>27</v>
      </c>
      <c r="K110" s="1" t="s">
        <v>222</v>
      </c>
      <c r="L110" s="1" t="s">
        <v>111</v>
      </c>
      <c r="M110" s="1">
        <f t="array" ref="M110">xlookup(L110,Sheet2!A:A,Sheet2!B:B)</f>
        <v>28</v>
      </c>
      <c r="N110" s="1" t="s">
        <v>222</v>
      </c>
      <c r="O110" s="4" t="str">
        <f t="shared" si="1"/>
        <v>109833 : [11,27,28],</v>
      </c>
      <c r="P110" s="4" t="str">
        <f t="shared" si="2"/>
        <v>109833 : 2,</v>
      </c>
    </row>
    <row r="111">
      <c r="A111" s="1" t="s">
        <v>232</v>
      </c>
      <c r="B111" s="2">
        <v>110452.0</v>
      </c>
      <c r="C111" s="1" t="s">
        <v>153</v>
      </c>
      <c r="D111" s="1">
        <f t="array" ref="D111">xlookup(C111,Sheet3!A:A,Sheet3!B:B)</f>
        <v>2</v>
      </c>
      <c r="E111" s="1" t="s">
        <v>15</v>
      </c>
      <c r="F111" s="1">
        <f t="array" ref="F111">xlookup(E111,Sheet2!A:A,Sheet2!B:B)</f>
        <v>0</v>
      </c>
      <c r="G111" s="1" t="s">
        <v>3</v>
      </c>
      <c r="H111" s="3" t="str">
        <f t="array" ref="H111">JOIN("", SORT(MID(LOWER(G111), SEQUENCE(LEN(G111)), 1)))</f>
        <v>an</v>
      </c>
      <c r="I111" s="1" t="s">
        <v>16</v>
      </c>
      <c r="J111" s="1">
        <f t="array" ref="J111">xlookup(I111,Sheet2!A:A,Sheet2!B:B)</f>
        <v>3</v>
      </c>
      <c r="K111" s="1" t="s">
        <v>3</v>
      </c>
      <c r="L111" s="1" t="s">
        <v>5</v>
      </c>
      <c r="M111" s="1">
        <f t="array" ref="M111">xlookup(L111,Sheet2!A:A,Sheet2!B:B)</f>
        <v>35</v>
      </c>
      <c r="N111" s="1" t="s">
        <v>3</v>
      </c>
      <c r="O111" s="4" t="str">
        <f t="shared" si="1"/>
        <v>110452 : [0,3,35],</v>
      </c>
      <c r="P111" s="4" t="str">
        <f t="shared" si="2"/>
        <v>110452 : 2,</v>
      </c>
    </row>
    <row r="112">
      <c r="A112" s="1" t="s">
        <v>233</v>
      </c>
      <c r="B112" s="2">
        <v>138394.0</v>
      </c>
      <c r="C112" s="1" t="s">
        <v>153</v>
      </c>
      <c r="D112" s="1">
        <f t="array" ref="D112">xlookup(C112,Sheet3!A:A,Sheet3!B:B)</f>
        <v>2</v>
      </c>
      <c r="E112" s="1" t="s">
        <v>2</v>
      </c>
      <c r="F112" s="1">
        <f t="array" ref="F112">xlookup(E112,Sheet2!A:A,Sheet2!B:B)</f>
        <v>25</v>
      </c>
      <c r="G112" s="1" t="s">
        <v>3</v>
      </c>
      <c r="H112" s="3" t="str">
        <f t="array" ref="H112">JOIN("", SORT(MID(LOWER(G112), SEQUENCE(LEN(G112)), 1)))</f>
        <v>an</v>
      </c>
      <c r="I112" s="1" t="s">
        <v>204</v>
      </c>
      <c r="J112" s="1">
        <f t="array" ref="J112">xlookup(I112,Sheet2!A:A,Sheet2!B:B)</f>
        <v>43</v>
      </c>
      <c r="K112" s="1" t="s">
        <v>3</v>
      </c>
      <c r="L112" s="1" t="s">
        <v>167</v>
      </c>
      <c r="M112" s="1">
        <f t="array" ref="M112">xlookup(L112,Sheet2!A:A,Sheet2!B:B)</f>
        <v>33</v>
      </c>
      <c r="N112" s="1" t="s">
        <v>3</v>
      </c>
      <c r="O112" s="4" t="str">
        <f t="shared" si="1"/>
        <v>138394 : [25,43,33],</v>
      </c>
      <c r="P112" s="4" t="str">
        <f t="shared" si="2"/>
        <v>138394 : 2,</v>
      </c>
    </row>
    <row r="113">
      <c r="A113" s="1" t="s">
        <v>234</v>
      </c>
      <c r="B113" s="2">
        <v>137962.0</v>
      </c>
      <c r="C113" s="1" t="s">
        <v>153</v>
      </c>
      <c r="D113" s="1">
        <f t="array" ref="D113">xlookup(C113,Sheet3!A:A,Sheet3!B:B)</f>
        <v>2</v>
      </c>
      <c r="E113" s="1" t="s">
        <v>40</v>
      </c>
      <c r="F113" s="1">
        <f t="array" ref="F113">xlookup(E113,Sheet2!A:A,Sheet2!B:B)</f>
        <v>44</v>
      </c>
      <c r="G113" s="1" t="s">
        <v>234</v>
      </c>
      <c r="H113" s="3" t="str">
        <f t="array" ref="H113">JOIN("", SORT(MID(LOWER(G113), SEQUENCE(LEN(G113)), 1)))</f>
        <v> aaadeeffklnrsx</v>
      </c>
      <c r="I113" s="1" t="s">
        <v>38</v>
      </c>
      <c r="J113" s="1">
        <f t="array" ref="J113">xlookup(I113,Sheet2!A:A,Sheet2!B:B)</f>
        <v>6</v>
      </c>
      <c r="K113" s="1" t="s">
        <v>234</v>
      </c>
      <c r="L113" s="1" t="s">
        <v>2</v>
      </c>
      <c r="M113" s="1">
        <f t="array" ref="M113">xlookup(L113,Sheet2!A:A,Sheet2!B:B)</f>
        <v>25</v>
      </c>
      <c r="N113" s="1" t="s">
        <v>234</v>
      </c>
      <c r="O113" s="4" t="str">
        <f t="shared" si="1"/>
        <v>137962 : [44,6,25],</v>
      </c>
      <c r="P113" s="4" t="str">
        <f t="shared" si="2"/>
        <v>137962 : 2,</v>
      </c>
    </row>
    <row r="114">
      <c r="A114" s="3" t="s">
        <v>235</v>
      </c>
      <c r="B114" s="5">
        <v>119049.0</v>
      </c>
      <c r="C114" s="3" t="s">
        <v>153</v>
      </c>
      <c r="D114" s="1">
        <f t="array" ref="D114">xlookup(C114,Sheet3!A:A,Sheet3!B:B)</f>
        <v>2</v>
      </c>
      <c r="E114" s="3" t="s">
        <v>10</v>
      </c>
      <c r="F114" s="1">
        <f t="array" ref="F114">xlookup(E114,Sheet2!A:A,Sheet2!B:B)</f>
        <v>9</v>
      </c>
      <c r="G114" s="3" t="s">
        <v>236</v>
      </c>
      <c r="H114" s="3" t="str">
        <f t="array" ref="H114">JOIN("", SORT(MID(LOWER(G114), SEQUENCE(LEN(G114)), 1)))</f>
        <v>   ,aaaaaabdegiijkllmnnnrsty</v>
      </c>
      <c r="I114" s="3" t="s">
        <v>9</v>
      </c>
      <c r="J114" s="1">
        <f t="array" ref="J114">xlookup(I114,Sheet2!A:A,Sheet2!B:B)</f>
        <v>5</v>
      </c>
      <c r="K114" s="3" t="s">
        <v>236</v>
      </c>
      <c r="L114" s="3" t="s">
        <v>74</v>
      </c>
      <c r="M114" s="1">
        <f t="array" ref="M114">xlookup(L114,Sheet2!A:A,Sheet2!B:B)</f>
        <v>50</v>
      </c>
      <c r="N114" s="3" t="s">
        <v>236</v>
      </c>
      <c r="O114" s="4" t="str">
        <f t="shared" si="1"/>
        <v>119049 : [9,5,50],</v>
      </c>
      <c r="P114" s="4" t="str">
        <f t="shared" si="2"/>
        <v>119049 : 2,</v>
      </c>
    </row>
    <row r="115">
      <c r="A115" s="3" t="s">
        <v>237</v>
      </c>
      <c r="B115" s="5">
        <v>148321.0</v>
      </c>
      <c r="C115" s="3" t="s">
        <v>153</v>
      </c>
      <c r="D115" s="1">
        <f t="array" ref="D115">xlookup(C115,Sheet3!A:A,Sheet3!B:B)</f>
        <v>2</v>
      </c>
      <c r="E115" s="3" t="s">
        <v>7</v>
      </c>
      <c r="F115" s="1">
        <f t="array" ref="F115">xlookup(E115,Sheet2!A:A,Sheet2!B:B)</f>
        <v>15</v>
      </c>
      <c r="G115" s="3" t="s">
        <v>3</v>
      </c>
      <c r="H115" s="3" t="str">
        <f t="array" ref="H115">JOIN("", SORT(MID(LOWER(G115), SEQUENCE(LEN(G115)), 1)))</f>
        <v>an</v>
      </c>
      <c r="I115" s="3" t="s">
        <v>9</v>
      </c>
      <c r="J115" s="1">
        <f t="array" ref="J115">xlookup(I115,Sheet2!A:A,Sheet2!B:B)</f>
        <v>5</v>
      </c>
      <c r="K115" s="3" t="s">
        <v>3</v>
      </c>
      <c r="L115" s="3" t="s">
        <v>238</v>
      </c>
      <c r="M115" s="1">
        <f t="array" ref="M115">xlookup(L115,Sheet2!A:A,Sheet2!B:B)</f>
        <v>37</v>
      </c>
      <c r="N115" s="3" t="s">
        <v>3</v>
      </c>
      <c r="O115" s="4" t="str">
        <f t="shared" si="1"/>
        <v>148321 : [15,5,37],</v>
      </c>
      <c r="P115" s="4" t="str">
        <f t="shared" si="2"/>
        <v>148321 : 2,</v>
      </c>
    </row>
    <row r="116">
      <c r="A116" s="1" t="s">
        <v>239</v>
      </c>
      <c r="B116" s="2">
        <v>171913.0</v>
      </c>
      <c r="C116" s="1" t="s">
        <v>153</v>
      </c>
      <c r="D116" s="1">
        <f t="array" ref="D116">xlookup(C116,Sheet3!A:A,Sheet3!B:B)</f>
        <v>2</v>
      </c>
      <c r="E116" s="1" t="s">
        <v>105</v>
      </c>
      <c r="F116" s="1">
        <f t="array" ref="F116">xlookup(E116,Sheet2!A:A,Sheet2!B:B)</f>
        <v>26</v>
      </c>
      <c r="G116" s="1" t="s">
        <v>3</v>
      </c>
      <c r="H116" s="3" t="str">
        <f t="array" ref="H116">JOIN("", SORT(MID(LOWER(G116), SEQUENCE(LEN(G116)), 1)))</f>
        <v>an</v>
      </c>
      <c r="I116" s="1" t="s">
        <v>207</v>
      </c>
      <c r="J116" s="1">
        <f t="array" ref="J116">xlookup(I116,Sheet2!A:A,Sheet2!B:B)</f>
        <v>1</v>
      </c>
      <c r="K116" s="1" t="s">
        <v>3</v>
      </c>
      <c r="L116" s="1" t="s">
        <v>39</v>
      </c>
      <c r="M116" s="1">
        <f t="array" ref="M116">xlookup(L116,Sheet2!A:A,Sheet2!B:B)</f>
        <v>20</v>
      </c>
      <c r="N116" s="1" t="s">
        <v>3</v>
      </c>
      <c r="O116" s="4" t="str">
        <f t="shared" si="1"/>
        <v>171913 : [26,1,20],</v>
      </c>
      <c r="P116" s="4" t="str">
        <f t="shared" si="2"/>
        <v>171913 : 2,</v>
      </c>
    </row>
    <row r="117">
      <c r="A117" s="1" t="s">
        <v>240</v>
      </c>
      <c r="B117" s="2">
        <v>124166.0</v>
      </c>
      <c r="C117" s="1" t="s">
        <v>153</v>
      </c>
      <c r="D117" s="1">
        <f t="array" ref="D117">xlookup(C117,Sheet3!A:A,Sheet3!B:B)</f>
        <v>2</v>
      </c>
      <c r="E117" s="1" t="s">
        <v>61</v>
      </c>
      <c r="F117" s="1">
        <f t="array" ref="F117">xlookup(E117,Sheet2!A:A,Sheet2!B:B)</f>
        <v>31</v>
      </c>
      <c r="G117" s="1" t="s">
        <v>241</v>
      </c>
      <c r="H117" s="3" t="str">
        <f t="array" ref="H117">JOIN("", SORT(MID(LOWER(G117), SEQUENCE(LEN(G117)), 1)))</f>
        <v>   ,aaaaaaaaaaddghhiilllmnnnrstty</v>
      </c>
      <c r="I117" s="1" t="s">
        <v>64</v>
      </c>
      <c r="J117" s="1">
        <f t="array" ref="J117">xlookup(I117,Sheet2!A:A,Sheet2!B:B)</f>
        <v>30</v>
      </c>
      <c r="K117" s="1" t="s">
        <v>241</v>
      </c>
      <c r="L117" s="1" t="s">
        <v>63</v>
      </c>
      <c r="M117" s="1">
        <f t="array" ref="M117">xlookup(L117,Sheet2!A:A,Sheet2!B:B)</f>
        <v>29</v>
      </c>
      <c r="N117" s="1" t="s">
        <v>241</v>
      </c>
      <c r="O117" s="4" t="str">
        <f t="shared" si="1"/>
        <v>124166 : [31,30,29],</v>
      </c>
      <c r="P117" s="4" t="str">
        <f t="shared" si="2"/>
        <v>124166 : 2,</v>
      </c>
    </row>
    <row r="118">
      <c r="A118" s="1" t="s">
        <v>242</v>
      </c>
      <c r="B118" s="2">
        <v>310874.0</v>
      </c>
      <c r="C118" s="1" t="s">
        <v>153</v>
      </c>
      <c r="D118" s="1">
        <f t="array" ref="D118">xlookup(C118,Sheet3!A:A,Sheet3!B:B)</f>
        <v>2</v>
      </c>
      <c r="E118" s="1" t="s">
        <v>61</v>
      </c>
      <c r="F118" s="1">
        <f t="array" ref="F118">xlookup(E118,Sheet2!A:A,Sheet2!B:B)</f>
        <v>31</v>
      </c>
      <c r="G118" s="1" t="s">
        <v>243</v>
      </c>
      <c r="H118" s="3" t="str">
        <f t="array" ref="H118">JOIN("", SORT(MID(LOWER(G118), SEQUENCE(LEN(G118)), 1)))</f>
        <v>   ,aaaaaaaaaaddghhiilllmnnnrstty</v>
      </c>
      <c r="I118" s="1" t="s">
        <v>64</v>
      </c>
      <c r="J118" s="1">
        <f t="array" ref="J118">xlookup(I118,Sheet2!A:A,Sheet2!B:B)</f>
        <v>30</v>
      </c>
      <c r="K118" s="1" t="s">
        <v>243</v>
      </c>
      <c r="L118" s="1" t="s">
        <v>63</v>
      </c>
      <c r="M118" s="1">
        <f t="array" ref="M118">xlookup(L118,Sheet2!A:A,Sheet2!B:B)</f>
        <v>29</v>
      </c>
      <c r="N118" s="1" t="s">
        <v>243</v>
      </c>
      <c r="O118" s="4" t="str">
        <f t="shared" si="1"/>
        <v>310874 : [31,30,29],</v>
      </c>
      <c r="P118" s="4" t="str">
        <f t="shared" si="2"/>
        <v>310874 : 2,</v>
      </c>
    </row>
    <row r="119">
      <c r="A119" s="1" t="s">
        <v>244</v>
      </c>
      <c r="B119" s="2">
        <v>113775.0</v>
      </c>
      <c r="C119" s="1" t="s">
        <v>153</v>
      </c>
      <c r="D119" s="1">
        <f t="array" ref="D119">xlookup(C119,Sheet3!A:A,Sheet3!B:B)</f>
        <v>2</v>
      </c>
      <c r="E119" s="1" t="s">
        <v>32</v>
      </c>
      <c r="F119" s="1">
        <f t="array" ref="F119">xlookup(E119,Sheet2!A:A,Sheet2!B:B)</f>
        <v>11</v>
      </c>
      <c r="G119" s="1" t="s">
        <v>3</v>
      </c>
      <c r="H119" s="3" t="str">
        <f t="array" ref="H119">JOIN("", SORT(MID(LOWER(G119), SEQUENCE(LEN(G119)), 1)))</f>
        <v>an</v>
      </c>
      <c r="I119" s="1" t="s">
        <v>25</v>
      </c>
      <c r="J119" s="1">
        <f t="array" ref="J119">xlookup(I119,Sheet2!A:A,Sheet2!B:B)</f>
        <v>18</v>
      </c>
      <c r="K119" s="1" t="s">
        <v>3</v>
      </c>
      <c r="L119" s="1" t="s">
        <v>114</v>
      </c>
      <c r="M119" s="1">
        <f t="array" ref="M119">xlookup(L119,Sheet2!A:A,Sheet2!B:B)</f>
        <v>12</v>
      </c>
      <c r="N119" s="1" t="s">
        <v>3</v>
      </c>
      <c r="O119" s="4" t="str">
        <f t="shared" si="1"/>
        <v>113775 : [11,18,12],</v>
      </c>
      <c r="P119" s="4" t="str">
        <f t="shared" si="2"/>
        <v>113775 : 2,</v>
      </c>
    </row>
    <row r="120">
      <c r="A120" s="1" t="s">
        <v>245</v>
      </c>
      <c r="B120" s="2">
        <v>189124.0</v>
      </c>
      <c r="C120" s="1" t="s">
        <v>153</v>
      </c>
      <c r="D120" s="1">
        <f t="array" ref="D120">xlookup(C120,Sheet3!A:A,Sheet3!B:B)</f>
        <v>2</v>
      </c>
      <c r="E120" s="1" t="s">
        <v>2</v>
      </c>
      <c r="F120" s="1">
        <f t="array" ref="F120">xlookup(E120,Sheet2!A:A,Sheet2!B:B)</f>
        <v>25</v>
      </c>
      <c r="G120" s="1" t="s">
        <v>3</v>
      </c>
      <c r="H120" s="3" t="str">
        <f t="array" ref="H120">JOIN("", SORT(MID(LOWER(G120), SEQUENCE(LEN(G120)), 1)))</f>
        <v>an</v>
      </c>
      <c r="I120" s="1" t="s">
        <v>204</v>
      </c>
      <c r="J120" s="1">
        <f t="array" ref="J120">xlookup(I120,Sheet2!A:A,Sheet2!B:B)</f>
        <v>43</v>
      </c>
      <c r="K120" s="1" t="s">
        <v>3</v>
      </c>
      <c r="L120" s="1" t="s">
        <v>120</v>
      </c>
      <c r="M120" s="1">
        <f t="array" ref="M120">xlookup(L120,Sheet2!A:A,Sheet2!B:B)</f>
        <v>42</v>
      </c>
      <c r="N120" s="1" t="s">
        <v>3</v>
      </c>
      <c r="O120" s="4" t="str">
        <f t="shared" si="1"/>
        <v>189124 : [25,43,42],</v>
      </c>
      <c r="P120" s="4" t="str">
        <f t="shared" si="2"/>
        <v>189124 : 2,</v>
      </c>
    </row>
    <row r="121">
      <c r="A121" s="3" t="s">
        <v>246</v>
      </c>
      <c r="B121" s="5">
        <v>111838.0</v>
      </c>
      <c r="C121" s="3" t="s">
        <v>153</v>
      </c>
      <c r="D121" s="1">
        <f t="array" ref="D121">xlookup(C121,Sheet3!A:A,Sheet3!B:B)</f>
        <v>2</v>
      </c>
      <c r="E121" s="3" t="s">
        <v>74</v>
      </c>
      <c r="F121" s="1">
        <f t="array" ref="F121">xlookup(E121,Sheet2!A:A,Sheet2!B:B)</f>
        <v>50</v>
      </c>
      <c r="G121" s="3" t="s">
        <v>247</v>
      </c>
      <c r="H121" s="3" t="str">
        <f t="array" ref="H121">JOIN("", SORT(MID(LOWER(G121), SEQUENCE(LEN(G121)), 1)))</f>
        <v>   ,aaaadddeehiikknnprrsvy</v>
      </c>
      <c r="I121" s="3" t="s">
        <v>76</v>
      </c>
      <c r="J121" s="1">
        <f t="array" ref="J121">xlookup(I121,Sheet2!A:A,Sheet2!B:B)</f>
        <v>24</v>
      </c>
      <c r="K121" s="3" t="s">
        <v>247</v>
      </c>
      <c r="L121" s="3" t="s">
        <v>72</v>
      </c>
      <c r="M121" s="1">
        <f t="array" ref="M121">xlookup(L121,Sheet2!A:A,Sheet2!B:B)</f>
        <v>34</v>
      </c>
      <c r="N121" s="3" t="s">
        <v>247</v>
      </c>
      <c r="O121" s="4" t="str">
        <f t="shared" si="1"/>
        <v>111838 : [50,24,34],</v>
      </c>
      <c r="P121" s="4" t="str">
        <f t="shared" si="2"/>
        <v>111838 : 2,</v>
      </c>
    </row>
    <row r="122">
      <c r="A122" s="3" t="s">
        <v>248</v>
      </c>
      <c r="B122" s="5">
        <v>110571.0</v>
      </c>
      <c r="C122" s="3" t="s">
        <v>153</v>
      </c>
      <c r="D122" s="1">
        <f t="array" ref="D122">xlookup(C122,Sheet3!A:A,Sheet3!B:B)</f>
        <v>2</v>
      </c>
      <c r="E122" s="3" t="s">
        <v>74</v>
      </c>
      <c r="F122" s="1">
        <f t="array" ref="F122">xlookup(E122,Sheet2!A:A,Sheet2!B:B)</f>
        <v>50</v>
      </c>
      <c r="G122" s="3" t="s">
        <v>249</v>
      </c>
      <c r="H122" s="3" t="str">
        <f t="array" ref="H122">JOIN("", SORT(MID(LOWER(G122), SEQUENCE(LEN(G122)), 1)))</f>
        <v>   ,aaaaaacehhillmnnnorsuy</v>
      </c>
      <c r="I122" s="3" t="s">
        <v>76</v>
      </c>
      <c r="J122" s="1">
        <f t="array" ref="J122">xlookup(I122,Sheet2!A:A,Sheet2!B:B)</f>
        <v>24</v>
      </c>
      <c r="K122" s="3" t="s">
        <v>249</v>
      </c>
      <c r="L122" s="3" t="s">
        <v>9</v>
      </c>
      <c r="M122" s="1">
        <f t="array" ref="M122">xlookup(L122,Sheet2!A:A,Sheet2!B:B)</f>
        <v>5</v>
      </c>
      <c r="N122" s="3" t="s">
        <v>249</v>
      </c>
      <c r="O122" s="4" t="str">
        <f t="shared" si="1"/>
        <v>110571 : [50,24,5],</v>
      </c>
      <c r="P122" s="4" t="str">
        <f t="shared" si="2"/>
        <v>110571 : 2,</v>
      </c>
    </row>
    <row r="123">
      <c r="A123" s="3" t="s">
        <v>250</v>
      </c>
      <c r="B123" s="5">
        <v>193973.0</v>
      </c>
      <c r="C123" s="3" t="s">
        <v>153</v>
      </c>
      <c r="D123" s="1">
        <f t="array" ref="D123">xlookup(C123,Sheet3!A:A,Sheet3!B:B)</f>
        <v>2</v>
      </c>
      <c r="E123" s="3" t="s">
        <v>42</v>
      </c>
      <c r="F123" s="1">
        <f t="array" ref="F123">xlookup(E123,Sheet2!A:A,Sheet2!B:B)</f>
        <v>14</v>
      </c>
      <c r="G123" s="3" t="s">
        <v>3</v>
      </c>
      <c r="H123" s="3" t="str">
        <f t="array" ref="H123">JOIN("", SORT(MID(LOWER(G123), SEQUENCE(LEN(G123)), 1)))</f>
        <v>an</v>
      </c>
      <c r="I123" s="3" t="s">
        <v>212</v>
      </c>
      <c r="J123" s="1">
        <f t="array" ref="J123">xlookup(I123,Sheet2!A:A,Sheet2!B:B)</f>
        <v>2</v>
      </c>
      <c r="K123" s="3" t="s">
        <v>3</v>
      </c>
      <c r="L123" s="3" t="s">
        <v>5</v>
      </c>
      <c r="M123" s="1">
        <f t="array" ref="M123">xlookup(L123,Sheet2!A:A,Sheet2!B:B)</f>
        <v>35</v>
      </c>
      <c r="N123" s="3" t="s">
        <v>3</v>
      </c>
      <c r="O123" s="4" t="str">
        <f t="shared" si="1"/>
        <v>193973 : [14,2,35],</v>
      </c>
      <c r="P123" s="4" t="str">
        <f t="shared" si="2"/>
        <v>193973 : 2,</v>
      </c>
    </row>
    <row r="124">
      <c r="A124" s="3" t="s">
        <v>251</v>
      </c>
      <c r="B124" s="5">
        <v>136210.0</v>
      </c>
      <c r="C124" s="3" t="s">
        <v>153</v>
      </c>
      <c r="D124" s="1">
        <f t="array" ref="D124">xlookup(C124,Sheet3!A:A,Sheet3!B:B)</f>
        <v>2</v>
      </c>
      <c r="E124" s="3" t="s">
        <v>74</v>
      </c>
      <c r="F124" s="1">
        <f t="array" ref="F124">xlookup(E124,Sheet2!A:A,Sheet2!B:B)</f>
        <v>50</v>
      </c>
      <c r="G124" s="3" t="s">
        <v>252</v>
      </c>
      <c r="H124" s="3" t="str">
        <f t="array" ref="H124">JOIN("", SORT(MID(LOWER(G124), SEQUENCE(LEN(G124)), 1)))</f>
        <v>   ,aaaaaehiikkllmmnrssv</v>
      </c>
      <c r="I124" s="3" t="s">
        <v>76</v>
      </c>
      <c r="J124" s="1">
        <f t="array" ref="J124">xlookup(I124,Sheet2!A:A,Sheet2!B:B)</f>
        <v>24</v>
      </c>
      <c r="K124" s="3" t="s">
        <v>252</v>
      </c>
      <c r="L124" s="3" t="s">
        <v>125</v>
      </c>
      <c r="M124" s="1">
        <f t="array" ref="M124">xlookup(L124,Sheet2!A:A,Sheet2!B:B)</f>
        <v>19</v>
      </c>
      <c r="N124" s="3" t="s">
        <v>252</v>
      </c>
      <c r="O124" s="4" t="str">
        <f t="shared" si="1"/>
        <v>136210 : [50,24,19],</v>
      </c>
      <c r="P124" s="4" t="str">
        <f t="shared" si="2"/>
        <v>136210 : 2,</v>
      </c>
    </row>
    <row r="125">
      <c r="A125" s="3" t="s">
        <v>253</v>
      </c>
      <c r="B125" s="5">
        <v>137767.0</v>
      </c>
      <c r="C125" s="3" t="s">
        <v>153</v>
      </c>
      <c r="D125" s="1">
        <f t="array" ref="D125">xlookup(C125,Sheet3!A:A,Sheet3!B:B)</f>
        <v>2</v>
      </c>
      <c r="E125" s="3" t="s">
        <v>74</v>
      </c>
      <c r="F125" s="1">
        <f t="array" ref="F125">xlookup(E125,Sheet2!A:A,Sheet2!B:B)</f>
        <v>50</v>
      </c>
      <c r="G125" s="3" t="s">
        <v>254</v>
      </c>
      <c r="H125" s="3" t="str">
        <f t="array" ref="H125">JOIN("", SORT(MID(LOWER(G125), SEQUENCE(LEN(G125)), 1)))</f>
        <v>   ,aaaaaehiikkllmmnrssv</v>
      </c>
      <c r="I125" s="3" t="s">
        <v>76</v>
      </c>
      <c r="J125" s="1">
        <f t="array" ref="J125">xlookup(I125,Sheet2!A:A,Sheet2!B:B)</f>
        <v>24</v>
      </c>
      <c r="K125" s="3" t="s">
        <v>254</v>
      </c>
      <c r="L125" s="3" t="s">
        <v>125</v>
      </c>
      <c r="M125" s="1">
        <f t="array" ref="M125">xlookup(L125,Sheet2!A:A,Sheet2!B:B)</f>
        <v>19</v>
      </c>
      <c r="N125" s="3" t="s">
        <v>254</v>
      </c>
      <c r="O125" s="4" t="str">
        <f t="shared" si="1"/>
        <v>137767 : [50,24,19],</v>
      </c>
      <c r="P125" s="4" t="str">
        <f t="shared" si="2"/>
        <v>137767 : 2,</v>
      </c>
    </row>
    <row r="126">
      <c r="A126" s="3" t="s">
        <v>190</v>
      </c>
      <c r="B126" s="5">
        <v>180335.0</v>
      </c>
      <c r="C126" s="3" t="s">
        <v>153</v>
      </c>
      <c r="D126" s="1">
        <f t="array" ref="D126">xlookup(C126,Sheet3!A:A,Sheet3!B:B)</f>
        <v>2</v>
      </c>
      <c r="E126" s="3" t="s">
        <v>20</v>
      </c>
      <c r="F126" s="1">
        <f t="array" ref="F126">xlookup(E126,Sheet2!A:A,Sheet2!B:B)</f>
        <v>48</v>
      </c>
      <c r="G126" s="3" t="s">
        <v>255</v>
      </c>
      <c r="H126" s="3" t="str">
        <f t="array" ref="H126">JOIN("", SORT(MID(LOWER(G126), SEQUENCE(LEN(G126)), 1)))</f>
        <v>   ,aaabdeeghiijlmnnnnrwz</v>
      </c>
      <c r="I126" s="3" t="s">
        <v>26</v>
      </c>
      <c r="J126" s="1">
        <f t="array" ref="J126">xlookup(I126,Sheet2!A:A,Sheet2!B:B)</f>
        <v>7</v>
      </c>
      <c r="K126" s="3" t="s">
        <v>255</v>
      </c>
      <c r="L126" s="3" t="s">
        <v>18</v>
      </c>
      <c r="M126" s="1">
        <f t="array" ref="M126">xlookup(L126,Sheet2!A:A,Sheet2!B:B)</f>
        <v>22</v>
      </c>
      <c r="N126" s="3" t="s">
        <v>255</v>
      </c>
      <c r="O126" s="4" t="str">
        <f t="shared" si="1"/>
        <v>180335 : [48,7,22],</v>
      </c>
      <c r="P126" s="4" t="str">
        <f t="shared" si="2"/>
        <v>180335 : 2,</v>
      </c>
    </row>
    <row r="127">
      <c r="A127" s="3" t="s">
        <v>256</v>
      </c>
      <c r="B127" s="5">
        <v>109964.0</v>
      </c>
      <c r="C127" s="3" t="s">
        <v>153</v>
      </c>
      <c r="D127" s="1">
        <f t="array" ref="D127">xlookup(C127,Sheet3!A:A,Sheet3!B:B)</f>
        <v>2</v>
      </c>
      <c r="E127" s="3" t="s">
        <v>61</v>
      </c>
      <c r="F127" s="1">
        <f t="array" ref="F127">xlookup(E127,Sheet2!A:A,Sheet2!B:B)</f>
        <v>31</v>
      </c>
      <c r="G127" s="3" t="s">
        <v>3</v>
      </c>
      <c r="H127" s="3" t="str">
        <f t="array" ref="H127">JOIN("", SORT(MID(LOWER(G127), SEQUENCE(LEN(G127)), 1)))</f>
        <v>an</v>
      </c>
      <c r="I127" s="3" t="s">
        <v>12</v>
      </c>
      <c r="J127" s="1">
        <f t="array" ref="J127">xlookup(I127,Sheet2!A:A,Sheet2!B:B)</f>
        <v>41</v>
      </c>
      <c r="K127" s="3" t="s">
        <v>3</v>
      </c>
      <c r="L127" s="3" t="s">
        <v>63</v>
      </c>
      <c r="M127" s="1">
        <f t="array" ref="M127">xlookup(L127,Sheet2!A:A,Sheet2!B:B)</f>
        <v>29</v>
      </c>
      <c r="N127" s="3" t="s">
        <v>3</v>
      </c>
      <c r="O127" s="4" t="str">
        <f t="shared" si="1"/>
        <v>109964 : [31,41,29],</v>
      </c>
      <c r="P127" s="4" t="str">
        <f t="shared" si="2"/>
        <v>109964 : 2,</v>
      </c>
    </row>
    <row r="128">
      <c r="A128" s="3" t="s">
        <v>257</v>
      </c>
      <c r="B128" s="5">
        <v>137724.0</v>
      </c>
      <c r="C128" s="3" t="s">
        <v>153</v>
      </c>
      <c r="D128" s="1">
        <f t="array" ref="D128">xlookup(C128,Sheet3!A:A,Sheet3!B:B)</f>
        <v>2</v>
      </c>
      <c r="E128" s="3" t="s">
        <v>9</v>
      </c>
      <c r="F128" s="1">
        <f t="array" ref="F128">xlookup(E128,Sheet2!A:A,Sheet2!B:B)</f>
        <v>5</v>
      </c>
      <c r="G128" s="3" t="s">
        <v>258</v>
      </c>
      <c r="H128" s="3" t="str">
        <f t="array" ref="H128">JOIN("", SORT(MID(LOWER(G128), SEQUENCE(LEN(G128)), 1)))</f>
        <v>   ,aaaaaabbdeehijjmnnnnoorrrsssuu</v>
      </c>
      <c r="I128" s="3" t="s">
        <v>7</v>
      </c>
      <c r="J128" s="1">
        <f t="array" ref="J128">xlookup(I128,Sheet2!A:A,Sheet2!B:B)</f>
        <v>15</v>
      </c>
      <c r="K128" s="3" t="s">
        <v>258</v>
      </c>
      <c r="L128" s="3" t="s">
        <v>5</v>
      </c>
      <c r="M128" s="1">
        <f t="array" ref="M128">xlookup(L128,Sheet2!A:A,Sheet2!B:B)</f>
        <v>35</v>
      </c>
      <c r="N128" s="10" t="s">
        <v>3</v>
      </c>
      <c r="O128" s="4" t="str">
        <f t="shared" si="1"/>
        <v>137724 : [5,15,35],</v>
      </c>
      <c r="P128" s="4" t="str">
        <f t="shared" si="2"/>
        <v>137724 : 2,</v>
      </c>
    </row>
    <row r="129">
      <c r="A129" s="3" t="s">
        <v>259</v>
      </c>
      <c r="B129" s="5">
        <v>315581.0</v>
      </c>
      <c r="C129" s="3" t="s">
        <v>153</v>
      </c>
      <c r="D129" s="1">
        <f t="array" ref="D129">xlookup(C129,Sheet3!A:A,Sheet3!B:B)</f>
        <v>2</v>
      </c>
      <c r="E129" s="3" t="s">
        <v>61</v>
      </c>
      <c r="F129" s="1">
        <f t="array" ref="F129">xlookup(E129,Sheet2!A:A,Sheet2!B:B)</f>
        <v>31</v>
      </c>
      <c r="G129" s="3" t="s">
        <v>3</v>
      </c>
      <c r="H129" s="3" t="str">
        <f t="array" ref="H129">JOIN("", SORT(MID(LOWER(G129), SEQUENCE(LEN(G129)), 1)))</f>
        <v>an</v>
      </c>
      <c r="I129" s="3" t="s">
        <v>64</v>
      </c>
      <c r="J129" s="1">
        <f t="array" ref="J129">xlookup(I129,Sheet2!A:A,Sheet2!B:B)</f>
        <v>30</v>
      </c>
      <c r="K129" s="3" t="s">
        <v>3</v>
      </c>
      <c r="L129" s="3" t="s">
        <v>63</v>
      </c>
      <c r="M129" s="1">
        <f t="array" ref="M129">xlookup(L129,Sheet2!A:A,Sheet2!B:B)</f>
        <v>29</v>
      </c>
      <c r="N129" s="3" t="s">
        <v>3</v>
      </c>
      <c r="O129" s="4" t="str">
        <f t="shared" si="1"/>
        <v>315581 : [31,30,29],</v>
      </c>
      <c r="P129" s="4" t="str">
        <f t="shared" si="2"/>
        <v>315581 : 2,</v>
      </c>
    </row>
    <row r="130">
      <c r="A130" s="3" t="s">
        <v>260</v>
      </c>
      <c r="B130" s="5">
        <v>326330.0</v>
      </c>
      <c r="C130" s="3" t="s">
        <v>153</v>
      </c>
      <c r="D130" s="1">
        <f t="array" ref="D130">xlookup(C130,Sheet3!A:A,Sheet3!B:B)</f>
        <v>2</v>
      </c>
      <c r="E130" s="3" t="s">
        <v>7</v>
      </c>
      <c r="F130" s="1">
        <f t="array" ref="F130">xlookup(E130,Sheet2!A:A,Sheet2!B:B)</f>
        <v>15</v>
      </c>
      <c r="G130" s="3" t="s">
        <v>261</v>
      </c>
      <c r="H130" s="3" t="str">
        <f t="array" ref="H130">JOIN("", SORT(MID(LOWER(G130), SEQUENCE(LEN(G130)), 1)))</f>
        <v>   ,aabdeeeehhiiilortttvw</v>
      </c>
      <c r="I130" s="3" t="s">
        <v>72</v>
      </c>
      <c r="J130" s="1">
        <f t="array" ref="J130">xlookup(I130,Sheet2!A:A,Sheet2!B:B)</f>
        <v>34</v>
      </c>
      <c r="K130" s="3" t="s">
        <v>261</v>
      </c>
      <c r="L130" s="3" t="s">
        <v>9</v>
      </c>
      <c r="M130" s="1">
        <f t="array" ref="M130">xlookup(L130,Sheet2!A:A,Sheet2!B:B)</f>
        <v>5</v>
      </c>
      <c r="N130" s="3" t="s">
        <v>261</v>
      </c>
      <c r="O130" s="4" t="str">
        <f t="shared" si="1"/>
        <v>326330 : [15,34,5],</v>
      </c>
      <c r="P130" s="4" t="str">
        <f t="shared" si="2"/>
        <v>326330 : 2,</v>
      </c>
    </row>
    <row r="131">
      <c r="A131" s="3" t="s">
        <v>262</v>
      </c>
      <c r="B131" s="5">
        <v>110402.0</v>
      </c>
      <c r="C131" s="3" t="s">
        <v>153</v>
      </c>
      <c r="D131" s="1">
        <f t="array" ref="D131">xlookup(C131,Sheet3!A:A,Sheet3!B:B)</f>
        <v>2</v>
      </c>
      <c r="E131" s="3" t="s">
        <v>7</v>
      </c>
      <c r="F131" s="1">
        <f t="array" ref="F131">xlookup(E131,Sheet2!A:A,Sheet2!B:B)</f>
        <v>15</v>
      </c>
      <c r="G131" s="3" t="s">
        <v>263</v>
      </c>
      <c r="H131" s="3" t="str">
        <f t="array" ref="H131">JOIN("", SORT(MID(LOWER(G131), SEQUENCE(LEN(G131)), 1)))</f>
        <v>   ,aabdeeeehhiiilortttvw</v>
      </c>
      <c r="I131" s="3" t="s">
        <v>72</v>
      </c>
      <c r="J131" s="1">
        <f t="array" ref="J131">xlookup(I131,Sheet2!A:A,Sheet2!B:B)</f>
        <v>34</v>
      </c>
      <c r="K131" s="3" t="s">
        <v>263</v>
      </c>
      <c r="L131" s="3" t="s">
        <v>9</v>
      </c>
      <c r="M131" s="1">
        <f t="array" ref="M131">xlookup(L131,Sheet2!A:A,Sheet2!B:B)</f>
        <v>5</v>
      </c>
      <c r="N131" s="3" t="s">
        <v>263</v>
      </c>
      <c r="O131" s="4" t="str">
        <f t="shared" si="1"/>
        <v>110402 : [15,34,5],</v>
      </c>
      <c r="P131" s="4" t="str">
        <f t="shared" si="2"/>
        <v>110402 : 2,</v>
      </c>
    </row>
    <row r="132">
      <c r="A132" s="3" t="s">
        <v>264</v>
      </c>
      <c r="B132" s="5">
        <v>105376.0</v>
      </c>
      <c r="C132" s="3" t="s">
        <v>153</v>
      </c>
      <c r="D132" s="1">
        <f t="array" ref="D132">xlookup(C132,Sheet3!A:A,Sheet3!B:B)</f>
        <v>2</v>
      </c>
      <c r="E132" s="3" t="s">
        <v>139</v>
      </c>
      <c r="F132" s="1">
        <f t="array" ref="F132">xlookup(E132,Sheet2!A:A,Sheet2!B:B)</f>
        <v>21</v>
      </c>
      <c r="G132" s="3" t="s">
        <v>151</v>
      </c>
      <c r="H132" s="3" t="str">
        <f t="array" ref="H132">JOIN("", SORT(MID(LOWER(G132), SEQUENCE(LEN(G132)), 1)))</f>
        <v>     ,,aaaabdegiiillmmnnnnoprrssyyyy</v>
      </c>
      <c r="I132" s="3" t="s">
        <v>34</v>
      </c>
      <c r="J132" s="1">
        <f t="array" ref="J132">xlookup(I132,Sheet2!A:A,Sheet2!B:B)</f>
        <v>8</v>
      </c>
      <c r="K132" s="3" t="s">
        <v>151</v>
      </c>
      <c r="L132" s="3" t="s">
        <v>26</v>
      </c>
      <c r="M132" s="1">
        <f t="array" ref="M132">xlookup(L132,Sheet2!A:A,Sheet2!B:B)</f>
        <v>7</v>
      </c>
      <c r="N132" s="3" t="s">
        <v>151</v>
      </c>
      <c r="O132" s="4" t="str">
        <f t="shared" si="1"/>
        <v>105376 : [21,8,7],</v>
      </c>
      <c r="P132" s="4" t="str">
        <f t="shared" si="2"/>
        <v>105376 : 2,</v>
      </c>
    </row>
    <row r="133">
      <c r="A133" s="3" t="s">
        <v>265</v>
      </c>
      <c r="B133" s="5">
        <v>110313.0</v>
      </c>
      <c r="C133" s="3" t="s">
        <v>153</v>
      </c>
      <c r="D133" s="1">
        <f t="array" ref="D133">xlookup(C133,Sheet3!A:A,Sheet3!B:B)</f>
        <v>2</v>
      </c>
      <c r="E133" s="3" t="s">
        <v>7</v>
      </c>
      <c r="F133" s="1">
        <f t="array" ref="F133">xlookup(E133,Sheet2!A:A,Sheet2!B:B)</f>
        <v>15</v>
      </c>
      <c r="G133" s="3" t="s">
        <v>266</v>
      </c>
      <c r="H133" s="3" t="str">
        <f t="array" ref="H133">JOIN("", SORT(MID(LOWER(G133), SEQUENCE(LEN(G133)), 1)))</f>
        <v>   ,aaabcccceeghhiijkklnnrstuyz</v>
      </c>
      <c r="I133" s="3" t="s">
        <v>30</v>
      </c>
      <c r="J133" s="1">
        <f t="array" ref="J133">xlookup(I133,Sheet2!A:A,Sheet2!B:B)</f>
        <v>13</v>
      </c>
      <c r="K133" s="3" t="s">
        <v>266</v>
      </c>
      <c r="L133" s="3" t="s">
        <v>74</v>
      </c>
      <c r="M133" s="1">
        <f t="array" ref="M133">xlookup(L133,Sheet2!A:A,Sheet2!B:B)</f>
        <v>50</v>
      </c>
      <c r="N133" s="3" t="s">
        <v>266</v>
      </c>
      <c r="O133" s="4" t="str">
        <f t="shared" si="1"/>
        <v>110313 : [15,13,50],</v>
      </c>
      <c r="P133" s="4" t="str">
        <f t="shared" si="2"/>
        <v>110313 : 2,</v>
      </c>
    </row>
    <row r="134">
      <c r="A134" s="3" t="s">
        <v>267</v>
      </c>
      <c r="B134" s="5">
        <v>112303.0</v>
      </c>
      <c r="C134" s="3" t="s">
        <v>153</v>
      </c>
      <c r="D134" s="1">
        <f t="array" ref="D134">xlookup(C134,Sheet3!A:A,Sheet3!B:B)</f>
        <v>2</v>
      </c>
      <c r="E134" s="3" t="s">
        <v>7</v>
      </c>
      <c r="F134" s="1">
        <f t="array" ref="F134">xlookup(E134,Sheet2!A:A,Sheet2!B:B)</f>
        <v>15</v>
      </c>
      <c r="G134" s="3" t="s">
        <v>268</v>
      </c>
      <c r="H134" s="3" t="str">
        <f t="array" ref="H134">JOIN("", SORT(MID(LOWER(G134), SEQUENCE(LEN(G134)), 1)))</f>
        <v>     ,aabccceeghhhiijklnnnorstuyz</v>
      </c>
      <c r="I134" s="3" t="s">
        <v>30</v>
      </c>
      <c r="J134" s="1">
        <f t="array" ref="J134">xlookup(I134,Sheet2!A:A,Sheet2!B:B)</f>
        <v>13</v>
      </c>
      <c r="K134" s="3" t="s">
        <v>268</v>
      </c>
      <c r="L134" s="3" t="s">
        <v>74</v>
      </c>
      <c r="M134" s="1">
        <f t="array" ref="M134">xlookup(L134,Sheet2!A:A,Sheet2!B:B)</f>
        <v>50</v>
      </c>
      <c r="N134" s="3" t="s">
        <v>268</v>
      </c>
      <c r="O134" s="4" t="str">
        <f t="shared" si="1"/>
        <v>112303 : [15,13,50],</v>
      </c>
      <c r="P134" s="4" t="str">
        <f t="shared" si="2"/>
        <v>112303 : 2,</v>
      </c>
    </row>
    <row r="135">
      <c r="A135" s="3" t="s">
        <v>269</v>
      </c>
      <c r="B135" s="5">
        <v>148480.0</v>
      </c>
      <c r="C135" s="3" t="s">
        <v>153</v>
      </c>
      <c r="D135" s="1">
        <f t="array" ref="D135">xlookup(C135,Sheet3!A:A,Sheet3!B:B)</f>
        <v>2</v>
      </c>
      <c r="E135" s="3" t="s">
        <v>96</v>
      </c>
      <c r="F135" s="1">
        <f t="array" ref="F135">xlookup(E135,Sheet2!A:A,Sheet2!B:B)</f>
        <v>47</v>
      </c>
      <c r="G135" s="3" t="s">
        <v>270</v>
      </c>
      <c r="H135" s="3" t="str">
        <f t="array" ref="H135">JOIN("", SORT(MID(LOWER(G135), SEQUENCE(LEN(G135)), 1)))</f>
        <v>   ,aacdeehiikmnnnprrsstu</v>
      </c>
      <c r="I135" s="3" t="s">
        <v>125</v>
      </c>
      <c r="J135" s="1">
        <f t="array" ref="J135">xlookup(I135,Sheet2!A:A,Sheet2!B:B)</f>
        <v>19</v>
      </c>
      <c r="K135" s="3" t="s">
        <v>270</v>
      </c>
      <c r="L135" s="3" t="s">
        <v>72</v>
      </c>
      <c r="M135" s="1">
        <f t="array" ref="M135">xlookup(L135,Sheet2!A:A,Sheet2!B:B)</f>
        <v>34</v>
      </c>
      <c r="N135" s="3" t="s">
        <v>270</v>
      </c>
      <c r="O135" s="4" t="str">
        <f t="shared" si="1"/>
        <v>148480 : [47,19,34],</v>
      </c>
      <c r="P135" s="4" t="str">
        <f t="shared" si="2"/>
        <v>148480 : 2,</v>
      </c>
    </row>
    <row r="136">
      <c r="A136" s="3" t="s">
        <v>271</v>
      </c>
      <c r="B136" s="5">
        <v>136054.0</v>
      </c>
      <c r="C136" s="3" t="s">
        <v>153</v>
      </c>
      <c r="D136" s="1">
        <f t="array" ref="D136">xlookup(C136,Sheet3!A:A,Sheet3!B:B)</f>
        <v>2</v>
      </c>
      <c r="E136" s="3" t="s">
        <v>96</v>
      </c>
      <c r="F136" s="1">
        <f t="array" ref="F136">xlookup(E136,Sheet2!A:A,Sheet2!B:B)</f>
        <v>47</v>
      </c>
      <c r="G136" s="3" t="s">
        <v>272</v>
      </c>
      <c r="H136" s="3" t="str">
        <f t="array" ref="H136">JOIN("", SORT(MID(LOWER(G136), SEQUENCE(LEN(G136)), 1)))</f>
        <v>   ,aacdeehiikmnnnprrsstu</v>
      </c>
      <c r="I136" s="3" t="s">
        <v>72</v>
      </c>
      <c r="J136" s="1">
        <f t="array" ref="J136">xlookup(I136,Sheet2!A:A,Sheet2!B:B)</f>
        <v>34</v>
      </c>
      <c r="K136" s="3" t="s">
        <v>272</v>
      </c>
      <c r="L136" s="3" t="s">
        <v>125</v>
      </c>
      <c r="M136" s="1">
        <f t="array" ref="M136">xlookup(L136,Sheet2!A:A,Sheet2!B:B)</f>
        <v>19</v>
      </c>
      <c r="N136" s="3" t="s">
        <v>272</v>
      </c>
      <c r="O136" s="4" t="str">
        <f t="shared" si="1"/>
        <v>136054 : [47,34,19],</v>
      </c>
      <c r="P136" s="4" t="str">
        <f t="shared" si="2"/>
        <v>136054 : 2,</v>
      </c>
    </row>
    <row r="137">
      <c r="A137" s="3" t="s">
        <v>273</v>
      </c>
      <c r="B137" s="5">
        <v>110181.0</v>
      </c>
      <c r="C137" s="3" t="s">
        <v>153</v>
      </c>
      <c r="D137" s="1">
        <f t="array" ref="D137">xlookup(C137,Sheet3!A:A,Sheet3!B:B)</f>
        <v>2</v>
      </c>
      <c r="E137" s="3" t="s">
        <v>96</v>
      </c>
      <c r="F137" s="1">
        <f t="array" ref="F137">xlookup(E137,Sheet2!A:A,Sheet2!B:B)</f>
        <v>47</v>
      </c>
      <c r="G137" s="3" t="s">
        <v>274</v>
      </c>
      <c r="H137" s="3" t="str">
        <f t="array" ref="H137">JOIN("", SORT(MID(LOWER(G137), SEQUENCE(LEN(G137)), 1)))</f>
        <v>    ,aaaaaabcdeghimprrsuuuyzz</v>
      </c>
      <c r="I137" s="3" t="s">
        <v>72</v>
      </c>
      <c r="J137" s="1">
        <f t="array" ref="J137">xlookup(I137,Sheet2!A:A,Sheet2!B:B)</f>
        <v>34</v>
      </c>
      <c r="K137" s="3" t="s">
        <v>275</v>
      </c>
      <c r="L137" s="3" t="s">
        <v>74</v>
      </c>
      <c r="M137" s="1">
        <f t="array" ref="M137">xlookup(L137,Sheet2!A:A,Sheet2!B:B)</f>
        <v>50</v>
      </c>
      <c r="N137" s="3" t="s">
        <v>275</v>
      </c>
      <c r="O137" s="4" t="str">
        <f t="shared" si="1"/>
        <v>110181 : [47,34,50],</v>
      </c>
      <c r="P137" s="4" t="str">
        <f t="shared" si="2"/>
        <v>110181 : 2,</v>
      </c>
    </row>
    <row r="138">
      <c r="A138" s="3" t="s">
        <v>276</v>
      </c>
      <c r="B138" s="5">
        <v>111970.0</v>
      </c>
      <c r="C138" s="3" t="s">
        <v>153</v>
      </c>
      <c r="D138" s="1">
        <f t="array" ref="D138">xlookup(C138,Sheet3!A:A,Sheet3!B:B)</f>
        <v>2</v>
      </c>
      <c r="E138" s="3" t="s">
        <v>96</v>
      </c>
      <c r="F138" s="1">
        <f t="array" ref="F138">xlookup(E138,Sheet2!A:A,Sheet2!B:B)</f>
        <v>47</v>
      </c>
      <c r="G138" s="3" t="s">
        <v>274</v>
      </c>
      <c r="H138" s="3" t="str">
        <f t="array" ref="H138">JOIN("", SORT(MID(LOWER(G138), SEQUENCE(LEN(G138)), 1)))</f>
        <v>    ,aaaaaabcdeghimprrsuuuyzz</v>
      </c>
      <c r="I138" s="3" t="s">
        <v>72</v>
      </c>
      <c r="J138" s="1">
        <f t="array" ref="J138">xlookup(I138,Sheet2!A:A,Sheet2!B:B)</f>
        <v>34</v>
      </c>
      <c r="K138" s="3" t="s">
        <v>275</v>
      </c>
      <c r="L138" s="3" t="s">
        <v>74</v>
      </c>
      <c r="M138" s="1">
        <f t="array" ref="M138">xlookup(L138,Sheet2!A:A,Sheet2!B:B)</f>
        <v>50</v>
      </c>
      <c r="N138" s="3" t="s">
        <v>277</v>
      </c>
      <c r="O138" s="4" t="str">
        <f t="shared" si="1"/>
        <v>111970 : [47,34,50],</v>
      </c>
      <c r="P138" s="4" t="str">
        <f t="shared" si="2"/>
        <v>111970 : 2,</v>
      </c>
    </row>
    <row r="139">
      <c r="A139" s="3" t="s">
        <v>278</v>
      </c>
      <c r="B139" s="5">
        <v>118257.0</v>
      </c>
      <c r="C139" s="3" t="s">
        <v>153</v>
      </c>
      <c r="D139" s="1">
        <f t="array" ref="D139">xlookup(C139,Sheet3!A:A,Sheet3!B:B)</f>
        <v>2</v>
      </c>
      <c r="E139" s="3" t="s">
        <v>207</v>
      </c>
      <c r="F139" s="1">
        <f t="array" ref="F139">xlookup(E139,Sheet2!A:A,Sheet2!B:B)</f>
        <v>1</v>
      </c>
      <c r="G139" s="10" t="s">
        <v>3</v>
      </c>
      <c r="H139" s="3" t="str">
        <f t="array" ref="H139">JOIN("", SORT(MID(LOWER(G139), SEQUENCE(LEN(G139)), 1)))</f>
        <v>an</v>
      </c>
      <c r="I139" s="3" t="s">
        <v>2</v>
      </c>
      <c r="J139" s="1">
        <f t="array" ref="J139">xlookup(I139,Sheet2!A:A,Sheet2!B:B)</f>
        <v>25</v>
      </c>
      <c r="K139" s="10" t="s">
        <v>3</v>
      </c>
      <c r="L139" s="3" t="s">
        <v>167</v>
      </c>
      <c r="M139" s="1">
        <f t="array" ref="M139">xlookup(L139,Sheet2!A:A,Sheet2!B:B)</f>
        <v>33</v>
      </c>
      <c r="N139" s="10" t="s">
        <v>3</v>
      </c>
      <c r="O139" s="4" t="str">
        <f t="shared" si="1"/>
        <v>118257 : [1,25,33],</v>
      </c>
      <c r="P139" s="4" t="str">
        <f t="shared" si="2"/>
        <v>118257 : 2,</v>
      </c>
    </row>
    <row r="140">
      <c r="A140" s="3" t="s">
        <v>279</v>
      </c>
      <c r="B140" s="5">
        <v>189852.0</v>
      </c>
      <c r="C140" s="3" t="s">
        <v>153</v>
      </c>
      <c r="D140" s="1">
        <f t="array" ref="D140">xlookup(C140,Sheet3!A:A,Sheet3!B:B)</f>
        <v>2</v>
      </c>
      <c r="E140" s="3" t="s">
        <v>111</v>
      </c>
      <c r="F140" s="1">
        <f t="array" ref="F140">xlookup(E140,Sheet2!A:A,Sheet2!B:B)</f>
        <v>28</v>
      </c>
      <c r="G140" s="3" t="s">
        <v>280</v>
      </c>
      <c r="H140" s="3" t="str">
        <f t="array" ref="H140">JOIN("", SORT(MID(LOWER(G140), SEQUENCE(LEN(G140)), 1)))</f>
        <v>     ,,aaaacggghhhiiiiiiklmnnoooprrrrrsstuy</v>
      </c>
      <c r="I140" s="3" t="s">
        <v>109</v>
      </c>
      <c r="J140" s="1">
        <f t="array" ref="J140">xlookup(I140,Sheet2!A:A,Sheet2!B:B)</f>
        <v>49</v>
      </c>
      <c r="K140" s="3" t="s">
        <v>280</v>
      </c>
      <c r="L140" s="3" t="s">
        <v>47</v>
      </c>
      <c r="M140" s="1">
        <f t="array" ref="M140">xlookup(L140,Sheet2!A:A,Sheet2!B:B)</f>
        <v>27</v>
      </c>
      <c r="N140" s="3" t="s">
        <v>280</v>
      </c>
      <c r="O140" s="4" t="str">
        <f t="shared" si="1"/>
        <v>189852 : [28,49,27],</v>
      </c>
      <c r="P140" s="4" t="str">
        <f t="shared" si="2"/>
        <v>189852 : 2,</v>
      </c>
    </row>
    <row r="141">
      <c r="A141" s="1" t="s">
        <v>281</v>
      </c>
      <c r="B141" s="2">
        <v>142597.0</v>
      </c>
      <c r="C141" s="1" t="s">
        <v>282</v>
      </c>
      <c r="D141" s="1">
        <f t="array" ref="D141">xlookup(C141,Sheet3!A:A,Sheet3!B:B)</f>
        <v>1</v>
      </c>
      <c r="E141" s="1" t="s">
        <v>2</v>
      </c>
      <c r="F141" s="1">
        <f t="array" ref="F141">xlookup(E141,Sheet2!A:A,Sheet2!B:B)</f>
        <v>25</v>
      </c>
      <c r="G141" s="1" t="s">
        <v>3</v>
      </c>
      <c r="H141" s="3" t="str">
        <f t="array" ref="H141">JOIN("", SORT(MID(LOWER(G141), SEQUENCE(LEN(G141)), 1)))</f>
        <v>an</v>
      </c>
      <c r="I141" s="1" t="s">
        <v>120</v>
      </c>
      <c r="J141" s="1">
        <f t="array" ref="J141">xlookup(I141,Sheet2!A:A,Sheet2!B:B)</f>
        <v>42</v>
      </c>
      <c r="K141" s="1" t="s">
        <v>3</v>
      </c>
      <c r="L141" s="1" t="s">
        <v>105</v>
      </c>
      <c r="M141" s="1">
        <f t="array" ref="M141">xlookup(L141,Sheet2!A:A,Sheet2!B:B)</f>
        <v>26</v>
      </c>
      <c r="N141" s="1" t="s">
        <v>3</v>
      </c>
      <c r="O141" s="4" t="str">
        <f t="shared" si="1"/>
        <v>142597 : [25,42,26],</v>
      </c>
      <c r="P141" s="4" t="str">
        <f t="shared" si="2"/>
        <v>142597 : 1,</v>
      </c>
    </row>
    <row r="142">
      <c r="A142" s="1" t="s">
        <v>283</v>
      </c>
      <c r="B142" s="2">
        <v>153462.0</v>
      </c>
      <c r="C142" s="1" t="s">
        <v>282</v>
      </c>
      <c r="D142" s="1">
        <f t="array" ref="D142">xlookup(C142,Sheet3!A:A,Sheet3!B:B)</f>
        <v>1</v>
      </c>
      <c r="E142" s="1" t="s">
        <v>13</v>
      </c>
      <c r="F142" s="1">
        <f t="array" ref="F142">xlookup(E142,Sheet2!A:A,Sheet2!B:B)</f>
        <v>17</v>
      </c>
      <c r="G142" s="1" t="s">
        <v>3</v>
      </c>
      <c r="H142" s="3" t="str">
        <f t="array" ref="H142">JOIN("", SORT(MID(LOWER(G142), SEQUENCE(LEN(G142)), 1)))</f>
        <v>an</v>
      </c>
      <c r="I142" s="1" t="s">
        <v>167</v>
      </c>
      <c r="J142" s="1">
        <f t="array" ref="J142">xlookup(I142,Sheet2!A:A,Sheet2!B:B)</f>
        <v>33</v>
      </c>
      <c r="K142" s="1" t="s">
        <v>3</v>
      </c>
      <c r="L142" s="1" t="s">
        <v>38</v>
      </c>
      <c r="M142" s="1">
        <f t="array" ref="M142">xlookup(L142,Sheet2!A:A,Sheet2!B:B)</f>
        <v>6</v>
      </c>
      <c r="N142" s="1" t="s">
        <v>3</v>
      </c>
      <c r="O142" s="4" t="str">
        <f t="shared" si="1"/>
        <v>153462 : [17,33,6],</v>
      </c>
      <c r="P142" s="4" t="str">
        <f t="shared" si="2"/>
        <v>153462 : 1,</v>
      </c>
    </row>
    <row r="143">
      <c r="A143" s="1" t="s">
        <v>284</v>
      </c>
      <c r="B143" s="2">
        <v>182837.0</v>
      </c>
      <c r="C143" s="1" t="s">
        <v>282</v>
      </c>
      <c r="D143" s="1">
        <f t="array" ref="D143">xlookup(C143,Sheet3!A:A,Sheet3!B:B)</f>
        <v>1</v>
      </c>
      <c r="E143" s="1" t="s">
        <v>61</v>
      </c>
      <c r="F143" s="1">
        <f t="array" ref="F143">xlookup(E143,Sheet2!A:A,Sheet2!B:B)</f>
        <v>31</v>
      </c>
      <c r="G143" s="1" t="s">
        <v>59</v>
      </c>
      <c r="H143" s="3" t="str">
        <f t="array" ref="H143">JOIN("", SORT(MID(LOWER(G143), SEQUENCE(LEN(G143)), 1)))</f>
        <v> acehnnuyy</v>
      </c>
      <c r="I143" s="1" t="s">
        <v>63</v>
      </c>
      <c r="J143" s="1">
        <f t="array" ref="J143">xlookup(I143,Sheet2!A:A,Sheet2!B:B)</f>
        <v>29</v>
      </c>
      <c r="K143" s="1" t="s">
        <v>59</v>
      </c>
      <c r="L143" s="1" t="s">
        <v>64</v>
      </c>
      <c r="M143" s="1">
        <f t="array" ref="M143">xlookup(L143,Sheet2!A:A,Sheet2!B:B)</f>
        <v>30</v>
      </c>
      <c r="N143" s="1" t="s">
        <v>59</v>
      </c>
      <c r="O143" s="4" t="str">
        <f t="shared" si="1"/>
        <v>182837 : [31,29,30],</v>
      </c>
      <c r="P143" s="4" t="str">
        <f t="shared" si="2"/>
        <v>182837 : 1,</v>
      </c>
    </row>
    <row r="144">
      <c r="A144" s="1" t="s">
        <v>285</v>
      </c>
      <c r="B144" s="2">
        <v>312060.0</v>
      </c>
      <c r="C144" s="1" t="s">
        <v>282</v>
      </c>
      <c r="D144" s="1">
        <f t="array" ref="D144">xlookup(C144,Sheet3!A:A,Sheet3!B:B)</f>
        <v>1</v>
      </c>
      <c r="E144" s="1" t="s">
        <v>124</v>
      </c>
      <c r="F144" s="1">
        <f t="array" ref="F144">xlookup(E144,Sheet2!A:A,Sheet2!B:B)</f>
        <v>46</v>
      </c>
      <c r="G144" s="1" t="s">
        <v>3</v>
      </c>
      <c r="H144" s="3" t="str">
        <f t="array" ref="H144">JOIN("", SORT(MID(LOWER(G144), SEQUENCE(LEN(G144)), 1)))</f>
        <v>an</v>
      </c>
      <c r="I144" s="1" t="s">
        <v>204</v>
      </c>
      <c r="J144" s="1">
        <f t="array" ref="J144">xlookup(I144,Sheet2!A:A,Sheet2!B:B)</f>
        <v>43</v>
      </c>
      <c r="K144" s="1" t="s">
        <v>3</v>
      </c>
      <c r="L144" s="1" t="s">
        <v>5</v>
      </c>
      <c r="M144" s="1">
        <f t="array" ref="M144">xlookup(L144,Sheet2!A:A,Sheet2!B:B)</f>
        <v>35</v>
      </c>
      <c r="N144" s="1" t="s">
        <v>3</v>
      </c>
      <c r="O144" s="4" t="str">
        <f t="shared" si="1"/>
        <v>312060 : [46,43,35],</v>
      </c>
      <c r="P144" s="4" t="str">
        <f t="shared" si="2"/>
        <v>312060 : 1,</v>
      </c>
    </row>
    <row r="145">
      <c r="A145" s="1" t="s">
        <v>286</v>
      </c>
      <c r="B145" s="2">
        <v>138050.0</v>
      </c>
      <c r="C145" s="1" t="s">
        <v>282</v>
      </c>
      <c r="D145" s="1">
        <f t="array" ref="D145">xlookup(C145,Sheet3!A:A,Sheet3!B:B)</f>
        <v>1</v>
      </c>
      <c r="E145" s="1" t="s">
        <v>125</v>
      </c>
      <c r="F145" s="1">
        <f t="array" ref="F145">xlookup(E145,Sheet2!A:A,Sheet2!B:B)</f>
        <v>19</v>
      </c>
      <c r="G145" s="1" t="s">
        <v>287</v>
      </c>
      <c r="H145" s="3" t="str">
        <f t="array" ref="H145">JOIN("", SORT(MID(LOWER(G145), SEQUENCE(LEN(G145)), 1)))</f>
        <v>   ,aaaaabdddeeghhhklnnnprrrsstuy</v>
      </c>
      <c r="I145" s="1" t="s">
        <v>16</v>
      </c>
      <c r="J145" s="1">
        <f t="array" ref="J145">xlookup(I145,Sheet2!A:A,Sheet2!B:B)</f>
        <v>3</v>
      </c>
      <c r="K145" s="1" t="s">
        <v>288</v>
      </c>
      <c r="L145" s="1" t="s">
        <v>5</v>
      </c>
      <c r="M145" s="1">
        <f t="array" ref="M145">xlookup(L145,Sheet2!A:A,Sheet2!B:B)</f>
        <v>35</v>
      </c>
      <c r="N145" s="1" t="s">
        <v>288</v>
      </c>
      <c r="O145" s="4" t="str">
        <f t="shared" si="1"/>
        <v>138050 : [19,3,35],</v>
      </c>
      <c r="P145" s="4" t="str">
        <f t="shared" si="2"/>
        <v>138050 : 1,</v>
      </c>
    </row>
    <row r="146">
      <c r="A146" s="1" t="s">
        <v>289</v>
      </c>
      <c r="B146" s="2">
        <v>138142.0</v>
      </c>
      <c r="C146" s="1" t="s">
        <v>282</v>
      </c>
      <c r="D146" s="1">
        <f t="array" ref="D146">xlookup(C146,Sheet3!A:A,Sheet3!B:B)</f>
        <v>1</v>
      </c>
      <c r="E146" s="1" t="s">
        <v>125</v>
      </c>
      <c r="F146" s="1">
        <f t="array" ref="F146">xlookup(E146,Sheet2!A:A,Sheet2!B:B)</f>
        <v>19</v>
      </c>
      <c r="G146" s="1" t="s">
        <v>287</v>
      </c>
      <c r="H146" s="3" t="str">
        <f t="array" ref="H146">JOIN("", SORT(MID(LOWER(G146), SEQUENCE(LEN(G146)), 1)))</f>
        <v>   ,aaaaabdddeeghhhklnnnprrrsstuy</v>
      </c>
      <c r="I146" s="1" t="s">
        <v>16</v>
      </c>
      <c r="J146" s="1">
        <f t="array" ref="J146">xlookup(I146,Sheet2!A:A,Sheet2!B:B)</f>
        <v>3</v>
      </c>
      <c r="K146" s="1" t="s">
        <v>290</v>
      </c>
      <c r="L146" s="1" t="s">
        <v>5</v>
      </c>
      <c r="M146" s="1">
        <f t="array" ref="M146">xlookup(L146,Sheet2!A:A,Sheet2!B:B)</f>
        <v>35</v>
      </c>
      <c r="N146" s="1" t="s">
        <v>290</v>
      </c>
      <c r="O146" s="4" t="str">
        <f t="shared" si="1"/>
        <v>138142 : [19,3,35],</v>
      </c>
      <c r="P146" s="4" t="str">
        <f t="shared" si="2"/>
        <v>138142 : 1,</v>
      </c>
    </row>
    <row r="147">
      <c r="A147" s="1" t="s">
        <v>291</v>
      </c>
      <c r="B147" s="2">
        <v>137864.0</v>
      </c>
      <c r="C147" s="1" t="s">
        <v>282</v>
      </c>
      <c r="D147" s="1">
        <f t="array" ref="D147">xlookup(C147,Sheet3!A:A,Sheet3!B:B)</f>
        <v>1</v>
      </c>
      <c r="E147" s="1" t="s">
        <v>74</v>
      </c>
      <c r="F147" s="1">
        <f t="array" ref="F147">xlookup(E147,Sheet2!A:A,Sheet2!B:B)</f>
        <v>50</v>
      </c>
      <c r="G147" s="1" t="s">
        <v>292</v>
      </c>
      <c r="H147" s="3" t="str">
        <f t="array" ref="H147">JOIN("", SORT(MID(LOWER(G147), SEQUENCE(LEN(G147)), 1)))</f>
        <v>   ,aaaaaeghhiknnnnrsstuuvvv</v>
      </c>
      <c r="I147" s="1" t="s">
        <v>10</v>
      </c>
      <c r="J147" s="1">
        <f t="array" ref="J147">xlookup(I147,Sheet2!A:A,Sheet2!B:B)</f>
        <v>9</v>
      </c>
      <c r="K147" s="1" t="s">
        <v>292</v>
      </c>
      <c r="L147" s="1" t="s">
        <v>125</v>
      </c>
      <c r="M147" s="1">
        <f t="array" ref="M147">xlookup(L147,Sheet2!A:A,Sheet2!B:B)</f>
        <v>19</v>
      </c>
      <c r="N147" s="1" t="s">
        <v>292</v>
      </c>
      <c r="O147" s="4" t="str">
        <f t="shared" si="1"/>
        <v>137864 : [50,9,19],</v>
      </c>
      <c r="P147" s="4" t="str">
        <f t="shared" si="2"/>
        <v>137864 : 1,</v>
      </c>
    </row>
    <row r="148">
      <c r="A148" s="1" t="s">
        <v>293</v>
      </c>
      <c r="B148" s="2">
        <v>136735.0</v>
      </c>
      <c r="C148" s="1" t="s">
        <v>282</v>
      </c>
      <c r="D148" s="1">
        <f t="array" ref="D148">xlookup(C148,Sheet3!A:A,Sheet3!B:B)</f>
        <v>1</v>
      </c>
      <c r="E148" s="1" t="s">
        <v>74</v>
      </c>
      <c r="F148" s="1">
        <f t="array" ref="F148">xlookup(E148,Sheet2!A:A,Sheet2!B:B)</f>
        <v>50</v>
      </c>
      <c r="G148" s="1" t="s">
        <v>294</v>
      </c>
      <c r="H148" s="3" t="str">
        <f t="array" ref="H148">JOIN("", SORT(MID(LOWER(G148), SEQUENCE(LEN(G148)), 1)))</f>
        <v>   ,aaaaaeghhiknnnnrsstuuvvv</v>
      </c>
      <c r="I148" s="1" t="s">
        <v>10</v>
      </c>
      <c r="J148" s="1">
        <f t="array" ref="J148">xlookup(I148,Sheet2!A:A,Sheet2!B:B)</f>
        <v>9</v>
      </c>
      <c r="K148" s="1" t="s">
        <v>294</v>
      </c>
      <c r="L148" s="1" t="s">
        <v>125</v>
      </c>
      <c r="M148" s="1">
        <f t="array" ref="M148">xlookup(L148,Sheet2!A:A,Sheet2!B:B)</f>
        <v>19</v>
      </c>
      <c r="N148" s="1" t="s">
        <v>294</v>
      </c>
      <c r="O148" s="4" t="str">
        <f t="shared" si="1"/>
        <v>136735 : [50,9,19],</v>
      </c>
      <c r="P148" s="4" t="str">
        <f t="shared" si="2"/>
        <v>136735 : 1,</v>
      </c>
    </row>
    <row r="149">
      <c r="A149" s="1" t="s">
        <v>295</v>
      </c>
      <c r="B149" s="2">
        <v>163774.0</v>
      </c>
      <c r="C149" s="1" t="s">
        <v>282</v>
      </c>
      <c r="D149" s="1">
        <f t="array" ref="D149">xlookup(C149,Sheet3!A:A,Sheet3!B:B)</f>
        <v>1</v>
      </c>
      <c r="E149" s="1" t="s">
        <v>64</v>
      </c>
      <c r="F149" s="1">
        <f t="array" ref="F149">xlookup(E149,Sheet2!A:A,Sheet2!B:B)</f>
        <v>30</v>
      </c>
      <c r="G149" s="1" t="s">
        <v>3</v>
      </c>
      <c r="H149" s="3" t="str">
        <f t="array" ref="H149">JOIN("", SORT(MID(LOWER(G149), SEQUENCE(LEN(G149)), 1)))</f>
        <v>an</v>
      </c>
      <c r="I149" s="1" t="s">
        <v>63</v>
      </c>
      <c r="J149" s="1">
        <f t="array" ref="J149">xlookup(I149,Sheet2!A:A,Sheet2!B:B)</f>
        <v>29</v>
      </c>
      <c r="K149" s="1" t="s">
        <v>3</v>
      </c>
      <c r="L149" s="1" t="s">
        <v>61</v>
      </c>
      <c r="M149" s="1">
        <f t="array" ref="M149">xlookup(L149,Sheet2!A:A,Sheet2!B:B)</f>
        <v>31</v>
      </c>
      <c r="N149" s="1" t="s">
        <v>3</v>
      </c>
      <c r="O149" s="4" t="str">
        <f t="shared" si="1"/>
        <v>163774 : [30,29,31],</v>
      </c>
      <c r="P149" s="4" t="str">
        <f t="shared" si="2"/>
        <v>163774 : 1,</v>
      </c>
    </row>
    <row r="150">
      <c r="A150" s="1" t="s">
        <v>296</v>
      </c>
      <c r="B150" s="2">
        <v>109687.0</v>
      </c>
      <c r="C150" s="1" t="s">
        <v>282</v>
      </c>
      <c r="D150" s="1">
        <f t="array" ref="D150">xlookup(C150,Sheet3!A:A,Sheet3!B:B)</f>
        <v>1</v>
      </c>
      <c r="E150" s="1" t="s">
        <v>72</v>
      </c>
      <c r="F150" s="1">
        <f t="array" ref="F150">xlookup(E150,Sheet2!A:A,Sheet2!B:B)</f>
        <v>34</v>
      </c>
      <c r="G150" s="1" t="s">
        <v>297</v>
      </c>
      <c r="H150" s="3" t="str">
        <f t="array" ref="H150">JOIN("", SORT(MID(LOWER(G150), SEQUENCE(LEN(G150)), 1)))</f>
        <v>   ,aaccdeeeeeeeiillllmqrrssssy</v>
      </c>
      <c r="I150" s="1" t="s">
        <v>74</v>
      </c>
      <c r="J150" s="1">
        <f t="array" ref="J150">xlookup(I150,Sheet2!A:A,Sheet2!B:B)</f>
        <v>50</v>
      </c>
      <c r="K150" s="1" t="s">
        <v>298</v>
      </c>
      <c r="L150" s="1" t="s">
        <v>9</v>
      </c>
      <c r="M150" s="1">
        <f t="array" ref="M150">xlookup(L150,Sheet2!A:A,Sheet2!B:B)</f>
        <v>5</v>
      </c>
      <c r="N150" s="1" t="s">
        <v>298</v>
      </c>
      <c r="O150" s="4" t="str">
        <f t="shared" si="1"/>
        <v>109687 : [34,50,5],</v>
      </c>
      <c r="P150" s="4" t="str">
        <f t="shared" si="2"/>
        <v>109687 : 1,</v>
      </c>
    </row>
    <row r="151">
      <c r="A151" s="3" t="s">
        <v>299</v>
      </c>
      <c r="B151" s="5">
        <v>111515.0</v>
      </c>
      <c r="C151" s="3" t="s">
        <v>282</v>
      </c>
      <c r="D151" s="1">
        <f t="array" ref="D151">xlookup(C151,Sheet3!A:A,Sheet3!B:B)</f>
        <v>1</v>
      </c>
      <c r="E151" s="3" t="s">
        <v>74</v>
      </c>
      <c r="F151" s="1">
        <f t="array" ref="F151">xlookup(E151,Sheet2!A:A,Sheet2!B:B)</f>
        <v>50</v>
      </c>
      <c r="G151" s="3" t="s">
        <v>300</v>
      </c>
      <c r="H151" s="3" t="str">
        <f t="array" ref="H151">JOIN("", SORT(MID(LOWER(G151), SEQUENCE(LEN(G151)), 1)))</f>
        <v>   ,aaaadddeehiikknnprrsvy</v>
      </c>
      <c r="I151" s="3" t="s">
        <v>76</v>
      </c>
      <c r="J151" s="1">
        <f t="array" ref="J151">xlookup(I151,Sheet2!A:A,Sheet2!B:B)</f>
        <v>24</v>
      </c>
      <c r="K151" s="3" t="s">
        <v>301</v>
      </c>
      <c r="L151" s="3" t="s">
        <v>72</v>
      </c>
      <c r="M151" s="1">
        <f t="array" ref="M151">xlookup(L151,Sheet2!A:A,Sheet2!B:B)</f>
        <v>34</v>
      </c>
      <c r="N151" s="3" t="s">
        <v>301</v>
      </c>
      <c r="O151" s="4" t="str">
        <f t="shared" si="1"/>
        <v>111515 : [50,24,34],</v>
      </c>
      <c r="P151" s="4" t="str">
        <f t="shared" si="2"/>
        <v>111515 : 1,</v>
      </c>
    </row>
    <row r="152">
      <c r="A152" s="1" t="s">
        <v>302</v>
      </c>
      <c r="B152" s="2">
        <v>125853.0</v>
      </c>
      <c r="C152" s="1" t="s">
        <v>282</v>
      </c>
      <c r="D152" s="1">
        <f t="array" ref="D152">xlookup(C152,Sheet3!A:A,Sheet3!B:B)</f>
        <v>1</v>
      </c>
      <c r="E152" s="1" t="s">
        <v>18</v>
      </c>
      <c r="F152" s="1">
        <f t="array" ref="F152">xlookup(E152,Sheet2!A:A,Sheet2!B:B)</f>
        <v>22</v>
      </c>
      <c r="G152" s="1" t="s">
        <v>303</v>
      </c>
      <c r="H152" s="3" t="str">
        <f t="array" ref="H152">JOIN("", SORT(MID(LOWER(G152), SEQUENCE(LEN(G152)), 1)))</f>
        <v>   ,aaaaaaghhiikkknnnnrrsw</v>
      </c>
      <c r="I152" s="1" t="s">
        <v>26</v>
      </c>
      <c r="J152" s="1">
        <f t="array" ref="J152">xlookup(I152,Sheet2!A:A,Sheet2!B:B)</f>
        <v>7</v>
      </c>
      <c r="K152" s="1" t="s">
        <v>303</v>
      </c>
      <c r="L152" s="1" t="s">
        <v>21</v>
      </c>
      <c r="M152" s="1">
        <f t="array" ref="M152">xlookup(L152,Sheet2!A:A,Sheet2!B:B)</f>
        <v>10</v>
      </c>
      <c r="N152" s="1" t="s">
        <v>303</v>
      </c>
      <c r="O152" s="4" t="str">
        <f t="shared" si="1"/>
        <v>125853 : [22,7,10],</v>
      </c>
      <c r="P152" s="4" t="str">
        <f t="shared" si="2"/>
        <v>125853 : 1,</v>
      </c>
    </row>
    <row r="153">
      <c r="A153" s="1" t="s">
        <v>304</v>
      </c>
      <c r="B153" s="2">
        <v>325570.0</v>
      </c>
      <c r="C153" s="1" t="s">
        <v>282</v>
      </c>
      <c r="D153" s="1">
        <f t="array" ref="D153">xlookup(C153,Sheet3!A:A,Sheet3!B:B)</f>
        <v>1</v>
      </c>
      <c r="E153" s="1" t="s">
        <v>9</v>
      </c>
      <c r="F153" s="1">
        <f t="array" ref="F153">xlookup(E153,Sheet2!A:A,Sheet2!B:B)</f>
        <v>5</v>
      </c>
      <c r="G153" s="1" t="s">
        <v>305</v>
      </c>
      <c r="H153" s="3" t="str">
        <f t="array" ref="H153">JOIN("", SORT(MID(LOWER(G153), SEQUENCE(LEN(G153)), 1)))</f>
        <v>   ,aaaaghiijlnnnopruwx</v>
      </c>
      <c r="I153" s="1" t="s">
        <v>76</v>
      </c>
      <c r="J153" s="1">
        <f t="array" ref="J153">xlookup(I153,Sheet2!A:A,Sheet2!B:B)</f>
        <v>24</v>
      </c>
      <c r="K153" s="1" t="s">
        <v>305</v>
      </c>
      <c r="L153" s="1" t="s">
        <v>10</v>
      </c>
      <c r="M153" s="1">
        <f t="array" ref="M153">xlookup(L153,Sheet2!A:A,Sheet2!B:B)</f>
        <v>9</v>
      </c>
      <c r="N153" s="1" t="s">
        <v>305</v>
      </c>
      <c r="O153" s="4" t="str">
        <f t="shared" si="1"/>
        <v>325570 : [5,24,9],</v>
      </c>
      <c r="P153" s="4" t="str">
        <f t="shared" si="2"/>
        <v>325570 : 1,</v>
      </c>
    </row>
    <row r="154">
      <c r="A154" s="1" t="s">
        <v>306</v>
      </c>
      <c r="B154" s="2">
        <v>303237.0</v>
      </c>
      <c r="C154" s="1" t="s">
        <v>282</v>
      </c>
      <c r="D154" s="1">
        <f t="array" ref="D154">xlookup(C154,Sheet3!A:A,Sheet3!B:B)</f>
        <v>1</v>
      </c>
      <c r="E154" s="1" t="s">
        <v>167</v>
      </c>
      <c r="F154" s="1">
        <f t="array" ref="F154">xlookup(E154,Sheet2!A:A,Sheet2!B:B)</f>
        <v>33</v>
      </c>
      <c r="G154" s="1" t="s">
        <v>3</v>
      </c>
      <c r="H154" s="3" t="str">
        <f t="array" ref="H154">JOIN("", SORT(MID(LOWER(G154), SEQUENCE(LEN(G154)), 1)))</f>
        <v>an</v>
      </c>
      <c r="I154" s="1" t="s">
        <v>120</v>
      </c>
      <c r="J154" s="1">
        <f t="array" ref="J154">xlookup(I154,Sheet2!A:A,Sheet2!B:B)</f>
        <v>42</v>
      </c>
      <c r="K154" s="1" t="s">
        <v>3</v>
      </c>
      <c r="L154" s="1" t="s">
        <v>13</v>
      </c>
      <c r="M154" s="1">
        <f t="array" ref="M154">xlookup(L154,Sheet2!A:A,Sheet2!B:B)</f>
        <v>17</v>
      </c>
      <c r="N154" s="1" t="s">
        <v>3</v>
      </c>
      <c r="O154" s="4" t="str">
        <f t="shared" si="1"/>
        <v>303237 : [33,42,17],</v>
      </c>
      <c r="P154" s="4" t="str">
        <f t="shared" si="2"/>
        <v>303237 : 1,</v>
      </c>
    </row>
    <row r="155">
      <c r="A155" s="3" t="s">
        <v>307</v>
      </c>
      <c r="B155" s="5">
        <v>188447.0</v>
      </c>
      <c r="C155" s="3" t="s">
        <v>282</v>
      </c>
      <c r="D155" s="1">
        <f t="array" ref="D155">xlookup(C155,Sheet3!A:A,Sheet3!B:B)</f>
        <v>1</v>
      </c>
      <c r="E155" s="3" t="s">
        <v>26</v>
      </c>
      <c r="F155" s="1">
        <f t="array" ref="F155">xlookup(E155,Sheet2!A:A,Sheet2!B:B)</f>
        <v>7</v>
      </c>
      <c r="G155" s="3" t="s">
        <v>308</v>
      </c>
      <c r="H155" s="3" t="str">
        <f t="array" ref="H155">JOIN("", SORT(MID(LOWER(G155), SEQUENCE(LEN(G155)), 1)))</f>
        <v>   ,aaaaaaabhhiiikklmnoorrsssyyz</v>
      </c>
      <c r="I155" s="3" t="s">
        <v>309</v>
      </c>
      <c r="J155" s="1">
        <f t="array" ref="J155">xlookup(I155,Sheet2!A:A,Sheet2!B:B)</f>
        <v>40</v>
      </c>
      <c r="K155" s="3" t="s">
        <v>3</v>
      </c>
      <c r="L155" s="3" t="s">
        <v>38</v>
      </c>
      <c r="M155" s="1">
        <f t="array" ref="M155">xlookup(L155,Sheet2!A:A,Sheet2!B:B)</f>
        <v>6</v>
      </c>
      <c r="N155" s="3" t="s">
        <v>3</v>
      </c>
      <c r="O155" s="4" t="str">
        <f t="shared" si="1"/>
        <v>188447 : [7,40,6],</v>
      </c>
      <c r="P155" s="4" t="str">
        <f t="shared" si="2"/>
        <v>188447 : 1,</v>
      </c>
    </row>
    <row r="156">
      <c r="A156" s="1" t="s">
        <v>310</v>
      </c>
      <c r="B156" s="2">
        <v>127679.0</v>
      </c>
      <c r="C156" s="1" t="s">
        <v>282</v>
      </c>
      <c r="D156" s="1">
        <f t="array" ref="D156">xlookup(C156,Sheet3!A:A,Sheet3!B:B)</f>
        <v>1</v>
      </c>
      <c r="E156" s="1" t="s">
        <v>25</v>
      </c>
      <c r="F156" s="1">
        <f t="array" ref="F156">xlookup(E156,Sheet2!A:A,Sheet2!B:B)</f>
        <v>18</v>
      </c>
      <c r="G156" s="1" t="s">
        <v>311</v>
      </c>
      <c r="H156" s="3" t="str">
        <f t="array" ref="H156">JOIN("", SORT(MID(LOWER(G156), SEQUENCE(LEN(G156)), 1)))</f>
        <v>      ,,aaaaaaaadeehiiiiiknnnppprrrsssuuvv</v>
      </c>
      <c r="I156" s="1" t="s">
        <v>114</v>
      </c>
      <c r="J156" s="1">
        <f t="array" ref="J156">xlookup(I156,Sheet2!A:A,Sheet2!B:B)</f>
        <v>12</v>
      </c>
      <c r="K156" s="1" t="s">
        <v>312</v>
      </c>
      <c r="L156" s="1" t="s">
        <v>18</v>
      </c>
      <c r="M156" s="1">
        <f t="array" ref="M156">xlookup(L156,Sheet2!A:A,Sheet2!B:B)</f>
        <v>22</v>
      </c>
      <c r="N156" s="1" t="s">
        <v>312</v>
      </c>
      <c r="O156" s="4" t="str">
        <f t="shared" si="1"/>
        <v>127679 : [18,12,22],</v>
      </c>
      <c r="P156" s="4" t="str">
        <f t="shared" si="2"/>
        <v>127679 : 1,</v>
      </c>
    </row>
    <row r="157">
      <c r="A157" s="1" t="s">
        <v>313</v>
      </c>
      <c r="B157" s="2">
        <v>187126.0</v>
      </c>
      <c r="C157" s="1" t="s">
        <v>282</v>
      </c>
      <c r="D157" s="1">
        <f t="array" ref="D157">xlookup(C157,Sheet3!A:A,Sheet3!B:B)</f>
        <v>1</v>
      </c>
      <c r="E157" s="1" t="s">
        <v>25</v>
      </c>
      <c r="F157" s="1">
        <f t="array" ref="F157">xlookup(E157,Sheet2!A:A,Sheet2!B:B)</f>
        <v>18</v>
      </c>
      <c r="G157" s="1" t="s">
        <v>314</v>
      </c>
      <c r="H157" s="3" t="str">
        <f t="array" ref="H157">JOIN("", SORT(MID(LOWER(G157), SEQUENCE(LEN(G157)), 1)))</f>
        <v>     ,,aaaaaaaadeehiiiiiknnnppprrrsssuuvv</v>
      </c>
      <c r="I157" s="1" t="s">
        <v>114</v>
      </c>
      <c r="J157" s="1">
        <f t="array" ref="J157">xlookup(I157,Sheet2!A:A,Sheet2!B:B)</f>
        <v>12</v>
      </c>
      <c r="K157" s="1" t="s">
        <v>314</v>
      </c>
      <c r="L157" s="1" t="s">
        <v>18</v>
      </c>
      <c r="M157" s="1">
        <f t="array" ref="M157">xlookup(L157,Sheet2!A:A,Sheet2!B:B)</f>
        <v>22</v>
      </c>
      <c r="N157" s="1" t="s">
        <v>314</v>
      </c>
      <c r="O157" s="4" t="str">
        <f t="shared" si="1"/>
        <v>187126 : [18,12,22],</v>
      </c>
      <c r="P157" s="4" t="str">
        <f t="shared" si="2"/>
        <v>187126 : 1,</v>
      </c>
    </row>
    <row r="158">
      <c r="A158" s="1" t="s">
        <v>315</v>
      </c>
      <c r="B158" s="2">
        <v>315002.0</v>
      </c>
      <c r="C158" s="1" t="s">
        <v>282</v>
      </c>
      <c r="D158" s="1">
        <f t="array" ref="D158">xlookup(C158,Sheet3!A:A,Sheet3!B:B)</f>
        <v>1</v>
      </c>
      <c r="E158" s="1" t="s">
        <v>76</v>
      </c>
      <c r="F158" s="1">
        <f t="array" ref="F158">xlookup(E158,Sheet2!A:A,Sheet2!B:B)</f>
        <v>24</v>
      </c>
      <c r="G158" s="1" t="s">
        <v>316</v>
      </c>
      <c r="H158" s="3" t="str">
        <f t="array" ref="H158">JOIN("", SORT(MID(LOWER(G158), SEQUENCE(LEN(G158)), 1)))</f>
        <v>    ,aaaaaeefghiillnnnnoooopprrstty</v>
      </c>
      <c r="I158" s="1" t="s">
        <v>74</v>
      </c>
      <c r="J158" s="1">
        <f t="array" ref="J158">xlookup(I158,Sheet2!A:A,Sheet2!B:B)</f>
        <v>50</v>
      </c>
      <c r="K158" s="1" t="s">
        <v>316</v>
      </c>
      <c r="L158" s="1" t="s">
        <v>125</v>
      </c>
      <c r="M158" s="1">
        <f t="array" ref="M158">xlookup(L158,Sheet2!A:A,Sheet2!B:B)</f>
        <v>19</v>
      </c>
      <c r="N158" s="1" t="s">
        <v>316</v>
      </c>
      <c r="O158" s="4" t="str">
        <f t="shared" si="1"/>
        <v>315002 : [24,50,19],</v>
      </c>
      <c r="P158" s="4" t="str">
        <f t="shared" si="2"/>
        <v>315002 : 1,</v>
      </c>
    </row>
    <row r="159">
      <c r="A159" s="1" t="s">
        <v>317</v>
      </c>
      <c r="B159" s="2">
        <v>159212.0</v>
      </c>
      <c r="C159" s="1" t="s">
        <v>282</v>
      </c>
      <c r="D159" s="1">
        <f t="array" ref="D159">xlookup(C159,Sheet3!A:A,Sheet3!B:B)</f>
        <v>1</v>
      </c>
      <c r="E159" s="1" t="s">
        <v>21</v>
      </c>
      <c r="F159" s="1">
        <f t="array" ref="F159">xlookup(E159,Sheet2!A:A,Sheet2!B:B)</f>
        <v>10</v>
      </c>
      <c r="G159" s="1" t="s">
        <v>318</v>
      </c>
      <c r="H159" s="3" t="str">
        <f t="array" ref="H159">JOIN("", SORT(MID(LOWER(G159), SEQUENCE(LEN(G159)), 1)))</f>
        <v>      ,,aaaaaaddeeeehhhhhhiilmmnnnprrrrssstuvy</v>
      </c>
      <c r="I159" s="1" t="s">
        <v>20</v>
      </c>
      <c r="J159" s="1">
        <f t="array" ref="J159">xlookup(I159,Sheet2!A:A,Sheet2!B:B)</f>
        <v>48</v>
      </c>
      <c r="K159" s="1" t="s">
        <v>318</v>
      </c>
      <c r="L159" s="1" t="s">
        <v>18</v>
      </c>
      <c r="M159" s="1">
        <f t="array" ref="M159">xlookup(L159,Sheet2!A:A,Sheet2!B:B)</f>
        <v>22</v>
      </c>
      <c r="N159" s="1" t="s">
        <v>318</v>
      </c>
      <c r="O159" s="4" t="str">
        <f t="shared" si="1"/>
        <v>159212 : [10,48,22],</v>
      </c>
      <c r="P159" s="4" t="str">
        <f t="shared" si="2"/>
        <v>159212 : 1,</v>
      </c>
    </row>
    <row r="160">
      <c r="A160" s="1" t="s">
        <v>319</v>
      </c>
      <c r="B160" s="2">
        <v>124121.0</v>
      </c>
      <c r="C160" s="1" t="s">
        <v>282</v>
      </c>
      <c r="D160" s="1">
        <f t="array" ref="D160">xlookup(C160,Sheet3!A:A,Sheet3!B:B)</f>
        <v>1</v>
      </c>
      <c r="E160" s="1" t="s">
        <v>21</v>
      </c>
      <c r="F160" s="1">
        <f t="array" ref="F160">xlookup(E160,Sheet2!A:A,Sheet2!B:B)</f>
        <v>10</v>
      </c>
      <c r="G160" s="1" t="s">
        <v>320</v>
      </c>
      <c r="H160" s="3" t="str">
        <f t="array" ref="H160">JOIN("", SORT(MID(LOWER(G160), SEQUENCE(LEN(G160)), 1)))</f>
        <v>      ,,aaaaaaddeeeehhhhhhiilmmnnnprrrrssstuvy</v>
      </c>
      <c r="I160" s="1" t="s">
        <v>20</v>
      </c>
      <c r="J160" s="1">
        <f t="array" ref="J160">xlookup(I160,Sheet2!A:A,Sheet2!B:B)</f>
        <v>48</v>
      </c>
      <c r="K160" s="1" t="s">
        <v>320</v>
      </c>
      <c r="L160" s="1" t="s">
        <v>18</v>
      </c>
      <c r="M160" s="1">
        <f t="array" ref="M160">xlookup(L160,Sheet2!A:A,Sheet2!B:B)</f>
        <v>22</v>
      </c>
      <c r="N160" s="1" t="s">
        <v>320</v>
      </c>
      <c r="O160" s="4" t="str">
        <f t="shared" si="1"/>
        <v>124121 : [10,48,22],</v>
      </c>
      <c r="P160" s="4" t="str">
        <f t="shared" si="2"/>
        <v>124121 : 1,</v>
      </c>
    </row>
    <row r="161">
      <c r="A161" s="1" t="s">
        <v>321</v>
      </c>
      <c r="B161" s="2">
        <v>138771.0</v>
      </c>
      <c r="C161" s="1" t="s">
        <v>282</v>
      </c>
      <c r="D161" s="1">
        <f t="array" ref="D161">xlookup(C161,Sheet3!A:A,Sheet3!B:B)</f>
        <v>1</v>
      </c>
      <c r="E161" s="1" t="s">
        <v>111</v>
      </c>
      <c r="F161" s="1">
        <f t="array" ref="F161">xlookup(E161,Sheet2!A:A,Sheet2!B:B)</f>
        <v>28</v>
      </c>
      <c r="G161" s="1" t="s">
        <v>322</v>
      </c>
      <c r="H161" s="3" t="str">
        <f t="array" ref="H161">JOIN("", SORT(MID(LOWER(G161), SEQUENCE(LEN(G161)), 1)))</f>
        <v>     ,,aaaaaaaaaaaddeiiiillmmmnprrrrsstvyy</v>
      </c>
      <c r="I161" s="1" t="s">
        <v>109</v>
      </c>
      <c r="J161" s="1">
        <f t="array" ref="J161">xlookup(I161,Sheet2!A:A,Sheet2!B:B)</f>
        <v>49</v>
      </c>
      <c r="K161" s="1" t="s">
        <v>322</v>
      </c>
      <c r="L161" s="1" t="s">
        <v>184</v>
      </c>
      <c r="M161" s="1">
        <f t="array" ref="M161">xlookup(L161,Sheet2!A:A,Sheet2!B:B)</f>
        <v>4</v>
      </c>
      <c r="N161" s="1" t="s">
        <v>322</v>
      </c>
      <c r="O161" s="4" t="str">
        <f t="shared" si="1"/>
        <v>138771 : [28,49,4],</v>
      </c>
      <c r="P161" s="4" t="str">
        <f t="shared" si="2"/>
        <v>138771 : 1,</v>
      </c>
    </row>
    <row r="162">
      <c r="A162" s="1" t="s">
        <v>323</v>
      </c>
      <c r="B162" s="2">
        <v>306981.0</v>
      </c>
      <c r="C162" s="1" t="s">
        <v>282</v>
      </c>
      <c r="D162" s="1">
        <f t="array" ref="D162">xlookup(C162,Sheet3!A:A,Sheet3!B:B)</f>
        <v>1</v>
      </c>
      <c r="E162" s="1" t="s">
        <v>111</v>
      </c>
      <c r="F162" s="1">
        <f t="array" ref="F162">xlookup(E162,Sheet2!A:A,Sheet2!B:B)</f>
        <v>28</v>
      </c>
      <c r="G162" s="1" t="s">
        <v>324</v>
      </c>
      <c r="H162" s="3" t="str">
        <f t="array" ref="H162">JOIN("", SORT(MID(LOWER(G162), SEQUENCE(LEN(G162)), 1)))</f>
        <v>     ,,aaaaaaaaaaaddeiiiillmmmnprrrrsstvyy</v>
      </c>
      <c r="I162" s="1" t="s">
        <v>109</v>
      </c>
      <c r="J162" s="1">
        <f t="array" ref="J162">xlookup(I162,Sheet2!A:A,Sheet2!B:B)</f>
        <v>49</v>
      </c>
      <c r="K162" s="1" t="s">
        <v>324</v>
      </c>
      <c r="L162" s="1" t="s">
        <v>184</v>
      </c>
      <c r="M162" s="1">
        <f t="array" ref="M162">xlookup(L162,Sheet2!A:A,Sheet2!B:B)</f>
        <v>4</v>
      </c>
      <c r="N162" s="1" t="s">
        <v>324</v>
      </c>
      <c r="O162" s="4" t="str">
        <f t="shared" si="1"/>
        <v>306981 : [28,49,4],</v>
      </c>
      <c r="P162" s="4" t="str">
        <f t="shared" si="2"/>
        <v>306981 : 1,</v>
      </c>
    </row>
    <row r="163">
      <c r="A163" s="1" t="s">
        <v>325</v>
      </c>
      <c r="B163" s="2">
        <v>136592.0</v>
      </c>
      <c r="C163" s="1" t="s">
        <v>282</v>
      </c>
      <c r="D163" s="1">
        <f t="array" ref="D163">xlookup(C163,Sheet3!A:A,Sheet3!B:B)</f>
        <v>1</v>
      </c>
      <c r="E163" s="1" t="s">
        <v>125</v>
      </c>
      <c r="F163" s="1">
        <f t="array" ref="F163">xlookup(E163,Sheet2!A:A,Sheet2!B:B)</f>
        <v>19</v>
      </c>
      <c r="G163" s="1" t="s">
        <v>326</v>
      </c>
      <c r="H163" s="3" t="str">
        <f t="array" ref="H163">JOIN("", SORT(MID(LOWER(G163), SEQUENCE(LEN(G163)), 1)))</f>
        <v>     aaaadeeegghhiijlmnnnntwyz</v>
      </c>
      <c r="I163" s="1" t="s">
        <v>7</v>
      </c>
      <c r="J163" s="1">
        <f t="array" ref="J163">xlookup(I163,Sheet2!A:A,Sheet2!B:B)</f>
        <v>15</v>
      </c>
      <c r="K163" s="1" t="s">
        <v>326</v>
      </c>
      <c r="L163" s="1" t="s">
        <v>76</v>
      </c>
      <c r="M163" s="1">
        <f t="array" ref="M163">xlookup(L163,Sheet2!A:A,Sheet2!B:B)</f>
        <v>24</v>
      </c>
      <c r="N163" s="1" t="s">
        <v>326</v>
      </c>
      <c r="O163" s="4" t="str">
        <f t="shared" si="1"/>
        <v>136592 : [19,15,24],</v>
      </c>
      <c r="P163" s="4" t="str">
        <f t="shared" si="2"/>
        <v>136592 : 1,</v>
      </c>
    </row>
    <row r="164">
      <c r="A164" s="1" t="s">
        <v>327</v>
      </c>
      <c r="B164" s="2">
        <v>314880.0</v>
      </c>
      <c r="C164" s="1" t="s">
        <v>282</v>
      </c>
      <c r="D164" s="1">
        <f t="array" ref="D164">xlookup(C164,Sheet3!A:A,Sheet3!B:B)</f>
        <v>1</v>
      </c>
      <c r="E164" s="1" t="s">
        <v>125</v>
      </c>
      <c r="F164" s="1">
        <f t="array" ref="F164">xlookup(E164,Sheet2!A:A,Sheet2!B:B)</f>
        <v>19</v>
      </c>
      <c r="G164" s="1" t="s">
        <v>328</v>
      </c>
      <c r="H164" s="3" t="str">
        <f t="array" ref="H164">JOIN("", SORT(MID(LOWER(G164), SEQUENCE(LEN(G164)), 1)))</f>
        <v>    aaaadeeegghhiijlmnnnntwyz</v>
      </c>
      <c r="I164" s="1" t="s">
        <v>7</v>
      </c>
      <c r="J164" s="1">
        <f t="array" ref="J164">xlookup(I164,Sheet2!A:A,Sheet2!B:B)</f>
        <v>15</v>
      </c>
      <c r="K164" s="1" t="s">
        <v>328</v>
      </c>
      <c r="L164" s="1" t="s">
        <v>76</v>
      </c>
      <c r="M164" s="1">
        <f t="array" ref="M164">xlookup(L164,Sheet2!A:A,Sheet2!B:B)</f>
        <v>24</v>
      </c>
      <c r="N164" s="1" t="s">
        <v>328</v>
      </c>
      <c r="O164" s="4" t="str">
        <f t="shared" si="1"/>
        <v>314880 : [19,15,24],</v>
      </c>
      <c r="P164" s="4" t="str">
        <f t="shared" si="2"/>
        <v>314880 : 1,</v>
      </c>
    </row>
    <row r="165">
      <c r="A165" s="1" t="s">
        <v>329</v>
      </c>
      <c r="B165" s="2">
        <v>318895.0</v>
      </c>
      <c r="C165" s="1" t="s">
        <v>282</v>
      </c>
      <c r="D165" s="1">
        <f t="array" ref="D165">xlookup(C165,Sheet3!A:A,Sheet3!B:B)</f>
        <v>1</v>
      </c>
      <c r="E165" s="1" t="s">
        <v>2</v>
      </c>
      <c r="F165" s="1">
        <f t="array" ref="F165">xlookup(E165,Sheet2!A:A,Sheet2!B:B)</f>
        <v>25</v>
      </c>
      <c r="G165" s="1" t="s">
        <v>3</v>
      </c>
      <c r="H165" s="3" t="str">
        <f t="array" ref="H165">JOIN("", SORT(MID(LOWER(G165), SEQUENCE(LEN(G165)), 1)))</f>
        <v>an</v>
      </c>
      <c r="I165" s="1" t="s">
        <v>15</v>
      </c>
      <c r="J165" s="1">
        <f t="array" ref="J165">xlookup(I165,Sheet2!A:A,Sheet2!B:B)</f>
        <v>0</v>
      </c>
      <c r="K165" s="1" t="s">
        <v>3</v>
      </c>
      <c r="L165" s="1" t="s">
        <v>207</v>
      </c>
      <c r="M165" s="1">
        <f t="array" ref="M165">xlookup(L165,Sheet2!A:A,Sheet2!B:B)</f>
        <v>1</v>
      </c>
      <c r="N165" s="1" t="s">
        <v>3</v>
      </c>
      <c r="O165" s="4" t="str">
        <f t="shared" si="1"/>
        <v>318895 : [25,0,1],</v>
      </c>
      <c r="P165" s="4" t="str">
        <f t="shared" si="2"/>
        <v>318895 : 1,</v>
      </c>
    </row>
    <row r="166">
      <c r="A166" s="1" t="s">
        <v>330</v>
      </c>
      <c r="B166" s="2">
        <v>148048.0</v>
      </c>
      <c r="C166" s="1" t="s">
        <v>282</v>
      </c>
      <c r="D166" s="1">
        <f t="array" ref="D166">xlookup(C166,Sheet3!A:A,Sheet3!B:B)</f>
        <v>1</v>
      </c>
      <c r="E166" s="1" t="s">
        <v>207</v>
      </c>
      <c r="F166" s="1">
        <f t="array" ref="F166">xlookup(E166,Sheet2!A:A,Sheet2!B:B)</f>
        <v>1</v>
      </c>
      <c r="G166" s="1" t="s">
        <v>3</v>
      </c>
      <c r="H166" s="3" t="str">
        <f t="array" ref="H166">JOIN("", SORT(MID(LOWER(G166), SEQUENCE(LEN(G166)), 1)))</f>
        <v>an</v>
      </c>
      <c r="I166" s="1" t="s">
        <v>38</v>
      </c>
      <c r="J166" s="1">
        <f t="array" ref="J166">xlookup(I166,Sheet2!A:A,Sheet2!B:B)</f>
        <v>6</v>
      </c>
      <c r="K166" s="1" t="s">
        <v>3</v>
      </c>
      <c r="L166" s="1" t="s">
        <v>40</v>
      </c>
      <c r="M166" s="1">
        <f t="array" ref="M166">xlookup(L166,Sheet2!A:A,Sheet2!B:B)</f>
        <v>44</v>
      </c>
      <c r="N166" s="1" t="s">
        <v>3</v>
      </c>
      <c r="O166" s="4" t="str">
        <f t="shared" si="1"/>
        <v>148048 : [1,6,44],</v>
      </c>
      <c r="P166" s="4" t="str">
        <f t="shared" si="2"/>
        <v>148048 : 1,</v>
      </c>
    </row>
    <row r="167">
      <c r="A167" s="1" t="s">
        <v>331</v>
      </c>
      <c r="B167" s="2">
        <v>136429.0</v>
      </c>
      <c r="C167" s="1" t="s">
        <v>282</v>
      </c>
      <c r="D167" s="1">
        <f t="array" ref="D167">xlookup(C167,Sheet3!A:A,Sheet3!B:B)</f>
        <v>1</v>
      </c>
      <c r="E167" s="1" t="s">
        <v>111</v>
      </c>
      <c r="F167" s="1">
        <f t="array" ref="F167">xlookup(E167,Sheet2!A:A,Sheet2!B:B)</f>
        <v>28</v>
      </c>
      <c r="G167" s="1" t="s">
        <v>332</v>
      </c>
      <c r="H167" s="3" t="str">
        <f t="array" ref="H167">JOIN("", SORT(MID(LOWER(G167), SEQUENCE(LEN(G167)), 1)))</f>
        <v>   ,aaaaaeefhhiijmnnnprrrsst</v>
      </c>
      <c r="I167" s="1" t="s">
        <v>109</v>
      </c>
      <c r="J167" s="1">
        <f t="array" ref="J167">xlookup(I167,Sheet2!A:A,Sheet2!B:B)</f>
        <v>49</v>
      </c>
      <c r="K167" s="1" t="s">
        <v>332</v>
      </c>
      <c r="L167" s="1" t="s">
        <v>28</v>
      </c>
      <c r="M167" s="1">
        <f t="array" ref="M167">xlookup(L167,Sheet2!A:A,Sheet2!B:B)</f>
        <v>32</v>
      </c>
      <c r="N167" s="1" t="s">
        <v>332</v>
      </c>
      <c r="O167" s="4" t="str">
        <f t="shared" si="1"/>
        <v>136429 : [28,49,32],</v>
      </c>
      <c r="P167" s="4" t="str">
        <f t="shared" si="2"/>
        <v>136429 : 1,</v>
      </c>
    </row>
    <row r="168">
      <c r="A168" s="1" t="s">
        <v>333</v>
      </c>
      <c r="B168" s="2">
        <v>137795.0</v>
      </c>
      <c r="C168" s="1" t="s">
        <v>282</v>
      </c>
      <c r="D168" s="1">
        <f t="array" ref="D168">xlookup(C168,Sheet3!A:A,Sheet3!B:B)</f>
        <v>1</v>
      </c>
      <c r="E168" s="1" t="s">
        <v>111</v>
      </c>
      <c r="F168" s="1">
        <f t="array" ref="F168">xlookup(E168,Sheet2!A:A,Sheet2!B:B)</f>
        <v>28</v>
      </c>
      <c r="G168" s="1" t="s">
        <v>334</v>
      </c>
      <c r="H168" s="3" t="str">
        <f t="array" ref="H168">JOIN("", SORT(MID(LOWER(G168), SEQUENCE(LEN(G168)), 1)))</f>
        <v>   ,aaaaaeefhhiijmnnnprrrsst</v>
      </c>
      <c r="I168" s="1" t="s">
        <v>109</v>
      </c>
      <c r="J168" s="1">
        <f t="array" ref="J168">xlookup(I168,Sheet2!A:A,Sheet2!B:B)</f>
        <v>49</v>
      </c>
      <c r="K168" s="1" t="s">
        <v>334</v>
      </c>
      <c r="L168" s="1" t="s">
        <v>28</v>
      </c>
      <c r="M168" s="1">
        <f t="array" ref="M168">xlookup(L168,Sheet2!A:A,Sheet2!B:B)</f>
        <v>32</v>
      </c>
      <c r="N168" s="1" t="s">
        <v>334</v>
      </c>
      <c r="O168" s="4" t="str">
        <f t="shared" si="1"/>
        <v>137795 : [28,49,32],</v>
      </c>
      <c r="P168" s="4" t="str">
        <f t="shared" si="2"/>
        <v>137795 : 1,</v>
      </c>
    </row>
    <row r="169">
      <c r="A169" s="1" t="s">
        <v>335</v>
      </c>
      <c r="B169" s="2">
        <v>196392.0</v>
      </c>
      <c r="C169" s="1" t="s">
        <v>282</v>
      </c>
      <c r="D169" s="1">
        <f t="array" ref="D169">xlookup(C169,Sheet3!A:A,Sheet3!B:B)</f>
        <v>1</v>
      </c>
      <c r="E169" s="1" t="s">
        <v>5</v>
      </c>
      <c r="F169" s="1">
        <f t="array" ref="F169">xlookup(E169,Sheet2!A:A,Sheet2!B:B)</f>
        <v>35</v>
      </c>
      <c r="G169" s="1" t="s">
        <v>3</v>
      </c>
      <c r="H169" s="3" t="str">
        <f t="array" ref="H169">JOIN("", SORT(MID(LOWER(G169), SEQUENCE(LEN(G169)), 1)))</f>
        <v>an</v>
      </c>
      <c r="I169" s="1" t="s">
        <v>120</v>
      </c>
      <c r="J169" s="1">
        <f t="array" ref="J169">xlookup(I169,Sheet2!A:A,Sheet2!B:B)</f>
        <v>42</v>
      </c>
      <c r="K169" s="1" t="s">
        <v>3</v>
      </c>
      <c r="L169" s="1" t="s">
        <v>207</v>
      </c>
      <c r="M169" s="1">
        <f t="array" ref="M169">xlookup(L169,Sheet2!A:A,Sheet2!B:B)</f>
        <v>1</v>
      </c>
      <c r="N169" s="1" t="s">
        <v>3</v>
      </c>
      <c r="O169" s="4" t="str">
        <f t="shared" si="1"/>
        <v>196392 : [35,42,1],</v>
      </c>
      <c r="P169" s="4" t="str">
        <f t="shared" si="2"/>
        <v>196392 : 1,</v>
      </c>
    </row>
    <row r="170">
      <c r="A170" s="1" t="s">
        <v>336</v>
      </c>
      <c r="B170" s="2">
        <v>164111.0</v>
      </c>
      <c r="C170" s="1" t="s">
        <v>282</v>
      </c>
      <c r="D170" s="1">
        <f t="array" ref="D170">xlookup(C170,Sheet3!A:A,Sheet3!B:B)</f>
        <v>1</v>
      </c>
      <c r="E170" s="1" t="s">
        <v>61</v>
      </c>
      <c r="F170" s="1">
        <f t="array" ref="F170">xlookup(E170,Sheet2!A:A,Sheet2!B:B)</f>
        <v>31</v>
      </c>
      <c r="G170" s="1" t="s">
        <v>337</v>
      </c>
      <c r="H170" s="3" t="str">
        <f t="array" ref="H170">JOIN("", SORT(MID(LOWER(G170), SEQUENCE(LEN(G170)), 1)))</f>
        <v>     ,,aaaaaaaaaaaaaaaaadhhiiiiikkknnnnnnpprrrsstvyyy</v>
      </c>
      <c r="I170" s="1" t="s">
        <v>26</v>
      </c>
      <c r="J170" s="1">
        <f t="array" ref="J170">xlookup(I170,Sheet2!A:A,Sheet2!B:B)</f>
        <v>7</v>
      </c>
      <c r="K170" s="1" t="s">
        <v>337</v>
      </c>
      <c r="L170" s="1" t="s">
        <v>34</v>
      </c>
      <c r="M170" s="1">
        <f t="array" ref="M170">xlookup(L170,Sheet2!A:A,Sheet2!B:B)</f>
        <v>8</v>
      </c>
      <c r="N170" s="1" t="s">
        <v>337</v>
      </c>
      <c r="O170" s="4" t="str">
        <f t="shared" si="1"/>
        <v>164111 : [31,7,8],</v>
      </c>
      <c r="P170" s="4" t="str">
        <f t="shared" si="2"/>
        <v>164111 : 1,</v>
      </c>
    </row>
    <row r="171">
      <c r="A171" s="1" t="s">
        <v>338</v>
      </c>
      <c r="B171" s="2">
        <v>158568.0</v>
      </c>
      <c r="C171" s="1" t="s">
        <v>282</v>
      </c>
      <c r="D171" s="1">
        <f t="array" ref="D171">xlookup(C171,Sheet3!A:A,Sheet3!B:B)</f>
        <v>1</v>
      </c>
      <c r="E171" s="1" t="s">
        <v>61</v>
      </c>
      <c r="F171" s="1">
        <f t="array" ref="F171">xlookup(E171,Sheet2!A:A,Sheet2!B:B)</f>
        <v>31</v>
      </c>
      <c r="G171" s="1" t="s">
        <v>339</v>
      </c>
      <c r="H171" s="3" t="str">
        <f t="array" ref="H171">JOIN("", SORT(MID(LOWER(G171), SEQUENCE(LEN(G171)), 1)))</f>
        <v>     ,,aaaaaaaaaaaaaaaaadhhiiiiikkknnnnnnpprrrsstvyyy</v>
      </c>
      <c r="I171" s="1" t="s">
        <v>26</v>
      </c>
      <c r="J171" s="1">
        <f t="array" ref="J171">xlookup(I171,Sheet2!A:A,Sheet2!B:B)</f>
        <v>7</v>
      </c>
      <c r="K171" s="1" t="s">
        <v>339</v>
      </c>
      <c r="L171" s="1" t="s">
        <v>34</v>
      </c>
      <c r="M171" s="1">
        <f t="array" ref="M171">xlookup(L171,Sheet2!A:A,Sheet2!B:B)</f>
        <v>8</v>
      </c>
      <c r="N171" s="1" t="s">
        <v>339</v>
      </c>
      <c r="O171" s="4" t="str">
        <f t="shared" si="1"/>
        <v>158568 : [31,7,8],</v>
      </c>
      <c r="P171" s="4" t="str">
        <f t="shared" si="2"/>
        <v>158568 : 1,</v>
      </c>
    </row>
    <row r="172">
      <c r="A172" s="1" t="s">
        <v>340</v>
      </c>
      <c r="B172" s="2">
        <v>159091.0</v>
      </c>
      <c r="C172" s="1" t="s">
        <v>282</v>
      </c>
      <c r="D172" s="1">
        <f t="array" ref="D172">xlookup(C172,Sheet3!A:A,Sheet3!B:B)</f>
        <v>1</v>
      </c>
      <c r="E172" s="1" t="s">
        <v>61</v>
      </c>
      <c r="F172" s="1">
        <f t="array" ref="F172">xlookup(E172,Sheet2!A:A,Sheet2!B:B)</f>
        <v>31</v>
      </c>
      <c r="G172" s="1" t="s">
        <v>341</v>
      </c>
      <c r="H172" s="3" t="str">
        <f t="array" ref="H172">JOIN("", SORT(MID(LOWER(G172), SEQUENCE(LEN(G172)), 1)))</f>
        <v>     ,,aaaaaaaaaaaaaaaaadhhiiiiikkknnnnnnpprrrsstvyyy</v>
      </c>
      <c r="I172" s="1" t="s">
        <v>26</v>
      </c>
      <c r="J172" s="1">
        <f t="array" ref="J172">xlookup(I172,Sheet2!A:A,Sheet2!B:B)</f>
        <v>7</v>
      </c>
      <c r="K172" s="1" t="s">
        <v>342</v>
      </c>
      <c r="L172" s="1" t="s">
        <v>34</v>
      </c>
      <c r="M172" s="1">
        <f t="array" ref="M172">xlookup(L172,Sheet2!A:A,Sheet2!B:B)</f>
        <v>8</v>
      </c>
      <c r="N172" s="1" t="s">
        <v>342</v>
      </c>
      <c r="O172" s="4" t="str">
        <f t="shared" si="1"/>
        <v>159091 : [31,7,8],</v>
      </c>
      <c r="P172" s="4" t="str">
        <f t="shared" si="2"/>
        <v>159091 : 1,</v>
      </c>
    </row>
    <row r="173">
      <c r="A173" s="1" t="s">
        <v>343</v>
      </c>
      <c r="B173" s="2">
        <v>128023.0</v>
      </c>
      <c r="C173" s="1" t="s">
        <v>282</v>
      </c>
      <c r="D173" s="1">
        <f t="array" ref="D173">xlookup(C173,Sheet3!A:A,Sheet3!B:B)</f>
        <v>1</v>
      </c>
      <c r="E173" s="1" t="s">
        <v>2</v>
      </c>
      <c r="F173" s="1">
        <f t="array" ref="F173">xlookup(E173,Sheet2!A:A,Sheet2!B:B)</f>
        <v>25</v>
      </c>
      <c r="G173" s="1" t="s">
        <v>3</v>
      </c>
      <c r="H173" s="3" t="str">
        <f t="array" ref="H173">JOIN("", SORT(MID(LOWER(G173), SEQUENCE(LEN(G173)), 1)))</f>
        <v>an</v>
      </c>
      <c r="I173" s="1" t="s">
        <v>42</v>
      </c>
      <c r="J173" s="1">
        <f t="array" ref="J173">xlookup(I173,Sheet2!A:A,Sheet2!B:B)</f>
        <v>14</v>
      </c>
      <c r="K173" s="1" t="s">
        <v>3</v>
      </c>
      <c r="L173" s="1" t="s">
        <v>38</v>
      </c>
      <c r="M173" s="1">
        <f t="array" ref="M173">xlookup(L173,Sheet2!A:A,Sheet2!B:B)</f>
        <v>6</v>
      </c>
      <c r="N173" s="1" t="s">
        <v>3</v>
      </c>
      <c r="O173" s="4" t="str">
        <f t="shared" si="1"/>
        <v>128023 : [25,14,6],</v>
      </c>
      <c r="P173" s="4" t="str">
        <f t="shared" si="2"/>
        <v>128023 : 1,</v>
      </c>
    </row>
    <row r="174">
      <c r="A174" s="1" t="s">
        <v>344</v>
      </c>
      <c r="B174" s="2">
        <v>312216.0</v>
      </c>
      <c r="C174" s="1" t="s">
        <v>282</v>
      </c>
      <c r="D174" s="1">
        <f t="array" ref="D174">xlookup(C174,Sheet3!A:A,Sheet3!B:B)</f>
        <v>1</v>
      </c>
      <c r="E174" s="1" t="s">
        <v>212</v>
      </c>
      <c r="F174" s="1">
        <f t="array" ref="F174">xlookup(E174,Sheet2!A:A,Sheet2!B:B)</f>
        <v>2</v>
      </c>
      <c r="G174" s="1" t="s">
        <v>345</v>
      </c>
      <c r="H174" s="3" t="str">
        <f t="array" ref="H174">JOIN("", SORT(MID(LOWER(G174), SEQUENCE(LEN(G174)), 1)))</f>
        <v> aaaabhhhikmnostty</v>
      </c>
      <c r="I174" s="1" t="s">
        <v>39</v>
      </c>
      <c r="J174" s="1">
        <f t="array" ref="J174">xlookup(I174,Sheet2!A:A,Sheet2!B:B)</f>
        <v>20</v>
      </c>
      <c r="K174" s="1" t="s">
        <v>345</v>
      </c>
      <c r="L174" s="1" t="s">
        <v>40</v>
      </c>
      <c r="M174" s="1">
        <f t="array" ref="M174">xlookup(L174,Sheet2!A:A,Sheet2!B:B)</f>
        <v>44</v>
      </c>
      <c r="N174" s="1" t="s">
        <v>345</v>
      </c>
      <c r="O174" s="4" t="str">
        <f t="shared" si="1"/>
        <v>312216 : [2,20,44],</v>
      </c>
      <c r="P174" s="4" t="str">
        <f t="shared" si="2"/>
        <v>312216 : 1,</v>
      </c>
    </row>
    <row r="175">
      <c r="A175" s="1" t="s">
        <v>346</v>
      </c>
      <c r="B175" s="2">
        <v>327227.0</v>
      </c>
      <c r="C175" s="1" t="s">
        <v>282</v>
      </c>
      <c r="D175" s="1">
        <f t="array" ref="D175">xlookup(C175,Sheet3!A:A,Sheet3!B:B)</f>
        <v>1</v>
      </c>
      <c r="E175" s="1" t="s">
        <v>76</v>
      </c>
      <c r="F175" s="1">
        <f t="array" ref="F175">xlookup(E175,Sheet2!A:A,Sheet2!B:B)</f>
        <v>24</v>
      </c>
      <c r="G175" s="1" t="s">
        <v>315</v>
      </c>
      <c r="H175" s="3" t="str">
        <f t="array" ref="H175">JOIN("", SORT(MID(LOWER(G175), SEQUENCE(LEN(G175)), 1)))</f>
        <v>  aaehinnnooppstty</v>
      </c>
      <c r="I175" s="1" t="s">
        <v>74</v>
      </c>
      <c r="J175" s="1">
        <f t="array" ref="J175">xlookup(I175,Sheet2!A:A,Sheet2!B:B)</f>
        <v>50</v>
      </c>
      <c r="K175" s="1" t="s">
        <v>315</v>
      </c>
      <c r="L175" s="1" t="s">
        <v>125</v>
      </c>
      <c r="M175" s="1">
        <f t="array" ref="M175">xlookup(L175,Sheet2!A:A,Sheet2!B:B)</f>
        <v>19</v>
      </c>
      <c r="N175" s="1" t="s">
        <v>315</v>
      </c>
      <c r="O175" s="4" t="str">
        <f t="shared" si="1"/>
        <v>327227 : [24,50,19],</v>
      </c>
      <c r="P175" s="4" t="str">
        <f t="shared" si="2"/>
        <v>327227 : 1,</v>
      </c>
    </row>
    <row r="176">
      <c r="A176" s="1" t="s">
        <v>347</v>
      </c>
      <c r="B176" s="2">
        <v>185266.0</v>
      </c>
      <c r="C176" s="1" t="s">
        <v>282</v>
      </c>
      <c r="D176" s="1">
        <f t="array" ref="D176">xlookup(C176,Sheet3!A:A,Sheet3!B:B)</f>
        <v>1</v>
      </c>
      <c r="E176" s="1" t="s">
        <v>47</v>
      </c>
      <c r="F176" s="1">
        <f t="array" ref="F176">xlookup(E176,Sheet2!A:A,Sheet2!B:B)</f>
        <v>27</v>
      </c>
      <c r="G176" s="1" t="s">
        <v>348</v>
      </c>
      <c r="H176" s="3" t="str">
        <f t="array" ref="H176">JOIN("", SORT(MID(LOWER(G176), SEQUENCE(LEN(G176)), 1)))</f>
        <v>   ,aaaadghhiiimnnorrsstt</v>
      </c>
      <c r="I176" s="1" t="s">
        <v>25</v>
      </c>
      <c r="J176" s="1">
        <f t="array" ref="J176">xlookup(I176,Sheet2!A:A,Sheet2!B:B)</f>
        <v>18</v>
      </c>
      <c r="K176" s="1" t="s">
        <v>348</v>
      </c>
      <c r="L176" s="1" t="s">
        <v>109</v>
      </c>
      <c r="M176" s="1">
        <f t="array" ref="M176">xlookup(L176,Sheet2!A:A,Sheet2!B:B)</f>
        <v>49</v>
      </c>
      <c r="N176" s="1" t="s">
        <v>348</v>
      </c>
      <c r="O176" s="4" t="str">
        <f t="shared" si="1"/>
        <v>185266 : [27,18,49],</v>
      </c>
      <c r="P176" s="4" t="str">
        <f t="shared" si="2"/>
        <v>185266 : 1,</v>
      </c>
    </row>
    <row r="177">
      <c r="A177" s="1" t="s">
        <v>349</v>
      </c>
      <c r="B177" s="2">
        <v>111261.0</v>
      </c>
      <c r="C177" s="1" t="s">
        <v>282</v>
      </c>
      <c r="D177" s="1">
        <f t="array" ref="D177">xlookup(C177,Sheet3!A:A,Sheet3!B:B)</f>
        <v>1</v>
      </c>
      <c r="E177" s="1" t="s">
        <v>20</v>
      </c>
      <c r="F177" s="1">
        <f t="array" ref="F177">xlookup(E177,Sheet2!A:A,Sheet2!B:B)</f>
        <v>48</v>
      </c>
      <c r="G177" s="1" t="s">
        <v>350</v>
      </c>
      <c r="H177" s="3" t="str">
        <f t="array" ref="H177">JOIN("", SORT(MID(LOWER(G177), SEQUENCE(LEN(G177)), 1)))</f>
        <v>   ,aaaaeeeghhikklmnrssuwx</v>
      </c>
      <c r="I177" s="1" t="s">
        <v>18</v>
      </c>
      <c r="J177" s="1">
        <f t="array" ref="J177">xlookup(I177,Sheet2!A:A,Sheet2!B:B)</f>
        <v>22</v>
      </c>
      <c r="K177" s="1" t="s">
        <v>350</v>
      </c>
      <c r="L177" s="1" t="s">
        <v>170</v>
      </c>
      <c r="M177" s="1">
        <f t="array" ref="M177">xlookup(L177,Sheet2!A:A,Sheet2!B:B)</f>
        <v>16</v>
      </c>
      <c r="N177" s="1" t="s">
        <v>350</v>
      </c>
      <c r="O177" s="4" t="str">
        <f t="shared" si="1"/>
        <v>111261 : [48,22,16],</v>
      </c>
      <c r="P177" s="4" t="str">
        <f t="shared" si="2"/>
        <v>111261 : 1,</v>
      </c>
    </row>
    <row r="178">
      <c r="A178" s="1" t="s">
        <v>351</v>
      </c>
      <c r="B178" s="2">
        <v>301719.0</v>
      </c>
      <c r="C178" s="1" t="s">
        <v>282</v>
      </c>
      <c r="D178" s="1">
        <f t="array" ref="D178">xlookup(C178,Sheet3!A:A,Sheet3!B:B)</f>
        <v>1</v>
      </c>
      <c r="E178" s="1" t="s">
        <v>72</v>
      </c>
      <c r="F178" s="1">
        <f t="array" ref="F178">xlookup(E178,Sheet2!A:A,Sheet2!B:B)</f>
        <v>34</v>
      </c>
      <c r="G178" s="1" t="s">
        <v>352</v>
      </c>
      <c r="H178" s="3" t="str">
        <f t="array" ref="H178">JOIN("", SORT(MID(LOWER(G178), SEQUENCE(LEN(G178)), 1)))</f>
        <v>   ,aaaaaaaaaghhiiiikkkmmnnnrrsstttu</v>
      </c>
      <c r="I178" s="1" t="s">
        <v>96</v>
      </c>
      <c r="J178" s="1">
        <f t="array" ref="J178">xlookup(I178,Sheet2!A:A,Sheet2!B:B)</f>
        <v>47</v>
      </c>
      <c r="K178" s="1" t="s">
        <v>352</v>
      </c>
      <c r="L178" s="1" t="s">
        <v>10</v>
      </c>
      <c r="M178" s="1">
        <f t="array" ref="M178">xlookup(L178,Sheet2!A:A,Sheet2!B:B)</f>
        <v>9</v>
      </c>
      <c r="N178" s="1" t="s">
        <v>352</v>
      </c>
      <c r="O178" s="4" t="str">
        <f t="shared" si="1"/>
        <v>301719 : [34,47,9],</v>
      </c>
      <c r="P178" s="4" t="str">
        <f t="shared" si="2"/>
        <v>301719 : 1,</v>
      </c>
    </row>
    <row r="179">
      <c r="A179" s="1" t="s">
        <v>353</v>
      </c>
      <c r="B179" s="2">
        <v>323438.0</v>
      </c>
      <c r="C179" s="1" t="s">
        <v>282</v>
      </c>
      <c r="D179" s="1">
        <f t="array" ref="D179">xlookup(C179,Sheet3!A:A,Sheet3!B:B)</f>
        <v>1</v>
      </c>
      <c r="E179" s="1" t="s">
        <v>72</v>
      </c>
      <c r="F179" s="1">
        <f t="array" ref="F179">xlookup(E179,Sheet2!A:A,Sheet2!B:B)</f>
        <v>34</v>
      </c>
      <c r="G179" s="1" t="s">
        <v>354</v>
      </c>
      <c r="H179" s="3" t="str">
        <f t="array" ref="H179">JOIN("", SORT(MID(LOWER(G179), SEQUENCE(LEN(G179)), 1)))</f>
        <v>   ,aaaaaaaaaghhiiiikkkmmnnnrrsstttu</v>
      </c>
      <c r="I179" s="1" t="s">
        <v>96</v>
      </c>
      <c r="J179" s="1">
        <f t="array" ref="J179">xlookup(I179,Sheet2!A:A,Sheet2!B:B)</f>
        <v>47</v>
      </c>
      <c r="K179" s="1" t="s">
        <v>354</v>
      </c>
      <c r="L179" s="1" t="s">
        <v>10</v>
      </c>
      <c r="M179" s="1">
        <f t="array" ref="M179">xlookup(L179,Sheet2!A:A,Sheet2!B:B)</f>
        <v>9</v>
      </c>
      <c r="N179" s="1" t="s">
        <v>354</v>
      </c>
      <c r="O179" s="4" t="str">
        <f t="shared" si="1"/>
        <v>323438 : [34,47,9],</v>
      </c>
      <c r="P179" s="4" t="str">
        <f t="shared" si="2"/>
        <v>323438 : 1,</v>
      </c>
    </row>
    <row r="180">
      <c r="A180" s="1" t="s">
        <v>355</v>
      </c>
      <c r="B180" s="2">
        <v>151855.0</v>
      </c>
      <c r="C180" s="1" t="s">
        <v>282</v>
      </c>
      <c r="D180" s="1">
        <f t="array" ref="D180">xlookup(C180,Sheet3!A:A,Sheet3!B:B)</f>
        <v>1</v>
      </c>
      <c r="E180" s="1" t="s">
        <v>16</v>
      </c>
      <c r="F180" s="1">
        <f t="array" ref="F180">xlookup(E180,Sheet2!A:A,Sheet2!B:B)</f>
        <v>3</v>
      </c>
      <c r="G180" s="1" t="s">
        <v>3</v>
      </c>
      <c r="H180" s="3" t="str">
        <f t="array" ref="H180">JOIN("", SORT(MID(LOWER(G180), SEQUENCE(LEN(G180)), 1)))</f>
        <v>an</v>
      </c>
      <c r="I180" s="1" t="s">
        <v>15</v>
      </c>
      <c r="J180" s="1">
        <f t="array" ref="J180">xlookup(I180,Sheet2!A:A,Sheet2!B:B)</f>
        <v>0</v>
      </c>
      <c r="K180" s="1" t="s">
        <v>3</v>
      </c>
      <c r="L180" s="1" t="s">
        <v>207</v>
      </c>
      <c r="M180" s="1">
        <f t="array" ref="M180">xlookup(L180,Sheet2!A:A,Sheet2!B:B)</f>
        <v>1</v>
      </c>
      <c r="N180" s="1" t="s">
        <v>3</v>
      </c>
      <c r="O180" s="4" t="str">
        <f t="shared" si="1"/>
        <v>151855 : [3,0,1],</v>
      </c>
      <c r="P180" s="4" t="str">
        <f t="shared" si="2"/>
        <v>151855 : 1,</v>
      </c>
    </row>
    <row r="181">
      <c r="A181" s="1" t="s">
        <v>356</v>
      </c>
      <c r="B181" s="2">
        <v>148202.0</v>
      </c>
      <c r="C181" s="1" t="s">
        <v>282</v>
      </c>
      <c r="D181" s="1">
        <f t="array" ref="D181">xlookup(C181,Sheet3!A:A,Sheet3!B:B)</f>
        <v>1</v>
      </c>
      <c r="E181" s="1" t="s">
        <v>2</v>
      </c>
      <c r="F181" s="1">
        <f t="array" ref="F181">xlookup(E181,Sheet2!A:A,Sheet2!B:B)</f>
        <v>25</v>
      </c>
      <c r="G181" s="1" t="s">
        <v>3</v>
      </c>
      <c r="H181" s="3" t="str">
        <f t="array" ref="H181">JOIN("", SORT(MID(LOWER(G181), SEQUENCE(LEN(G181)), 1)))</f>
        <v>an</v>
      </c>
      <c r="I181" s="1" t="s">
        <v>120</v>
      </c>
      <c r="J181" s="1">
        <f t="array" ref="J181">xlookup(I181,Sheet2!A:A,Sheet2!B:B)</f>
        <v>42</v>
      </c>
      <c r="K181" s="1" t="s">
        <v>3</v>
      </c>
      <c r="L181" s="1" t="s">
        <v>124</v>
      </c>
      <c r="M181" s="1">
        <f t="array" ref="M181">xlookup(L181,Sheet2!A:A,Sheet2!B:B)</f>
        <v>46</v>
      </c>
      <c r="N181" s="1" t="s">
        <v>3</v>
      </c>
      <c r="O181" s="4" t="str">
        <f t="shared" si="1"/>
        <v>148202 : [25,42,46],</v>
      </c>
      <c r="P181" s="4" t="str">
        <f t="shared" si="2"/>
        <v>148202 : 1,</v>
      </c>
    </row>
    <row r="182">
      <c r="A182" s="1" t="s">
        <v>357</v>
      </c>
      <c r="B182" s="2">
        <v>137043.0</v>
      </c>
      <c r="C182" s="1" t="s">
        <v>282</v>
      </c>
      <c r="D182" s="1">
        <f t="array" ref="D182">xlookup(C182,Sheet3!A:A,Sheet3!B:B)</f>
        <v>1</v>
      </c>
      <c r="E182" s="1" t="s">
        <v>114</v>
      </c>
      <c r="F182" s="1">
        <f t="array" ref="F182">xlookup(E182,Sheet2!A:A,Sheet2!B:B)</f>
        <v>12</v>
      </c>
      <c r="G182" s="1" t="s">
        <v>358</v>
      </c>
      <c r="H182" s="3" t="str">
        <f t="array" ref="H182">JOIN("", SORT(MID(LOWER(G182), SEQUENCE(LEN(G182)), 1)))</f>
        <v>     ,,aaaaaaaacceeehhhiiiiilllmnnoprrrrssttyy</v>
      </c>
      <c r="I182" s="1" t="s">
        <v>47</v>
      </c>
      <c r="J182" s="1">
        <f t="array" ref="J182">xlookup(I182,Sheet2!A:A,Sheet2!B:B)</f>
        <v>27</v>
      </c>
      <c r="K182" s="1" t="s">
        <v>358</v>
      </c>
      <c r="L182" s="1" t="s">
        <v>30</v>
      </c>
      <c r="M182" s="1">
        <f t="array" ref="M182">xlookup(L182,Sheet2!A:A,Sheet2!B:B)</f>
        <v>13</v>
      </c>
      <c r="N182" s="1" t="s">
        <v>358</v>
      </c>
      <c r="O182" s="4" t="str">
        <f t="shared" si="1"/>
        <v>137043 : [12,27,13],</v>
      </c>
      <c r="P182" s="4" t="str">
        <f t="shared" si="2"/>
        <v>137043 : 1,</v>
      </c>
    </row>
    <row r="183">
      <c r="A183" s="1" t="s">
        <v>359</v>
      </c>
      <c r="B183" s="2">
        <v>127778.0</v>
      </c>
      <c r="C183" s="1" t="s">
        <v>282</v>
      </c>
      <c r="D183" s="1">
        <f t="array" ref="D183">xlookup(C183,Sheet3!A:A,Sheet3!B:B)</f>
        <v>1</v>
      </c>
      <c r="E183" s="1" t="s">
        <v>114</v>
      </c>
      <c r="F183" s="1">
        <f t="array" ref="F183">xlookup(E183,Sheet2!A:A,Sheet2!B:B)</f>
        <v>12</v>
      </c>
      <c r="G183" s="1" t="s">
        <v>360</v>
      </c>
      <c r="H183" s="3" t="str">
        <f t="array" ref="H183">JOIN("", SORT(MID(LOWER(G183), SEQUENCE(LEN(G183)), 1)))</f>
        <v>   ,aaaabeeghilmnnotvwz</v>
      </c>
      <c r="I183" s="1" t="s">
        <v>139</v>
      </c>
      <c r="J183" s="1">
        <f t="array" ref="J183">xlookup(I183,Sheet2!A:A,Sheet2!B:B)</f>
        <v>21</v>
      </c>
      <c r="K183" s="1" t="s">
        <v>360</v>
      </c>
      <c r="L183" s="1" t="s">
        <v>61</v>
      </c>
      <c r="M183" s="1">
        <f t="array" ref="M183">xlookup(L183,Sheet2!A:A,Sheet2!B:B)</f>
        <v>31</v>
      </c>
      <c r="N183" s="1" t="s">
        <v>360</v>
      </c>
      <c r="O183" s="4" t="str">
        <f t="shared" si="1"/>
        <v>127778 : [12,21,31],</v>
      </c>
      <c r="P183" s="4" t="str">
        <f t="shared" si="2"/>
        <v>127778 : 1,</v>
      </c>
    </row>
    <row r="184">
      <c r="A184" s="1" t="s">
        <v>361</v>
      </c>
      <c r="B184" s="2">
        <v>136656.0</v>
      </c>
      <c r="C184" s="1" t="s">
        <v>282</v>
      </c>
      <c r="D184" s="1">
        <f t="array" ref="D184">xlookup(C184,Sheet3!A:A,Sheet3!B:B)</f>
        <v>1</v>
      </c>
      <c r="E184" s="1" t="s">
        <v>114</v>
      </c>
      <c r="F184" s="1">
        <f t="array" ref="F184">xlookup(E184,Sheet2!A:A,Sheet2!B:B)</f>
        <v>12</v>
      </c>
      <c r="G184" s="1" t="s">
        <v>362</v>
      </c>
      <c r="H184" s="3" t="str">
        <f t="array" ref="H184">JOIN("", SORT(MID(LOWER(G184), SEQUENCE(LEN(G184)), 1)))</f>
        <v>   ,aaaabeeghilmnnotvwz</v>
      </c>
      <c r="I184" s="1" t="s">
        <v>139</v>
      </c>
      <c r="J184" s="1">
        <f t="array" ref="J184">xlookup(I184,Sheet2!A:A,Sheet2!B:B)</f>
        <v>21</v>
      </c>
      <c r="K184" s="1" t="s">
        <v>362</v>
      </c>
      <c r="L184" s="1" t="s">
        <v>61</v>
      </c>
      <c r="M184" s="1">
        <f t="array" ref="M184">xlookup(L184,Sheet2!A:A,Sheet2!B:B)</f>
        <v>31</v>
      </c>
      <c r="N184" s="1" t="s">
        <v>362</v>
      </c>
      <c r="O184" s="4" t="str">
        <f t="shared" si="1"/>
        <v>136656 : [12,21,31],</v>
      </c>
      <c r="P184" s="4" t="str">
        <f t="shared" si="2"/>
        <v>136656 : 1,</v>
      </c>
    </row>
    <row r="185">
      <c r="A185" s="1" t="s">
        <v>363</v>
      </c>
      <c r="B185" s="2">
        <v>193690.0</v>
      </c>
      <c r="C185" s="1" t="s">
        <v>282</v>
      </c>
      <c r="D185" s="1">
        <f t="array" ref="D185">xlookup(C185,Sheet3!A:A,Sheet3!B:B)</f>
        <v>1</v>
      </c>
      <c r="E185" s="1" t="s">
        <v>28</v>
      </c>
      <c r="F185" s="1">
        <f t="array" ref="F185">xlookup(E185,Sheet2!A:A,Sheet2!B:B)</f>
        <v>32</v>
      </c>
      <c r="G185" s="1" t="s">
        <v>364</v>
      </c>
      <c r="H185" s="3" t="str">
        <f t="array" ref="H185">JOIN("", SORT(MID(LOWER(G185), SEQUENCE(LEN(G185)), 1)))</f>
        <v>     ,,aaaaeeghhhhiiijjjlnnnnosssuu</v>
      </c>
      <c r="I185" s="1" t="s">
        <v>139</v>
      </c>
      <c r="J185" s="1">
        <f t="array" ref="J185">xlookup(I185,Sheet2!A:A,Sheet2!B:B)</f>
        <v>21</v>
      </c>
      <c r="K185" s="1" t="s">
        <v>364</v>
      </c>
      <c r="L185" s="1" t="s">
        <v>111</v>
      </c>
      <c r="M185" s="1">
        <f t="array" ref="M185">xlookup(L185,Sheet2!A:A,Sheet2!B:B)</f>
        <v>28</v>
      </c>
      <c r="N185" s="1" t="s">
        <v>364</v>
      </c>
      <c r="O185" s="4" t="str">
        <f t="shared" si="1"/>
        <v>193690 : [32,21,28],</v>
      </c>
      <c r="P185" s="4" t="str">
        <f t="shared" si="2"/>
        <v>193690 : 1,</v>
      </c>
    </row>
    <row r="186">
      <c r="A186" s="1" t="s">
        <v>365</v>
      </c>
      <c r="B186" s="2">
        <v>185286.0</v>
      </c>
      <c r="C186" s="1" t="s">
        <v>282</v>
      </c>
      <c r="D186" s="1">
        <f t="array" ref="D186">xlookup(C186,Sheet3!A:A,Sheet3!B:B)</f>
        <v>1</v>
      </c>
      <c r="E186" s="1" t="s">
        <v>111</v>
      </c>
      <c r="F186" s="1">
        <f t="array" ref="F186">xlookup(E186,Sheet2!A:A,Sheet2!B:B)</f>
        <v>28</v>
      </c>
      <c r="G186" s="1" t="s">
        <v>366</v>
      </c>
      <c r="H186" s="3" t="str">
        <f t="array" ref="H186">JOIN("", SORT(MID(LOWER(G186), SEQUENCE(LEN(G186)), 1)))</f>
        <v>   ,aaaaaabbhhhiklnrsstty</v>
      </c>
      <c r="I186" s="1" t="s">
        <v>28</v>
      </c>
      <c r="J186" s="1">
        <f t="array" ref="J186">xlookup(I186,Sheet2!A:A,Sheet2!B:B)</f>
        <v>32</v>
      </c>
      <c r="K186" s="1" t="s">
        <v>366</v>
      </c>
      <c r="L186" s="1" t="s">
        <v>109</v>
      </c>
      <c r="M186" s="1">
        <f t="array" ref="M186">xlookup(L186,Sheet2!A:A,Sheet2!B:B)</f>
        <v>49</v>
      </c>
      <c r="N186" s="1" t="s">
        <v>366</v>
      </c>
      <c r="O186" s="4" t="str">
        <f t="shared" si="1"/>
        <v>185286 : [28,32,49],</v>
      </c>
      <c r="P186" s="4" t="str">
        <f t="shared" si="2"/>
        <v>185286 : 1,</v>
      </c>
    </row>
    <row r="187">
      <c r="A187" s="1" t="s">
        <v>367</v>
      </c>
      <c r="B187" s="2">
        <v>111931.0</v>
      </c>
      <c r="C187" s="1" t="s">
        <v>282</v>
      </c>
      <c r="D187" s="1">
        <f t="array" ref="D187">xlookup(C187,Sheet3!A:A,Sheet3!B:B)</f>
        <v>1</v>
      </c>
      <c r="E187" s="1" t="s">
        <v>47</v>
      </c>
      <c r="F187" s="1">
        <f t="array" ref="F187">xlookup(E187,Sheet2!A:A,Sheet2!B:B)</f>
        <v>27</v>
      </c>
      <c r="G187" s="1" t="s">
        <v>132</v>
      </c>
      <c r="H187" s="3" t="str">
        <f t="array" ref="H187">JOIN("", SORT(MID(LOWER(G187), SEQUENCE(LEN(G187)), 1)))</f>
        <v>   ,ceeeeehiiillllmnuw</v>
      </c>
      <c r="I187" s="1" t="s">
        <v>109</v>
      </c>
      <c r="J187" s="1">
        <f t="array" ref="J187">xlookup(I187,Sheet2!A:A,Sheet2!B:B)</f>
        <v>49</v>
      </c>
      <c r="K187" s="1" t="s">
        <v>132</v>
      </c>
      <c r="L187" s="1" t="s">
        <v>28</v>
      </c>
      <c r="M187" s="1">
        <f t="array" ref="M187">xlookup(L187,Sheet2!A:A,Sheet2!B:B)</f>
        <v>32</v>
      </c>
      <c r="N187" s="1" t="s">
        <v>132</v>
      </c>
      <c r="O187" s="4" t="str">
        <f t="shared" si="1"/>
        <v>111931 : [27,49,32],</v>
      </c>
      <c r="P187" s="4" t="str">
        <f t="shared" si="2"/>
        <v>111931 : 1,</v>
      </c>
    </row>
    <row r="188">
      <c r="A188" s="1" t="s">
        <v>368</v>
      </c>
      <c r="B188" s="2">
        <v>136527.0</v>
      </c>
      <c r="C188" s="1" t="s">
        <v>282</v>
      </c>
      <c r="D188" s="1">
        <f t="array" ref="D188">xlookup(C188,Sheet3!A:A,Sheet3!B:B)</f>
        <v>1</v>
      </c>
      <c r="E188" s="1" t="s">
        <v>16</v>
      </c>
      <c r="F188" s="1">
        <f t="array" ref="F188">xlookup(E188,Sheet2!A:A,Sheet2!B:B)</f>
        <v>3</v>
      </c>
      <c r="G188" s="1" t="s">
        <v>3</v>
      </c>
      <c r="H188" s="3" t="str">
        <f t="array" ref="H188">JOIN("", SORT(MID(LOWER(G188), SEQUENCE(LEN(G188)), 1)))</f>
        <v>an</v>
      </c>
      <c r="I188" s="1" t="s">
        <v>38</v>
      </c>
      <c r="J188" s="1">
        <f t="array" ref="J188">xlookup(I188,Sheet2!A:A,Sheet2!B:B)</f>
        <v>6</v>
      </c>
      <c r="K188" s="1" t="s">
        <v>3</v>
      </c>
      <c r="L188" s="1" t="s">
        <v>39</v>
      </c>
      <c r="M188" s="1">
        <f t="array" ref="M188">xlookup(L188,Sheet2!A:A,Sheet2!B:B)</f>
        <v>20</v>
      </c>
      <c r="N188" s="1" t="s">
        <v>3</v>
      </c>
      <c r="O188" s="4" t="str">
        <f t="shared" si="1"/>
        <v>136527 : [3,6,20],</v>
      </c>
      <c r="P188" s="4" t="str">
        <f t="shared" si="2"/>
        <v>136527 : 1,</v>
      </c>
    </row>
    <row r="189">
      <c r="A189" s="1" t="s">
        <v>369</v>
      </c>
      <c r="B189" s="2">
        <v>171926.0</v>
      </c>
      <c r="C189" s="1" t="s">
        <v>282</v>
      </c>
      <c r="D189" s="1">
        <f t="array" ref="D189">xlookup(C189,Sheet3!A:A,Sheet3!B:B)</f>
        <v>1</v>
      </c>
      <c r="E189" s="1" t="s">
        <v>26</v>
      </c>
      <c r="F189" s="1">
        <f t="array" ref="F189">xlookup(E189,Sheet2!A:A,Sheet2!B:B)</f>
        <v>7</v>
      </c>
      <c r="G189" s="1" t="s">
        <v>370</v>
      </c>
      <c r="H189" s="3" t="str">
        <f t="array" ref="H189">JOIN("", SORT(MID(LOWER(G189), SEQUENCE(LEN(G189)), 1)))</f>
        <v>     ,,aaaaaabcdeeeehiiklllmmmnnnoooorssy</v>
      </c>
      <c r="I189" s="1" t="s">
        <v>18</v>
      </c>
      <c r="J189" s="1">
        <f t="array" ref="J189">xlookup(I189,Sheet2!A:A,Sheet2!B:B)</f>
        <v>22</v>
      </c>
      <c r="K189" s="1" t="s">
        <v>370</v>
      </c>
      <c r="L189" s="1" t="s">
        <v>21</v>
      </c>
      <c r="M189" s="1">
        <f t="array" ref="M189">xlookup(L189,Sheet2!A:A,Sheet2!B:B)</f>
        <v>10</v>
      </c>
      <c r="N189" s="1" t="s">
        <v>370</v>
      </c>
      <c r="O189" s="4" t="str">
        <f t="shared" si="1"/>
        <v>171926 : [7,22,10],</v>
      </c>
      <c r="P189" s="4" t="str">
        <f t="shared" si="2"/>
        <v>171926 : 1,</v>
      </c>
    </row>
    <row r="190">
      <c r="A190" s="1" t="s">
        <v>371</v>
      </c>
      <c r="B190" s="2">
        <v>152298.0</v>
      </c>
      <c r="C190" s="1" t="s">
        <v>282</v>
      </c>
      <c r="D190" s="1">
        <f t="array" ref="D190">xlookup(C190,Sheet3!A:A,Sheet3!B:B)</f>
        <v>1</v>
      </c>
      <c r="E190" s="1" t="s">
        <v>114</v>
      </c>
      <c r="F190" s="1">
        <f t="array" ref="F190">xlookup(E190,Sheet2!A:A,Sheet2!B:B)</f>
        <v>12</v>
      </c>
      <c r="G190" s="1" t="s">
        <v>372</v>
      </c>
      <c r="H190" s="3" t="str">
        <f t="array" ref="H190">JOIN("", SORT(MID(LOWER(G190), SEQUENCE(LEN(G190)), 1)))</f>
        <v>     ,,aaaaaaaacceeehhhiiiiilllmnnoprrrrssttyy</v>
      </c>
      <c r="I190" s="1" t="s">
        <v>47</v>
      </c>
      <c r="J190" s="1">
        <f t="array" ref="J190">xlookup(I190,Sheet2!A:A,Sheet2!B:B)</f>
        <v>27</v>
      </c>
      <c r="K190" s="1" t="s">
        <v>372</v>
      </c>
      <c r="L190" s="1" t="s">
        <v>30</v>
      </c>
      <c r="M190" s="1">
        <f t="array" ref="M190">xlookup(L190,Sheet2!A:A,Sheet2!B:B)</f>
        <v>13</v>
      </c>
      <c r="N190" s="1" t="s">
        <v>372</v>
      </c>
      <c r="O190" s="4" t="str">
        <f t="shared" si="1"/>
        <v>152298 : [12,27,13],</v>
      </c>
      <c r="P190" s="4" t="str">
        <f t="shared" si="2"/>
        <v>152298 : 1,</v>
      </c>
    </row>
    <row r="191">
      <c r="A191" s="1" t="s">
        <v>373</v>
      </c>
      <c r="B191" s="2">
        <v>301949.0</v>
      </c>
      <c r="C191" s="1" t="s">
        <v>282</v>
      </c>
      <c r="D191" s="1">
        <f t="array" ref="D191">xlookup(C191,Sheet3!A:A,Sheet3!B:B)</f>
        <v>1</v>
      </c>
      <c r="E191" s="1" t="s">
        <v>64</v>
      </c>
      <c r="F191" s="1">
        <f t="array" ref="F191">xlookup(E191,Sheet2!A:A,Sheet2!B:B)</f>
        <v>30</v>
      </c>
      <c r="G191" s="1" t="s">
        <v>374</v>
      </c>
      <c r="H191" s="3" t="str">
        <f t="array" ref="H191">JOIN("", SORT(MID(LOWER(G191), SEQUENCE(LEN(G191)), 1)))</f>
        <v>           ,,,,,aaaaaaaaabbbbbbceeeeeeeeehhhhiiimmmmmmmnnorrrrrrsssssssty</v>
      </c>
      <c r="I191" s="1" t="s">
        <v>63</v>
      </c>
      <c r="J191" s="1">
        <f t="array" ref="J191">xlookup(I191,Sheet2!A:A,Sheet2!B:B)</f>
        <v>29</v>
      </c>
      <c r="K191" s="1" t="s">
        <v>374</v>
      </c>
      <c r="L191" s="1" t="s">
        <v>61</v>
      </c>
      <c r="M191" s="1">
        <f t="array" ref="M191">xlookup(L191,Sheet2!A:A,Sheet2!B:B)</f>
        <v>31</v>
      </c>
      <c r="N191" s="1" t="s">
        <v>374</v>
      </c>
      <c r="O191" s="4" t="str">
        <f t="shared" si="1"/>
        <v>301949 : [30,29,31],</v>
      </c>
      <c r="P191" s="4" t="str">
        <f t="shared" si="2"/>
        <v>301949 : 1,</v>
      </c>
    </row>
    <row r="192">
      <c r="A192" s="1" t="s">
        <v>375</v>
      </c>
      <c r="B192" s="2">
        <v>321758.0</v>
      </c>
      <c r="C192" s="1" t="s">
        <v>282</v>
      </c>
      <c r="D192" s="1">
        <f t="array" ref="D192">xlookup(C192,Sheet3!A:A,Sheet3!B:B)</f>
        <v>1</v>
      </c>
      <c r="E192" s="1" t="s">
        <v>64</v>
      </c>
      <c r="F192" s="1">
        <f t="array" ref="F192">xlookup(E192,Sheet2!A:A,Sheet2!B:B)</f>
        <v>30</v>
      </c>
      <c r="G192" s="1" t="s">
        <v>376</v>
      </c>
      <c r="H192" s="3" t="str">
        <f t="array" ref="H192">JOIN("", SORT(MID(LOWER(G192), SEQUENCE(LEN(G192)), 1)))</f>
        <v>           ,,,,,aaaaaaaaabbbbbbceeeeeeeeehhhhiiimmmmmmmnnorrrrrrsssssssty</v>
      </c>
      <c r="I192" s="1" t="s">
        <v>63</v>
      </c>
      <c r="J192" s="1">
        <f t="array" ref="J192">xlookup(I192,Sheet2!A:A,Sheet2!B:B)</f>
        <v>29</v>
      </c>
      <c r="K192" s="1" t="s">
        <v>376</v>
      </c>
      <c r="L192" s="1" t="s">
        <v>61</v>
      </c>
      <c r="M192" s="1">
        <f t="array" ref="M192">xlookup(L192,Sheet2!A:A,Sheet2!B:B)</f>
        <v>31</v>
      </c>
      <c r="N192" s="1" t="s">
        <v>376</v>
      </c>
      <c r="O192" s="4" t="str">
        <f t="shared" si="1"/>
        <v>321758 : [30,29,31],</v>
      </c>
      <c r="P192" s="4" t="str">
        <f t="shared" si="2"/>
        <v>321758 : 1,</v>
      </c>
    </row>
    <row r="193">
      <c r="A193" s="1" t="s">
        <v>377</v>
      </c>
      <c r="B193" s="2">
        <v>139550.0</v>
      </c>
      <c r="C193" s="1" t="s">
        <v>282</v>
      </c>
      <c r="D193" s="1">
        <f t="array" ref="D193">xlookup(C193,Sheet3!A:A,Sheet3!B:B)</f>
        <v>1</v>
      </c>
      <c r="E193" s="1" t="s">
        <v>30</v>
      </c>
      <c r="F193" s="1">
        <f t="array" ref="F193">xlookup(E193,Sheet2!A:A,Sheet2!B:B)</f>
        <v>13</v>
      </c>
      <c r="G193" s="1" t="s">
        <v>378</v>
      </c>
      <c r="H193" s="3" t="str">
        <f t="array" ref="H193">JOIN("", SORT(MID(LOWER(G193), SEQUENCE(LEN(G193)), 1)))</f>
        <v>     ,,aaaaaaaabddeeeggghhhiiiilllmmnnnoprrrrrrrrsssuwy</v>
      </c>
      <c r="I193" s="1" t="s">
        <v>114</v>
      </c>
      <c r="J193" s="1">
        <f t="array" ref="J193">xlookup(I193,Sheet2!A:A,Sheet2!B:B)</f>
        <v>12</v>
      </c>
      <c r="K193" s="1" t="s">
        <v>378</v>
      </c>
      <c r="L193" s="1" t="s">
        <v>32</v>
      </c>
      <c r="M193" s="1">
        <f t="array" ref="M193">xlookup(L193,Sheet2!A:A,Sheet2!B:B)</f>
        <v>11</v>
      </c>
      <c r="N193" s="3" t="s">
        <v>378</v>
      </c>
      <c r="O193" s="4" t="str">
        <f t="shared" si="1"/>
        <v>139550 : [13,12,11],</v>
      </c>
      <c r="P193" s="4" t="str">
        <f t="shared" si="2"/>
        <v>139550 : 1,</v>
      </c>
    </row>
    <row r="194">
      <c r="A194" s="1" t="s">
        <v>379</v>
      </c>
      <c r="B194" s="2">
        <v>306570.0</v>
      </c>
      <c r="C194" s="1" t="s">
        <v>282</v>
      </c>
      <c r="D194" s="1">
        <f t="array" ref="D194">xlookup(C194,Sheet3!A:A,Sheet3!B:B)</f>
        <v>1</v>
      </c>
      <c r="E194" s="1" t="s">
        <v>114</v>
      </c>
      <c r="F194" s="1">
        <f t="array" ref="F194">xlookup(E194,Sheet2!A:A,Sheet2!B:B)</f>
        <v>12</v>
      </c>
      <c r="G194" s="1" t="s">
        <v>380</v>
      </c>
      <c r="H194" s="3" t="str">
        <f t="array" ref="H194">JOIN("", SORT(MID(LOWER(G194), SEQUENCE(LEN(G194)), 1)))</f>
        <v>     ,,aaaaaaaacceeehhhiiiiilllmnnoprrrrssttyy</v>
      </c>
      <c r="I194" s="1" t="s">
        <v>47</v>
      </c>
      <c r="J194" s="1">
        <f t="array" ref="J194">xlookup(I194,Sheet2!A:A,Sheet2!B:B)</f>
        <v>27</v>
      </c>
      <c r="K194" s="1" t="s">
        <v>380</v>
      </c>
      <c r="L194" s="1" t="s">
        <v>30</v>
      </c>
      <c r="M194" s="1">
        <f t="array" ref="M194">xlookup(L194,Sheet2!A:A,Sheet2!B:B)</f>
        <v>13</v>
      </c>
      <c r="N194" s="1" t="s">
        <v>380</v>
      </c>
      <c r="O194" s="4" t="str">
        <f t="shared" si="1"/>
        <v>306570 : [12,27,13],</v>
      </c>
      <c r="P194" s="4" t="str">
        <f t="shared" si="2"/>
        <v>306570 : 1,</v>
      </c>
    </row>
    <row r="195">
      <c r="A195" s="1" t="s">
        <v>381</v>
      </c>
      <c r="B195" s="2">
        <v>109386.0</v>
      </c>
      <c r="C195" s="1" t="s">
        <v>282</v>
      </c>
      <c r="D195" s="1">
        <f t="array" ref="D195">xlookup(C195,Sheet3!A:A,Sheet3!B:B)</f>
        <v>1</v>
      </c>
      <c r="E195" s="1" t="s">
        <v>16</v>
      </c>
      <c r="F195" s="1">
        <f t="array" ref="F195">xlookup(E195,Sheet2!A:A,Sheet2!B:B)</f>
        <v>3</v>
      </c>
      <c r="G195" s="1" t="s">
        <v>3</v>
      </c>
      <c r="H195" s="3" t="str">
        <f t="array" ref="H195">JOIN("", SORT(MID(LOWER(G195), SEQUENCE(LEN(G195)), 1)))</f>
        <v>an</v>
      </c>
      <c r="I195" s="1" t="s">
        <v>212</v>
      </c>
      <c r="J195" s="1">
        <f t="array" ref="J195">xlookup(I195,Sheet2!A:A,Sheet2!B:B)</f>
        <v>2</v>
      </c>
      <c r="K195" s="1" t="s">
        <v>3</v>
      </c>
      <c r="L195" s="1" t="s">
        <v>96</v>
      </c>
      <c r="M195" s="1">
        <f t="array" ref="M195">xlookup(L195,Sheet2!A:A,Sheet2!B:B)</f>
        <v>47</v>
      </c>
      <c r="N195" s="1" t="s">
        <v>3</v>
      </c>
      <c r="O195" s="4" t="str">
        <f t="shared" si="1"/>
        <v>109386 : [3,2,47],</v>
      </c>
      <c r="P195" s="4" t="str">
        <f t="shared" si="2"/>
        <v>109386 : 1,</v>
      </c>
    </row>
    <row r="196">
      <c r="A196" s="1" t="s">
        <v>382</v>
      </c>
      <c r="B196" s="2">
        <v>320476.0</v>
      </c>
      <c r="C196" s="1" t="s">
        <v>282</v>
      </c>
      <c r="D196" s="1">
        <f t="array" ref="D196">xlookup(C196,Sheet3!A:A,Sheet3!B:B)</f>
        <v>1</v>
      </c>
      <c r="E196" s="1" t="s">
        <v>74</v>
      </c>
      <c r="F196" s="1">
        <f t="array" ref="F196">xlookup(E196,Sheet2!A:A,Sheet2!B:B)</f>
        <v>50</v>
      </c>
      <c r="G196" s="1" t="s">
        <v>383</v>
      </c>
      <c r="H196" s="3" t="str">
        <f t="array" ref="H196">JOIN("", SORT(MID(LOWER(G196), SEQUENCE(LEN(G196)), 1)))</f>
        <v>   ,aacddeehijnoorstvyy</v>
      </c>
      <c r="I196" s="1" t="s">
        <v>7</v>
      </c>
      <c r="J196" s="1">
        <f t="array" ref="J196">xlookup(I196,Sheet2!A:A,Sheet2!B:B)</f>
        <v>15</v>
      </c>
      <c r="K196" s="1" t="s">
        <v>383</v>
      </c>
      <c r="L196" s="1" t="s">
        <v>72</v>
      </c>
      <c r="M196" s="1">
        <f t="array" ref="M196">xlookup(L196,Sheet2!A:A,Sheet2!B:B)</f>
        <v>34</v>
      </c>
      <c r="N196" s="1" t="s">
        <v>383</v>
      </c>
      <c r="O196" s="4" t="str">
        <f t="shared" si="1"/>
        <v>320476 : [50,15,34],</v>
      </c>
      <c r="P196" s="4" t="str">
        <f t="shared" si="2"/>
        <v>320476 : 1,</v>
      </c>
    </row>
    <row r="197">
      <c r="A197" s="1" t="s">
        <v>384</v>
      </c>
      <c r="B197" s="2">
        <v>136455.0</v>
      </c>
      <c r="C197" s="1" t="s">
        <v>282</v>
      </c>
      <c r="D197" s="1">
        <f t="array" ref="D197">xlookup(C197,Sheet3!A:A,Sheet3!B:B)</f>
        <v>1</v>
      </c>
      <c r="E197" s="1" t="s">
        <v>105</v>
      </c>
      <c r="F197" s="1">
        <f t="array" ref="F197">xlookup(E197,Sheet2!A:A,Sheet2!B:B)</f>
        <v>26</v>
      </c>
      <c r="G197" s="1" t="s">
        <v>3</v>
      </c>
      <c r="H197" s="3" t="str">
        <f t="array" ref="H197">JOIN("", SORT(MID(LOWER(G197), SEQUENCE(LEN(G197)), 1)))</f>
        <v>an</v>
      </c>
      <c r="I197" s="1" t="s">
        <v>2</v>
      </c>
      <c r="J197" s="1">
        <f t="array" ref="J197">xlookup(I197,Sheet2!A:A,Sheet2!B:B)</f>
        <v>25</v>
      </c>
      <c r="K197" s="1" t="s">
        <v>3</v>
      </c>
      <c r="L197" s="1" t="s">
        <v>167</v>
      </c>
      <c r="M197" s="1">
        <f t="array" ref="M197">xlookup(L197,Sheet2!A:A,Sheet2!B:B)</f>
        <v>33</v>
      </c>
      <c r="N197" s="1" t="s">
        <v>3</v>
      </c>
      <c r="O197" s="4" t="str">
        <f t="shared" si="1"/>
        <v>136455 : [26,25,33],</v>
      </c>
      <c r="P197" s="4" t="str">
        <f t="shared" si="2"/>
        <v>136455 : 1,</v>
      </c>
    </row>
    <row r="198">
      <c r="A198" s="1" t="s">
        <v>385</v>
      </c>
      <c r="B198" s="2">
        <v>119856.0</v>
      </c>
      <c r="C198" s="1" t="s">
        <v>282</v>
      </c>
      <c r="D198" s="1">
        <f t="array" ref="D198">xlookup(C198,Sheet3!A:A,Sheet3!B:B)</f>
        <v>1</v>
      </c>
      <c r="E198" s="1" t="s">
        <v>18</v>
      </c>
      <c r="F198" s="1">
        <f t="array" ref="F198">xlookup(E198,Sheet2!A:A,Sheet2!B:B)</f>
        <v>22</v>
      </c>
      <c r="G198" s="1" t="s">
        <v>386</v>
      </c>
      <c r="H198" s="3" t="str">
        <f t="array" ref="H198">JOIN("", SORT(MID(LOWER(G198), SEQUENCE(LEN(G198)), 1)))</f>
        <v>      ,,aaaaaaaaadefhiiiiklllmnnnoprrsssyy</v>
      </c>
      <c r="I198" s="1" t="s">
        <v>21</v>
      </c>
      <c r="J198" s="1">
        <f t="array" ref="J198">xlookup(I198,Sheet2!A:A,Sheet2!B:B)</f>
        <v>10</v>
      </c>
      <c r="K198" s="1" t="s">
        <v>386</v>
      </c>
      <c r="L198" s="1" t="s">
        <v>42</v>
      </c>
      <c r="M198" s="1">
        <f t="array" ref="M198">xlookup(L198,Sheet2!A:A,Sheet2!B:B)</f>
        <v>14</v>
      </c>
      <c r="N198" s="1" t="s">
        <v>386</v>
      </c>
      <c r="O198" s="4" t="str">
        <f t="shared" si="1"/>
        <v>119856 : [22,10,14],</v>
      </c>
      <c r="P198" s="4" t="str">
        <f t="shared" si="2"/>
        <v>119856 : 1,</v>
      </c>
    </row>
    <row r="199">
      <c r="A199" s="1" t="s">
        <v>387</v>
      </c>
      <c r="B199" s="2">
        <v>110246.0</v>
      </c>
      <c r="C199" s="1" t="s">
        <v>282</v>
      </c>
      <c r="D199" s="1">
        <f t="array" ref="D199">xlookup(C199,Sheet3!A:A,Sheet3!B:B)</f>
        <v>1</v>
      </c>
      <c r="E199" s="1" t="s">
        <v>30</v>
      </c>
      <c r="F199" s="1">
        <f t="array" ref="F199">xlookup(E199,Sheet2!A:A,Sheet2!B:B)</f>
        <v>13</v>
      </c>
      <c r="G199" s="1" t="s">
        <v>388</v>
      </c>
      <c r="H199" s="3" t="str">
        <f t="array" ref="H199">JOIN("", SORT(MID(LOWER(G199), SEQUENCE(LEN(G199)), 1)))</f>
        <v>     ,,aaaaaaaabddeeggghhhhiiiiilllmmnnnoprrrrrrrrsssuwy</v>
      </c>
      <c r="I199" s="1" t="s">
        <v>114</v>
      </c>
      <c r="J199" s="1">
        <f t="array" ref="J199">xlookup(I199,Sheet2!A:A,Sheet2!B:B)</f>
        <v>12</v>
      </c>
      <c r="K199" s="1" t="s">
        <v>388</v>
      </c>
      <c r="L199" s="1" t="s">
        <v>32</v>
      </c>
      <c r="M199" s="1">
        <f t="array" ref="M199">xlookup(L199,Sheet2!A:A,Sheet2!B:B)</f>
        <v>11</v>
      </c>
      <c r="N199" s="1" t="s">
        <v>388</v>
      </c>
      <c r="O199" s="4" t="str">
        <f t="shared" si="1"/>
        <v>110246 : [13,12,11],</v>
      </c>
      <c r="P199" s="4" t="str">
        <f t="shared" si="2"/>
        <v>110246 : 1,</v>
      </c>
    </row>
    <row r="200">
      <c r="A200" s="1" t="s">
        <v>389</v>
      </c>
      <c r="B200" s="2">
        <v>157686.0</v>
      </c>
      <c r="C200" s="1" t="s">
        <v>282</v>
      </c>
      <c r="D200" s="1">
        <f t="array" ref="D200">xlookup(C200,Sheet3!A:A,Sheet3!B:B)</f>
        <v>1</v>
      </c>
      <c r="E200" s="1" t="s">
        <v>20</v>
      </c>
      <c r="F200" s="1">
        <f t="array" ref="F200">xlookup(E200,Sheet2!A:A,Sheet2!B:B)</f>
        <v>48</v>
      </c>
      <c r="G200" s="1" t="s">
        <v>390</v>
      </c>
      <c r="H200" s="3" t="str">
        <f t="array" ref="H200">JOIN("", SORT(MID(LOWER(G200), SEQUENCE(LEN(G200)), 1)))</f>
        <v>     ,,aaaaaaaaaaaaaccdeeehiijkklmnnnnnnorrrxy</v>
      </c>
      <c r="I200" s="1" t="s">
        <v>170</v>
      </c>
      <c r="J200" s="1">
        <f t="array" ref="J200">xlookup(I200,Sheet2!A:A,Sheet2!B:B)</f>
        <v>16</v>
      </c>
      <c r="K200" s="1" t="s">
        <v>390</v>
      </c>
      <c r="L200" s="1" t="s">
        <v>25</v>
      </c>
      <c r="M200" s="1">
        <f t="array" ref="M200">xlookup(L200,Sheet2!A:A,Sheet2!B:B)</f>
        <v>18</v>
      </c>
      <c r="N200" s="1" t="s">
        <v>390</v>
      </c>
      <c r="O200" s="4" t="str">
        <f t="shared" si="1"/>
        <v>157686 : [48,16,18],</v>
      </c>
      <c r="P200" s="4" t="str">
        <f t="shared" si="2"/>
        <v>157686 : 1,</v>
      </c>
    </row>
    <row r="201">
      <c r="A201" s="1" t="s">
        <v>391</v>
      </c>
      <c r="B201" s="2">
        <v>138182.0</v>
      </c>
      <c r="C201" s="1" t="s">
        <v>282</v>
      </c>
      <c r="D201" s="1">
        <f t="array" ref="D201">xlookup(C201,Sheet3!A:A,Sheet3!B:B)</f>
        <v>1</v>
      </c>
      <c r="E201" s="1" t="s">
        <v>38</v>
      </c>
      <c r="F201" s="1">
        <f t="array" ref="F201">xlookup(E201,Sheet2!A:A,Sheet2!B:B)</f>
        <v>6</v>
      </c>
      <c r="G201" s="1" t="s">
        <v>3</v>
      </c>
      <c r="H201" s="3" t="str">
        <f t="array" ref="H201">JOIN("", SORT(MID(LOWER(G201), SEQUENCE(LEN(G201)), 1)))</f>
        <v>an</v>
      </c>
      <c r="I201" s="1" t="s">
        <v>167</v>
      </c>
      <c r="J201" s="1">
        <f t="array" ref="J201">xlookup(I201,Sheet2!A:A,Sheet2!B:B)</f>
        <v>33</v>
      </c>
      <c r="K201" s="1" t="s">
        <v>3</v>
      </c>
      <c r="L201" s="1" t="s">
        <v>40</v>
      </c>
      <c r="M201" s="1">
        <f t="array" ref="M201">xlookup(L201,Sheet2!A:A,Sheet2!B:B)</f>
        <v>44</v>
      </c>
      <c r="N201" s="1" t="s">
        <v>3</v>
      </c>
      <c r="O201" s="4" t="str">
        <f t="shared" si="1"/>
        <v>138182 : [6,33,44],</v>
      </c>
      <c r="P201" s="4" t="str">
        <f t="shared" si="2"/>
        <v>138182 : 1,</v>
      </c>
    </row>
    <row r="202">
      <c r="A202" s="1" t="s">
        <v>392</v>
      </c>
      <c r="B202" s="2">
        <v>186690.0</v>
      </c>
      <c r="C202" s="1" t="s">
        <v>282</v>
      </c>
      <c r="D202" s="1">
        <f t="array" ref="D202">xlookup(C202,Sheet3!A:A,Sheet3!B:B)</f>
        <v>1</v>
      </c>
      <c r="E202" s="1" t="s">
        <v>207</v>
      </c>
      <c r="F202" s="1">
        <f t="array" ref="F202">xlookup(E202,Sheet2!A:A,Sheet2!B:B)</f>
        <v>1</v>
      </c>
      <c r="G202" s="1" t="s">
        <v>3</v>
      </c>
      <c r="H202" s="3" t="str">
        <f t="array" ref="H202">JOIN("", SORT(MID(LOWER(G202), SEQUENCE(LEN(G202)), 1)))</f>
        <v>an</v>
      </c>
      <c r="I202" s="1" t="s">
        <v>39</v>
      </c>
      <c r="J202" s="1">
        <f t="array" ref="J202">xlookup(I202,Sheet2!A:A,Sheet2!B:B)</f>
        <v>20</v>
      </c>
      <c r="K202" s="1" t="s">
        <v>3</v>
      </c>
      <c r="L202" s="1" t="s">
        <v>96</v>
      </c>
      <c r="M202" s="1">
        <f t="array" ref="M202">xlookup(L202,Sheet2!A:A,Sheet2!B:B)</f>
        <v>47</v>
      </c>
      <c r="N202" s="1" t="s">
        <v>3</v>
      </c>
      <c r="O202" s="4" t="str">
        <f t="shared" si="1"/>
        <v>186690 : [1,20,47],</v>
      </c>
      <c r="P202" s="4" t="str">
        <f t="shared" si="2"/>
        <v>186690 : 1,</v>
      </c>
    </row>
    <row r="203">
      <c r="A203" s="1" t="s">
        <v>393</v>
      </c>
      <c r="B203" s="2">
        <v>148203.0</v>
      </c>
      <c r="C203" s="1" t="s">
        <v>282</v>
      </c>
      <c r="D203" s="1">
        <f t="array" ref="D203">xlookup(C203,Sheet3!A:A,Sheet3!B:B)</f>
        <v>1</v>
      </c>
      <c r="E203" s="1" t="s">
        <v>16</v>
      </c>
      <c r="F203" s="1">
        <f t="array" ref="F203">xlookup(E203,Sheet2!A:A,Sheet2!B:B)</f>
        <v>3</v>
      </c>
      <c r="G203" s="1" t="s">
        <v>3</v>
      </c>
      <c r="H203" s="3" t="str">
        <f t="array" ref="H203">JOIN("", SORT(MID(LOWER(G203), SEQUENCE(LEN(G203)), 1)))</f>
        <v>an</v>
      </c>
      <c r="I203" s="1" t="s">
        <v>124</v>
      </c>
      <c r="J203" s="1">
        <f t="array" ref="J203">xlookup(I203,Sheet2!A:A,Sheet2!B:B)</f>
        <v>46</v>
      </c>
      <c r="K203" s="1" t="s">
        <v>3</v>
      </c>
      <c r="L203" s="1" t="s">
        <v>42</v>
      </c>
      <c r="M203" s="1">
        <f t="array" ref="M203">xlookup(L203,Sheet2!A:A,Sheet2!B:B)</f>
        <v>14</v>
      </c>
      <c r="N203" s="1" t="s">
        <v>3</v>
      </c>
      <c r="O203" s="4" t="str">
        <f t="shared" si="1"/>
        <v>148203 : [3,46,14],</v>
      </c>
      <c r="P203" s="4" t="str">
        <f t="shared" si="2"/>
        <v>148203 : 1,</v>
      </c>
    </row>
    <row r="204">
      <c r="A204" s="1" t="s">
        <v>394</v>
      </c>
      <c r="B204" s="2">
        <v>184382.0</v>
      </c>
      <c r="C204" s="1" t="s">
        <v>282</v>
      </c>
      <c r="D204" s="1">
        <f t="array" ref="D204">xlookup(C204,Sheet3!A:A,Sheet3!B:B)</f>
        <v>1</v>
      </c>
      <c r="E204" s="1" t="s">
        <v>207</v>
      </c>
      <c r="F204" s="1">
        <f t="array" ref="F204">xlookup(E204,Sheet2!A:A,Sheet2!B:B)</f>
        <v>1</v>
      </c>
      <c r="G204" s="1" t="s">
        <v>3</v>
      </c>
      <c r="H204" s="3" t="str">
        <f t="array" ref="H204">JOIN("", SORT(MID(LOWER(G204), SEQUENCE(LEN(G204)), 1)))</f>
        <v>an</v>
      </c>
      <c r="I204" s="1" t="s">
        <v>2</v>
      </c>
      <c r="J204" s="1">
        <f t="array" ref="J204">xlookup(I204,Sheet2!A:A,Sheet2!B:B)</f>
        <v>25</v>
      </c>
      <c r="K204" s="1" t="s">
        <v>3</v>
      </c>
      <c r="L204" s="1" t="s">
        <v>105</v>
      </c>
      <c r="M204" s="1">
        <f t="array" ref="M204">xlookup(L204,Sheet2!A:A,Sheet2!B:B)</f>
        <v>26</v>
      </c>
      <c r="N204" s="1" t="s">
        <v>3</v>
      </c>
      <c r="O204" s="4" t="str">
        <f t="shared" si="1"/>
        <v>184382 : [1,25,26],</v>
      </c>
      <c r="P204" s="4" t="str">
        <f t="shared" si="2"/>
        <v>184382 : 1,</v>
      </c>
    </row>
    <row r="205">
      <c r="A205" s="1" t="s">
        <v>395</v>
      </c>
      <c r="B205" s="2">
        <v>314091.0</v>
      </c>
      <c r="C205" s="1" t="s">
        <v>282</v>
      </c>
      <c r="D205" s="1">
        <f t="array" ref="D205">xlookup(C205,Sheet3!A:A,Sheet3!B:B)</f>
        <v>1</v>
      </c>
      <c r="E205" s="1" t="s">
        <v>18</v>
      </c>
      <c r="F205" s="1">
        <f t="array" ref="F205">xlookup(E205,Sheet2!A:A,Sheet2!B:B)</f>
        <v>22</v>
      </c>
      <c r="G205" s="1" t="s">
        <v>3</v>
      </c>
      <c r="H205" s="3" t="str">
        <f t="array" ref="H205">JOIN("", SORT(MID(LOWER(G205), SEQUENCE(LEN(G205)), 1)))</f>
        <v>an</v>
      </c>
      <c r="I205" s="1" t="s">
        <v>39</v>
      </c>
      <c r="J205" s="1">
        <f t="array" ref="J205">xlookup(I205,Sheet2!A:A,Sheet2!B:B)</f>
        <v>20</v>
      </c>
      <c r="K205" s="1" t="s">
        <v>3</v>
      </c>
      <c r="L205" s="1" t="s">
        <v>20</v>
      </c>
      <c r="M205" s="1">
        <f t="array" ref="M205">xlookup(L205,Sheet2!A:A,Sheet2!B:B)</f>
        <v>48</v>
      </c>
      <c r="N205" s="1" t="s">
        <v>3</v>
      </c>
      <c r="O205" s="4" t="str">
        <f t="shared" si="1"/>
        <v>314091 : [22,20,48],</v>
      </c>
      <c r="P205" s="4" t="str">
        <f t="shared" si="2"/>
        <v>314091 : 1,</v>
      </c>
    </row>
    <row r="206">
      <c r="A206" s="1" t="s">
        <v>396</v>
      </c>
      <c r="B206" s="2">
        <v>323704.0</v>
      </c>
      <c r="C206" s="1" t="s">
        <v>282</v>
      </c>
      <c r="D206" s="1">
        <f t="array" ref="D206">xlookup(C206,Sheet3!A:A,Sheet3!B:B)</f>
        <v>1</v>
      </c>
      <c r="E206" s="1" t="s">
        <v>28</v>
      </c>
      <c r="F206" s="1">
        <f t="array" ref="F206">xlookup(E206,Sheet2!A:A,Sheet2!B:B)</f>
        <v>32</v>
      </c>
      <c r="G206" s="1" t="s">
        <v>397</v>
      </c>
      <c r="H206" s="3" t="str">
        <f t="array" ref="H206">JOIN("", SORT(MID(LOWER(G206), SEQUENCE(LEN(G206)), 1)))</f>
        <v>     ,,aaaaeeghhhhiiijjjlnnnnosssuu</v>
      </c>
      <c r="I206" s="1" t="s">
        <v>139</v>
      </c>
      <c r="J206" s="1">
        <f t="array" ref="J206">xlookup(I206,Sheet2!A:A,Sheet2!B:B)</f>
        <v>21</v>
      </c>
      <c r="K206" s="1" t="s">
        <v>397</v>
      </c>
      <c r="L206" s="1" t="s">
        <v>111</v>
      </c>
      <c r="M206" s="1">
        <f t="array" ref="M206">xlookup(L206,Sheet2!A:A,Sheet2!B:B)</f>
        <v>28</v>
      </c>
      <c r="N206" s="1" t="s">
        <v>397</v>
      </c>
      <c r="O206" s="4" t="str">
        <f t="shared" si="1"/>
        <v>323704 : [32,21,28],</v>
      </c>
      <c r="P206" s="4" t="str">
        <f t="shared" si="2"/>
        <v>323704 : 1,</v>
      </c>
    </row>
    <row r="207">
      <c r="A207" s="1" t="s">
        <v>398</v>
      </c>
      <c r="B207" s="2">
        <v>138453.0</v>
      </c>
      <c r="C207" s="1" t="s">
        <v>282</v>
      </c>
      <c r="D207" s="1">
        <f t="array" ref="D207">xlookup(C207,Sheet3!A:A,Sheet3!B:B)</f>
        <v>1</v>
      </c>
      <c r="E207" s="1" t="s">
        <v>28</v>
      </c>
      <c r="F207" s="1">
        <f t="array" ref="F207">xlookup(E207,Sheet2!A:A,Sheet2!B:B)</f>
        <v>32</v>
      </c>
      <c r="G207" s="1" t="s">
        <v>399</v>
      </c>
      <c r="H207" s="3" t="str">
        <f t="array" ref="H207">JOIN("", SORT(MID(LOWER(G207), SEQUENCE(LEN(G207)), 1)))</f>
        <v>     ,,aaaaeeghhhhiiijjjlnnnnosssuu</v>
      </c>
      <c r="I207" s="1" t="s">
        <v>139</v>
      </c>
      <c r="J207" s="1">
        <f t="array" ref="J207">xlookup(I207,Sheet2!A:A,Sheet2!B:B)</f>
        <v>21</v>
      </c>
      <c r="K207" s="1" t="s">
        <v>399</v>
      </c>
      <c r="L207" s="1" t="s">
        <v>111</v>
      </c>
      <c r="M207" s="1">
        <f t="array" ref="M207">xlookup(L207,Sheet2!A:A,Sheet2!B:B)</f>
        <v>28</v>
      </c>
      <c r="N207" s="1" t="s">
        <v>399</v>
      </c>
      <c r="O207" s="4" t="str">
        <f t="shared" si="1"/>
        <v>138453 : [32,21,28],</v>
      </c>
      <c r="P207" s="4" t="str">
        <f t="shared" si="2"/>
        <v>138453 : 1,</v>
      </c>
    </row>
    <row r="208">
      <c r="A208" s="1" t="s">
        <v>400</v>
      </c>
      <c r="B208" s="2">
        <v>119273.0</v>
      </c>
      <c r="C208" s="1" t="s">
        <v>282</v>
      </c>
      <c r="D208" s="1">
        <f t="array" ref="D208">xlookup(C208,Sheet3!A:A,Sheet3!B:B)</f>
        <v>1</v>
      </c>
      <c r="E208" s="1" t="s">
        <v>15</v>
      </c>
      <c r="F208" s="1">
        <f t="array" ref="F208">xlookup(E208,Sheet2!A:A,Sheet2!B:B)</f>
        <v>0</v>
      </c>
      <c r="G208" s="1" t="s">
        <v>3</v>
      </c>
      <c r="H208" s="3" t="str">
        <f t="array" ref="H208">JOIN("", SORT(MID(LOWER(G208), SEQUENCE(LEN(G208)), 1)))</f>
        <v>an</v>
      </c>
      <c r="I208" s="1" t="s">
        <v>16</v>
      </c>
      <c r="J208" s="1">
        <f t="array" ref="J208">xlookup(I208,Sheet2!A:A,Sheet2!B:B)</f>
        <v>3</v>
      </c>
      <c r="K208" s="1" t="s">
        <v>3</v>
      </c>
      <c r="L208" s="1" t="s">
        <v>401</v>
      </c>
      <c r="M208" s="1">
        <f t="array" ref="M208">xlookup(L208,Sheet2!A:A,Sheet2!B:B)</f>
        <v>38</v>
      </c>
      <c r="N208" s="1" t="s">
        <v>3</v>
      </c>
      <c r="O208" s="4" t="str">
        <f t="shared" si="1"/>
        <v>119273 : [0,3,38],</v>
      </c>
      <c r="P208" s="4" t="str">
        <f t="shared" si="2"/>
        <v>119273 : 1,</v>
      </c>
    </row>
    <row r="209">
      <c r="A209" s="1" t="s">
        <v>402</v>
      </c>
      <c r="B209" s="2">
        <v>320421.0</v>
      </c>
      <c r="C209" s="1" t="s">
        <v>282</v>
      </c>
      <c r="D209" s="1">
        <f t="array" ref="D209">xlookup(C209,Sheet3!A:A,Sheet3!B:B)</f>
        <v>1</v>
      </c>
      <c r="E209" s="1" t="s">
        <v>4</v>
      </c>
      <c r="F209" s="1">
        <f t="array" ref="F209">xlookup(E209,Sheet2!A:A,Sheet2!B:B)</f>
        <v>23</v>
      </c>
      <c r="G209" s="1" t="s">
        <v>3</v>
      </c>
      <c r="H209" s="3" t="str">
        <f t="array" ref="H209">JOIN("", SORT(MID(LOWER(G209), SEQUENCE(LEN(G209)), 1)))</f>
        <v>an</v>
      </c>
      <c r="I209" s="1" t="s">
        <v>120</v>
      </c>
      <c r="J209" s="1">
        <f t="array" ref="J209">xlookup(I209,Sheet2!A:A,Sheet2!B:B)</f>
        <v>42</v>
      </c>
      <c r="K209" s="1" t="s">
        <v>3</v>
      </c>
      <c r="L209" s="1" t="s">
        <v>2</v>
      </c>
      <c r="M209" s="1">
        <f t="array" ref="M209">xlookup(L209,Sheet2!A:A,Sheet2!B:B)</f>
        <v>25</v>
      </c>
      <c r="N209" s="1" t="s">
        <v>3</v>
      </c>
      <c r="O209" s="4" t="str">
        <f t="shared" si="1"/>
        <v>320421 : [23,42,25],</v>
      </c>
      <c r="P209" s="4" t="str">
        <f t="shared" si="2"/>
        <v>320421 : 1,</v>
      </c>
    </row>
    <row r="210">
      <c r="A210" s="1" t="s">
        <v>403</v>
      </c>
      <c r="B210" s="2">
        <v>137945.0</v>
      </c>
      <c r="C210" s="1" t="s">
        <v>282</v>
      </c>
      <c r="D210" s="1">
        <f t="array" ref="D210">xlookup(C210,Sheet3!A:A,Sheet3!B:B)</f>
        <v>1</v>
      </c>
      <c r="E210" s="1" t="s">
        <v>20</v>
      </c>
      <c r="F210" s="1">
        <f t="array" ref="F210">xlookup(E210,Sheet2!A:A,Sheet2!B:B)</f>
        <v>48</v>
      </c>
      <c r="G210" s="1" t="s">
        <v>404</v>
      </c>
      <c r="H210" s="3" t="str">
        <f t="array" ref="H210">JOIN("", SORT(MID(LOWER(G210), SEQUENCE(LEN(G210)), 1)))</f>
        <v>     ,,aaaaaaaaaaaaaccdeeehiijkklmnnnnnnorrrxy</v>
      </c>
      <c r="I210" s="1" t="s">
        <v>26</v>
      </c>
      <c r="J210" s="1">
        <f t="array" ref="J210">xlookup(I210,Sheet2!A:A,Sheet2!B:B)</f>
        <v>7</v>
      </c>
      <c r="K210" s="1" t="s">
        <v>404</v>
      </c>
      <c r="L210" s="1" t="s">
        <v>170</v>
      </c>
      <c r="M210" s="1">
        <f t="array" ref="M210">xlookup(L210,Sheet2!A:A,Sheet2!B:B)</f>
        <v>16</v>
      </c>
      <c r="N210" s="1" t="s">
        <v>404</v>
      </c>
      <c r="O210" s="4" t="str">
        <f t="shared" si="1"/>
        <v>137945 : [48,7,16],</v>
      </c>
      <c r="P210" s="4" t="str">
        <f t="shared" si="2"/>
        <v>137945 : 1,</v>
      </c>
    </row>
    <row r="211">
      <c r="A211" s="1" t="s">
        <v>405</v>
      </c>
      <c r="B211" s="2">
        <v>503997.0</v>
      </c>
      <c r="C211" s="1" t="s">
        <v>282</v>
      </c>
      <c r="D211" s="1">
        <f t="array" ref="D211">xlookup(C211,Sheet3!A:A,Sheet3!B:B)</f>
        <v>1</v>
      </c>
      <c r="E211" s="1" t="s">
        <v>63</v>
      </c>
      <c r="F211" s="1">
        <f t="array" ref="F211">xlookup(E211,Sheet2!A:A,Sheet2!B:B)</f>
        <v>29</v>
      </c>
      <c r="G211" s="1" t="s">
        <v>3</v>
      </c>
      <c r="H211" s="3" t="str">
        <f t="array" ref="H211">JOIN("", SORT(MID(LOWER(G211), SEQUENCE(LEN(G211)), 1)))</f>
        <v>an</v>
      </c>
      <c r="I211" s="1" t="s">
        <v>64</v>
      </c>
      <c r="J211" s="1">
        <f t="array" ref="J211">xlookup(I211,Sheet2!A:A,Sheet2!B:B)</f>
        <v>30</v>
      </c>
      <c r="K211" s="1" t="s">
        <v>3</v>
      </c>
      <c r="L211" s="1" t="s">
        <v>109</v>
      </c>
      <c r="M211" s="1">
        <f t="array" ref="M211">xlookup(L211,Sheet2!A:A,Sheet2!B:B)</f>
        <v>49</v>
      </c>
      <c r="N211" s="1" t="s">
        <v>3</v>
      </c>
      <c r="O211" s="4" t="str">
        <f t="shared" si="1"/>
        <v>503997 : [29,30,49],</v>
      </c>
      <c r="P211" s="4" t="str">
        <f t="shared" si="2"/>
        <v>503997 : 1,</v>
      </c>
    </row>
    <row r="212">
      <c r="A212" s="1" t="s">
        <v>406</v>
      </c>
      <c r="B212" s="2">
        <v>118770.0</v>
      </c>
      <c r="C212" s="1" t="s">
        <v>282</v>
      </c>
      <c r="D212" s="1">
        <f t="array" ref="D212">xlookup(C212,Sheet3!A:A,Sheet3!B:B)</f>
        <v>1</v>
      </c>
      <c r="E212" s="1" t="s">
        <v>120</v>
      </c>
      <c r="F212" s="1">
        <f t="array" ref="F212">xlookup(E212,Sheet2!A:A,Sheet2!B:B)</f>
        <v>42</v>
      </c>
      <c r="G212" s="1" t="s">
        <v>3</v>
      </c>
      <c r="H212" s="3" t="str">
        <f t="array" ref="H212">JOIN("", SORT(MID(LOWER(G212), SEQUENCE(LEN(G212)), 1)))</f>
        <v>an</v>
      </c>
      <c r="I212" s="1" t="s">
        <v>204</v>
      </c>
      <c r="J212" s="1">
        <f t="array" ref="J212">xlookup(I212,Sheet2!A:A,Sheet2!B:B)</f>
        <v>43</v>
      </c>
      <c r="K212" s="1" t="s">
        <v>3</v>
      </c>
      <c r="L212" s="1" t="s">
        <v>105</v>
      </c>
      <c r="M212" s="1">
        <f t="array" ref="M212">xlookup(L212,Sheet2!A:A,Sheet2!B:B)</f>
        <v>26</v>
      </c>
      <c r="N212" s="1" t="s">
        <v>3</v>
      </c>
      <c r="O212" s="4" t="str">
        <f t="shared" si="1"/>
        <v>118770 : [42,43,26],</v>
      </c>
      <c r="P212" s="4" t="str">
        <f t="shared" si="2"/>
        <v>118770 : 1,</v>
      </c>
    </row>
    <row r="213">
      <c r="A213" s="3" t="s">
        <v>407</v>
      </c>
      <c r="B213" s="5">
        <v>149616.0</v>
      </c>
      <c r="C213" s="3" t="s">
        <v>282</v>
      </c>
      <c r="D213" s="1">
        <f t="array" ref="D213">xlookup(C213,Sheet3!A:A,Sheet3!B:B)</f>
        <v>1</v>
      </c>
      <c r="E213" s="3" t="s">
        <v>204</v>
      </c>
      <c r="F213" s="1">
        <f t="array" ref="F213">xlookup(E213,Sheet2!A:A,Sheet2!B:B)</f>
        <v>43</v>
      </c>
      <c r="G213" s="3" t="s">
        <v>3</v>
      </c>
      <c r="H213" s="3" t="str">
        <f t="array" ref="H213">JOIN("", SORT(MID(LOWER(G213), SEQUENCE(LEN(G213)), 1)))</f>
        <v>an</v>
      </c>
      <c r="I213" s="3" t="s">
        <v>2</v>
      </c>
      <c r="J213" s="1">
        <f t="array" ref="J213">xlookup(I213,Sheet2!A:A,Sheet2!B:B)</f>
        <v>25</v>
      </c>
      <c r="K213" s="3" t="s">
        <v>3</v>
      </c>
      <c r="L213" s="3" t="s">
        <v>120</v>
      </c>
      <c r="M213" s="1">
        <f t="array" ref="M213">xlookup(L213,Sheet2!A:A,Sheet2!B:B)</f>
        <v>42</v>
      </c>
      <c r="N213" s="3" t="s">
        <v>3</v>
      </c>
      <c r="O213" s="4" t="str">
        <f t="shared" si="1"/>
        <v>149616 : [43,25,42],</v>
      </c>
      <c r="P213" s="4" t="str">
        <f t="shared" si="2"/>
        <v>149616 : 1,</v>
      </c>
    </row>
    <row r="214">
      <c r="A214" s="1" t="s">
        <v>408</v>
      </c>
      <c r="B214" s="2">
        <v>162280.0</v>
      </c>
      <c r="C214" s="1" t="s">
        <v>282</v>
      </c>
      <c r="D214" s="1">
        <f t="array" ref="D214">xlookup(C214,Sheet3!A:A,Sheet3!B:B)</f>
        <v>1</v>
      </c>
      <c r="E214" s="1" t="s">
        <v>5</v>
      </c>
      <c r="F214" s="1">
        <f t="array" ref="F214">xlookup(E214,Sheet2!A:A,Sheet2!B:B)</f>
        <v>35</v>
      </c>
      <c r="G214" s="1" t="s">
        <v>3</v>
      </c>
      <c r="H214" s="3" t="str">
        <f t="array" ref="H214">JOIN("", SORT(MID(LOWER(G214), SEQUENCE(LEN(G214)), 1)))</f>
        <v>an</v>
      </c>
      <c r="I214" s="1" t="s">
        <v>18</v>
      </c>
      <c r="J214" s="1">
        <f t="array" ref="J214">xlookup(I214,Sheet2!A:A,Sheet2!B:B)</f>
        <v>22</v>
      </c>
      <c r="K214" s="1" t="s">
        <v>3</v>
      </c>
      <c r="L214" s="1" t="s">
        <v>105</v>
      </c>
      <c r="M214" s="1">
        <f t="array" ref="M214">xlookup(L214,Sheet2!A:A,Sheet2!B:B)</f>
        <v>26</v>
      </c>
      <c r="N214" s="1" t="s">
        <v>3</v>
      </c>
      <c r="O214" s="4" t="str">
        <f t="shared" si="1"/>
        <v>162280 : [35,22,26],</v>
      </c>
      <c r="P214" s="4" t="str">
        <f t="shared" si="2"/>
        <v>162280 : 1,</v>
      </c>
    </row>
    <row r="215">
      <c r="A215" s="1" t="s">
        <v>409</v>
      </c>
      <c r="B215" s="2">
        <v>138608.0</v>
      </c>
      <c r="C215" s="1" t="s">
        <v>282</v>
      </c>
      <c r="D215" s="1">
        <f t="array" ref="D215">xlookup(C215,Sheet3!A:A,Sheet3!B:B)</f>
        <v>1</v>
      </c>
      <c r="E215" s="1" t="s">
        <v>72</v>
      </c>
      <c r="F215" s="1">
        <f t="array" ref="F215">xlookup(E215,Sheet2!A:A,Sheet2!B:B)</f>
        <v>34</v>
      </c>
      <c r="G215" s="1" t="s">
        <v>410</v>
      </c>
      <c r="H215" s="3" t="str">
        <f t="array" ref="H215">JOIN("", SORT(MID(LOWER(G215), SEQUENCE(LEN(G215)), 1)))</f>
        <v>   ,abbcdeeghiiijnnnnnorrsty</v>
      </c>
      <c r="I215" s="1" t="s">
        <v>7</v>
      </c>
      <c r="J215" s="1">
        <f t="array" ref="J215">xlookup(I215,Sheet2!A:A,Sheet2!B:B)</f>
        <v>15</v>
      </c>
      <c r="K215" s="1" t="s">
        <v>411</v>
      </c>
      <c r="L215" s="1" t="s">
        <v>10</v>
      </c>
      <c r="M215" s="1">
        <f t="array" ref="M215">xlookup(L215,Sheet2!A:A,Sheet2!B:B)</f>
        <v>9</v>
      </c>
      <c r="N215" s="1" t="s">
        <v>411</v>
      </c>
      <c r="O215" s="4" t="str">
        <f t="shared" si="1"/>
        <v>138608 : [34,15,9],</v>
      </c>
      <c r="P215" s="4" t="str">
        <f t="shared" si="2"/>
        <v>138608 : 1,</v>
      </c>
    </row>
    <row r="216">
      <c r="A216" s="3" t="s">
        <v>412</v>
      </c>
      <c r="B216" s="5">
        <v>137122.0</v>
      </c>
      <c r="C216" s="3" t="s">
        <v>282</v>
      </c>
      <c r="D216" s="1">
        <f t="array" ref="D216">xlookup(C216,Sheet3!A:A,Sheet3!B:B)</f>
        <v>1</v>
      </c>
      <c r="E216" s="3" t="s">
        <v>9</v>
      </c>
      <c r="F216" s="1">
        <f t="array" ref="F216">xlookup(E216,Sheet2!A:A,Sheet2!B:B)</f>
        <v>5</v>
      </c>
      <c r="G216" s="3" t="s">
        <v>413</v>
      </c>
      <c r="H216" s="3" t="str">
        <f t="array" ref="H216">JOIN("", SORT(MID(LOWER(G216), SEQUENCE(LEN(G216)), 1)))</f>
        <v>    ,aaaaabbceehiiiimmnnorssuy</v>
      </c>
      <c r="I216" s="3" t="s">
        <v>76</v>
      </c>
      <c r="J216" s="1">
        <f t="array" ref="J216">xlookup(I216,Sheet2!A:A,Sheet2!B:B)</f>
        <v>24</v>
      </c>
      <c r="K216" s="3" t="s">
        <v>414</v>
      </c>
      <c r="L216" s="3" t="s">
        <v>7</v>
      </c>
      <c r="M216" s="1">
        <f t="array" ref="M216">xlookup(L216,Sheet2!A:A,Sheet2!B:B)</f>
        <v>15</v>
      </c>
      <c r="N216" s="3" t="s">
        <v>414</v>
      </c>
      <c r="O216" s="4" t="str">
        <f t="shared" si="1"/>
        <v>137122 : [5,24,15],</v>
      </c>
      <c r="P216" s="4" t="str">
        <f t="shared" si="2"/>
        <v>137122 : 1,</v>
      </c>
    </row>
    <row r="217">
      <c r="A217" s="3" t="s">
        <v>415</v>
      </c>
      <c r="B217" s="5">
        <v>137374.0</v>
      </c>
      <c r="C217" s="3" t="s">
        <v>282</v>
      </c>
      <c r="D217" s="1">
        <f t="array" ref="D217">xlookup(C217,Sheet3!A:A,Sheet3!B:B)</f>
        <v>1</v>
      </c>
      <c r="E217" s="3" t="s">
        <v>64</v>
      </c>
      <c r="F217" s="1">
        <f t="array" ref="F217">xlookup(E217,Sheet2!A:A,Sheet2!B:B)</f>
        <v>30</v>
      </c>
      <c r="G217" s="3" t="s">
        <v>416</v>
      </c>
      <c r="H217" s="3" t="str">
        <f t="array" ref="H217">JOIN("", SORT(MID(LOWER(G217), SEQUENCE(LEN(G217)), 1)))</f>
        <v>   ,aaeeeeiillmnouxxy</v>
      </c>
      <c r="I217" s="3" t="s">
        <v>28</v>
      </c>
      <c r="J217" s="1">
        <f t="array" ref="J217">xlookup(I217,Sheet2!A:A,Sheet2!B:B)</f>
        <v>32</v>
      </c>
      <c r="K217" s="3" t="s">
        <v>416</v>
      </c>
      <c r="L217" s="3" t="s">
        <v>96</v>
      </c>
      <c r="M217" s="1">
        <f t="array" ref="M217">xlookup(L217,Sheet2!A:A,Sheet2!B:B)</f>
        <v>47</v>
      </c>
      <c r="N217" s="3" t="s">
        <v>416</v>
      </c>
      <c r="O217" s="4" t="str">
        <f t="shared" si="1"/>
        <v>137374 : [30,32,47],</v>
      </c>
      <c r="P217" s="4" t="str">
        <f t="shared" si="2"/>
        <v>137374 : 1,</v>
      </c>
    </row>
    <row r="218">
      <c r="A218" s="3" t="s">
        <v>417</v>
      </c>
      <c r="B218" s="5">
        <v>136889.0</v>
      </c>
      <c r="C218" s="3" t="s">
        <v>282</v>
      </c>
      <c r="D218" s="1">
        <f t="array" ref="D218">xlookup(C218,Sheet3!A:A,Sheet3!B:B)</f>
        <v>1</v>
      </c>
      <c r="E218" s="3" t="s">
        <v>64</v>
      </c>
      <c r="F218" s="1">
        <f t="array" ref="F218">xlookup(E218,Sheet2!A:A,Sheet2!B:B)</f>
        <v>30</v>
      </c>
      <c r="G218" s="3" t="s">
        <v>416</v>
      </c>
      <c r="H218" s="3" t="str">
        <f t="array" ref="H218">JOIN("", SORT(MID(LOWER(G218), SEQUENCE(LEN(G218)), 1)))</f>
        <v>   ,aaeeeeiillmnouxxy</v>
      </c>
      <c r="I218" s="3" t="s">
        <v>28</v>
      </c>
      <c r="J218" s="1">
        <f t="array" ref="J218">xlookup(I218,Sheet2!A:A,Sheet2!B:B)</f>
        <v>32</v>
      </c>
      <c r="K218" s="3" t="s">
        <v>416</v>
      </c>
      <c r="L218" s="3" t="s">
        <v>96</v>
      </c>
      <c r="M218" s="1">
        <f t="array" ref="M218">xlookup(L218,Sheet2!A:A,Sheet2!B:B)</f>
        <v>47</v>
      </c>
      <c r="N218" s="3" t="s">
        <v>416</v>
      </c>
      <c r="O218" s="4" t="str">
        <f t="shared" si="1"/>
        <v>136889 : [30,32,47],</v>
      </c>
      <c r="P218" s="4" t="str">
        <f t="shared" si="2"/>
        <v>136889 : 1,</v>
      </c>
    </row>
    <row r="219">
      <c r="A219" s="3" t="s">
        <v>418</v>
      </c>
      <c r="B219" s="5">
        <v>111847.0</v>
      </c>
      <c r="C219" s="3" t="s">
        <v>282</v>
      </c>
      <c r="D219" s="1">
        <f t="array" ref="D219">xlookup(C219,Sheet3!A:A,Sheet3!B:B)</f>
        <v>1</v>
      </c>
      <c r="E219" s="3" t="s">
        <v>7</v>
      </c>
      <c r="F219" s="1">
        <f t="array" ref="F219">xlookup(E219,Sheet2!A:A,Sheet2!B:B)</f>
        <v>15</v>
      </c>
      <c r="G219" s="3" t="s">
        <v>419</v>
      </c>
      <c r="H219" s="3" t="str">
        <f t="array" ref="H219">JOIN("", SORT(MID(LOWER(G219), SEQUENCE(LEN(G219)), 1)))</f>
        <v>   ,aacdhlprrttuuuuvy</v>
      </c>
      <c r="I219" s="3" t="s">
        <v>125</v>
      </c>
      <c r="J219" s="1">
        <f t="array" ref="J219">xlookup(I219,Sheet2!A:A,Sheet2!B:B)</f>
        <v>19</v>
      </c>
      <c r="K219" s="3" t="s">
        <v>419</v>
      </c>
      <c r="L219" s="3" t="s">
        <v>10</v>
      </c>
      <c r="M219" s="1">
        <f t="array" ref="M219">xlookup(L219,Sheet2!A:A,Sheet2!B:B)</f>
        <v>9</v>
      </c>
      <c r="N219" s="3" t="s">
        <v>419</v>
      </c>
      <c r="O219" s="4" t="str">
        <f t="shared" si="1"/>
        <v>111847 : [15,19,9],</v>
      </c>
      <c r="P219" s="4" t="str">
        <f t="shared" si="2"/>
        <v>111847 : 1,</v>
      </c>
    </row>
    <row r="220">
      <c r="A220" s="3" t="s">
        <v>420</v>
      </c>
      <c r="B220" s="5">
        <v>181685.0</v>
      </c>
      <c r="C220" s="3" t="s">
        <v>282</v>
      </c>
      <c r="D220" s="1">
        <f t="array" ref="D220">xlookup(C220,Sheet3!A:A,Sheet3!B:B)</f>
        <v>1</v>
      </c>
      <c r="E220" s="3" t="s">
        <v>7</v>
      </c>
      <c r="F220" s="1">
        <f t="array" ref="F220">xlookup(E220,Sheet2!A:A,Sheet2!B:B)</f>
        <v>15</v>
      </c>
      <c r="G220" s="3" t="s">
        <v>421</v>
      </c>
      <c r="H220" s="3" t="str">
        <f t="array" ref="H220">JOIN("", SORT(MID(LOWER(G220), SEQUENCE(LEN(G220)), 1)))</f>
        <v>   ,aacdhlprrttuuuuvy</v>
      </c>
      <c r="I220" s="3" t="s">
        <v>125</v>
      </c>
      <c r="J220" s="1">
        <f t="array" ref="J220">xlookup(I220,Sheet2!A:A,Sheet2!B:B)</f>
        <v>19</v>
      </c>
      <c r="K220" s="3" t="s">
        <v>421</v>
      </c>
      <c r="L220" s="3" t="s">
        <v>10</v>
      </c>
      <c r="M220" s="1">
        <f t="array" ref="M220">xlookup(L220,Sheet2!A:A,Sheet2!B:B)</f>
        <v>9</v>
      </c>
      <c r="N220" s="3" t="s">
        <v>421</v>
      </c>
      <c r="O220" s="4" t="str">
        <f t="shared" si="1"/>
        <v>181685 : [15,19,9],</v>
      </c>
      <c r="P220" s="4" t="str">
        <f t="shared" si="2"/>
        <v>181685 : 1,</v>
      </c>
    </row>
    <row r="221">
      <c r="A221" s="3" t="s">
        <v>422</v>
      </c>
      <c r="B221" s="5">
        <v>188263.0</v>
      </c>
      <c r="C221" s="3" t="s">
        <v>282</v>
      </c>
      <c r="D221" s="1">
        <f t="array" ref="D221">xlookup(C221,Sheet3!A:A,Sheet3!B:B)</f>
        <v>1</v>
      </c>
      <c r="E221" s="3" t="s">
        <v>74</v>
      </c>
      <c r="F221" s="1">
        <f t="array" ref="F221">xlookup(E221,Sheet2!A:A,Sheet2!B:B)</f>
        <v>50</v>
      </c>
      <c r="G221" s="3" t="s">
        <v>423</v>
      </c>
      <c r="H221" s="3" t="str">
        <f t="array" ref="H221">JOIN("", SORT(MID(LOWER(G221), SEQUENCE(LEN(G221)), 1)))</f>
        <v>   ,aaaaaaabdehhiiiiillmnpprrrstuvvy</v>
      </c>
      <c r="I221" s="3" t="s">
        <v>125</v>
      </c>
      <c r="J221" s="1">
        <f t="array" ref="J221">xlookup(I221,Sheet2!A:A,Sheet2!B:B)</f>
        <v>19</v>
      </c>
      <c r="K221" s="3" t="s">
        <v>424</v>
      </c>
      <c r="L221" s="3" t="s">
        <v>9</v>
      </c>
      <c r="M221" s="1">
        <f t="array" ref="M221">xlookup(L221,Sheet2!A:A,Sheet2!B:B)</f>
        <v>5</v>
      </c>
      <c r="N221" s="3" t="s">
        <v>424</v>
      </c>
      <c r="O221" s="4" t="str">
        <f t="shared" si="1"/>
        <v>188263 : [50,19,5],</v>
      </c>
      <c r="P221" s="4" t="str">
        <f t="shared" si="2"/>
        <v>188263 : 1,</v>
      </c>
    </row>
    <row r="222">
      <c r="A222" s="3" t="s">
        <v>425</v>
      </c>
      <c r="B222" s="5">
        <v>319859.0</v>
      </c>
      <c r="C222" s="3" t="s">
        <v>282</v>
      </c>
      <c r="D222" s="1">
        <f t="array" ref="D222">xlookup(C222,Sheet3!A:A,Sheet3!B:B)</f>
        <v>1</v>
      </c>
      <c r="E222" s="3" t="s">
        <v>2</v>
      </c>
      <c r="F222" s="1">
        <f t="array" ref="F222">xlookup(E222,Sheet2!A:A,Sheet2!B:B)</f>
        <v>25</v>
      </c>
      <c r="G222" s="3" t="s">
        <v>3</v>
      </c>
      <c r="H222" s="3" t="str">
        <f t="array" ref="H222">JOIN("", SORT(MID(LOWER(G222), SEQUENCE(LEN(G222)), 1)))</f>
        <v>an</v>
      </c>
      <c r="I222" s="3" t="s">
        <v>105</v>
      </c>
      <c r="J222" s="1">
        <f t="array" ref="J222">xlookup(I222,Sheet2!A:A,Sheet2!B:B)</f>
        <v>26</v>
      </c>
      <c r="K222" s="3" t="s">
        <v>3</v>
      </c>
      <c r="L222" s="3" t="s">
        <v>124</v>
      </c>
      <c r="M222" s="1">
        <f t="array" ref="M222">xlookup(L222,Sheet2!A:A,Sheet2!B:B)</f>
        <v>46</v>
      </c>
      <c r="N222" s="3" t="s">
        <v>3</v>
      </c>
      <c r="O222" s="4" t="str">
        <f t="shared" si="1"/>
        <v>319859 : [25,26,46],</v>
      </c>
      <c r="P222" s="4" t="str">
        <f t="shared" si="2"/>
        <v>319859 : 1,</v>
      </c>
    </row>
    <row r="223">
      <c r="A223" s="3" t="s">
        <v>426</v>
      </c>
      <c r="B223" s="5">
        <v>314879.0</v>
      </c>
      <c r="C223" s="3" t="s">
        <v>282</v>
      </c>
      <c r="D223" s="1">
        <f t="array" ref="D223">xlookup(C223,Sheet3!A:A,Sheet3!B:B)</f>
        <v>1</v>
      </c>
      <c r="E223" s="3" t="s">
        <v>20</v>
      </c>
      <c r="F223" s="1">
        <f t="array" ref="F223">xlookup(E223,Sheet2!A:A,Sheet2!B:B)</f>
        <v>48</v>
      </c>
      <c r="G223" s="3" t="s">
        <v>427</v>
      </c>
      <c r="H223" s="3" t="str">
        <f t="array" ref="H223">JOIN("", SORT(MID(LOWER(G223), SEQUENCE(LEN(G223)), 1)))</f>
        <v>     ,,aaaabdeeeghhiiijlmnnnnnnorswz</v>
      </c>
      <c r="I223" s="3" t="s">
        <v>26</v>
      </c>
      <c r="J223" s="1">
        <f t="array" ref="J223">xlookup(I223,Sheet2!A:A,Sheet2!B:B)</f>
        <v>7</v>
      </c>
      <c r="K223" s="3" t="s">
        <v>427</v>
      </c>
      <c r="L223" s="3" t="s">
        <v>18</v>
      </c>
      <c r="M223" s="1">
        <f t="array" ref="M223">xlookup(L223,Sheet2!A:A,Sheet2!B:B)</f>
        <v>22</v>
      </c>
      <c r="N223" s="3" t="s">
        <v>427</v>
      </c>
      <c r="O223" s="4" t="str">
        <f t="shared" si="1"/>
        <v>314879 : [48,7,22],</v>
      </c>
      <c r="P223" s="4" t="str">
        <f t="shared" si="2"/>
        <v>314879 : 1,</v>
      </c>
    </row>
    <row r="224">
      <c r="A224" s="3" t="s">
        <v>428</v>
      </c>
      <c r="B224" s="5">
        <v>109838.0</v>
      </c>
      <c r="C224" s="3" t="s">
        <v>282</v>
      </c>
      <c r="D224" s="1">
        <f t="array" ref="D224">xlookup(C224,Sheet3!A:A,Sheet3!B:B)</f>
        <v>1</v>
      </c>
      <c r="E224" s="3" t="s">
        <v>20</v>
      </c>
      <c r="F224" s="1">
        <f t="array" ref="F224">xlookup(E224,Sheet2!A:A,Sheet2!B:B)</f>
        <v>48</v>
      </c>
      <c r="G224" s="3" t="s">
        <v>429</v>
      </c>
      <c r="H224" s="3" t="str">
        <f t="array" ref="H224">JOIN("", SORT(MID(LOWER(G224), SEQUENCE(LEN(G224)), 1)))</f>
        <v>     ,,aaaabdeeeghhiiijlmnnnnnnorswz</v>
      </c>
      <c r="I224" s="3" t="s">
        <v>26</v>
      </c>
      <c r="J224" s="1">
        <f t="array" ref="J224">xlookup(I224,Sheet2!A:A,Sheet2!B:B)</f>
        <v>7</v>
      </c>
      <c r="K224" s="3" t="s">
        <v>429</v>
      </c>
      <c r="L224" s="3" t="s">
        <v>18</v>
      </c>
      <c r="M224" s="1">
        <f t="array" ref="M224">xlookup(L224,Sheet2!A:A,Sheet2!B:B)</f>
        <v>22</v>
      </c>
      <c r="N224" s="3" t="s">
        <v>429</v>
      </c>
      <c r="O224" s="4" t="str">
        <f t="shared" si="1"/>
        <v>109838 : [48,7,22],</v>
      </c>
      <c r="P224" s="4" t="str">
        <f t="shared" si="2"/>
        <v>109838 : 1,</v>
      </c>
    </row>
    <row r="225">
      <c r="A225" s="3" t="s">
        <v>430</v>
      </c>
      <c r="B225" s="5">
        <v>157788.0</v>
      </c>
      <c r="C225" s="3" t="s">
        <v>282</v>
      </c>
      <c r="D225" s="1">
        <f t="array" ref="D225">xlookup(C225,Sheet3!A:A,Sheet3!B:B)</f>
        <v>1</v>
      </c>
      <c r="E225" s="3" t="s">
        <v>74</v>
      </c>
      <c r="F225" s="1">
        <f t="array" ref="F225">xlookup(E225,Sheet2!A:A,Sheet2!B:B)</f>
        <v>50</v>
      </c>
      <c r="G225" s="3" t="s">
        <v>431</v>
      </c>
      <c r="H225" s="3" t="str">
        <f t="array" ref="H225">JOIN("", SORT(MID(LOWER(G225), SEQUENCE(LEN(G225)), 1)))</f>
        <v>   ,aaaaaddehhiiimmmnnsv</v>
      </c>
      <c r="I225" s="3" t="s">
        <v>9</v>
      </c>
      <c r="J225" s="1">
        <f t="array" ref="J225">xlookup(I225,Sheet2!A:A,Sheet2!B:B)</f>
        <v>5</v>
      </c>
      <c r="K225" s="3" t="s">
        <v>431</v>
      </c>
      <c r="L225" s="3" t="s">
        <v>96</v>
      </c>
      <c r="M225" s="1">
        <f t="array" ref="M225">xlookup(L225,Sheet2!A:A,Sheet2!B:B)</f>
        <v>47</v>
      </c>
      <c r="N225" s="3" t="s">
        <v>431</v>
      </c>
      <c r="O225" s="4" t="str">
        <f t="shared" si="1"/>
        <v>157788 : [50,5,47],</v>
      </c>
      <c r="P225" s="4" t="str">
        <f t="shared" si="2"/>
        <v>157788 : 1,</v>
      </c>
    </row>
    <row r="226">
      <c r="A226" s="3" t="s">
        <v>432</v>
      </c>
      <c r="B226" s="5">
        <v>138221.0</v>
      </c>
      <c r="C226" s="3" t="s">
        <v>282</v>
      </c>
      <c r="D226" s="1">
        <f t="array" ref="D226">xlookup(C226,Sheet3!A:A,Sheet3!B:B)</f>
        <v>1</v>
      </c>
      <c r="E226" s="3" t="s">
        <v>74</v>
      </c>
      <c r="F226" s="1">
        <f t="array" ref="F226">xlookup(E226,Sheet2!A:A,Sheet2!B:B)</f>
        <v>50</v>
      </c>
      <c r="G226" s="3" t="s">
        <v>433</v>
      </c>
      <c r="H226" s="3" t="str">
        <f t="array" ref="H226">JOIN("", SORT(MID(LOWER(G226), SEQUENCE(LEN(G226)), 1)))</f>
        <v>   ,aaaaaddehhiiimmmnnsv</v>
      </c>
      <c r="I226" s="3" t="s">
        <v>9</v>
      </c>
      <c r="J226" s="1">
        <f t="array" ref="J226">xlookup(I226,Sheet2!A:A,Sheet2!B:B)</f>
        <v>5</v>
      </c>
      <c r="K226" s="3" t="s">
        <v>433</v>
      </c>
      <c r="L226" s="3" t="s">
        <v>96</v>
      </c>
      <c r="M226" s="1">
        <f t="array" ref="M226">xlookup(L226,Sheet2!A:A,Sheet2!B:B)</f>
        <v>47</v>
      </c>
      <c r="N226" s="3" t="s">
        <v>433</v>
      </c>
      <c r="O226" s="4" t="str">
        <f t="shared" si="1"/>
        <v>138221 : [50,5,47],</v>
      </c>
      <c r="P226" s="4" t="str">
        <f t="shared" si="2"/>
        <v>138221 : 1,</v>
      </c>
    </row>
    <row r="227">
      <c r="A227" s="3" t="s">
        <v>424</v>
      </c>
      <c r="B227" s="5">
        <v>305386.0</v>
      </c>
      <c r="C227" s="3" t="s">
        <v>282</v>
      </c>
      <c r="D227" s="1">
        <f t="array" ref="D227">xlookup(C227,Sheet3!A:A,Sheet3!B:B)</f>
        <v>1</v>
      </c>
      <c r="E227" s="3" t="s">
        <v>74</v>
      </c>
      <c r="F227" s="1">
        <f t="array" ref="F227">xlookup(E227,Sheet2!A:A,Sheet2!B:B)</f>
        <v>50</v>
      </c>
      <c r="G227" s="3" t="s">
        <v>434</v>
      </c>
      <c r="H227" s="3" t="str">
        <f t="array" ref="H227">JOIN("", SORT(MID(LOWER(G227), SEQUENCE(LEN(G227)), 1)))</f>
        <v>   ,aaaaaaabdehhiiiiillmnpprrrstuvvy</v>
      </c>
      <c r="I227" s="3" t="s">
        <v>125</v>
      </c>
      <c r="J227" s="1">
        <f t="array" ref="J227">xlookup(I227,Sheet2!A:A,Sheet2!B:B)</f>
        <v>19</v>
      </c>
      <c r="K227" s="3" t="s">
        <v>434</v>
      </c>
      <c r="L227" s="3" t="s">
        <v>9</v>
      </c>
      <c r="M227" s="1">
        <f t="array" ref="M227">xlookup(L227,Sheet2!A:A,Sheet2!B:B)</f>
        <v>5</v>
      </c>
      <c r="N227" s="3" t="s">
        <v>434</v>
      </c>
      <c r="O227" s="4" t="str">
        <f t="shared" si="1"/>
        <v>305386 : [50,19,5],</v>
      </c>
      <c r="P227" s="4" t="str">
        <f t="shared" si="2"/>
        <v>305386 : 1,</v>
      </c>
    </row>
    <row r="228">
      <c r="A228" s="3" t="s">
        <v>435</v>
      </c>
      <c r="B228" s="5">
        <v>319260.0</v>
      </c>
      <c r="C228" s="3" t="s">
        <v>282</v>
      </c>
      <c r="D228" s="1">
        <f t="array" ref="D228">xlookup(C228,Sheet3!A:A,Sheet3!B:B)</f>
        <v>1</v>
      </c>
      <c r="E228" s="3" t="s">
        <v>120</v>
      </c>
      <c r="F228" s="1">
        <f t="array" ref="F228">xlookup(E228,Sheet2!A:A,Sheet2!B:B)</f>
        <v>42</v>
      </c>
      <c r="G228" s="3" t="s">
        <v>3</v>
      </c>
      <c r="H228" s="3" t="str">
        <f t="array" ref="H228">JOIN("", SORT(MID(LOWER(G228), SEQUENCE(LEN(G228)), 1)))</f>
        <v>an</v>
      </c>
      <c r="I228" s="3" t="s">
        <v>39</v>
      </c>
      <c r="J228" s="1">
        <f t="array" ref="J228">xlookup(I228,Sheet2!A:A,Sheet2!B:B)</f>
        <v>20</v>
      </c>
      <c r="K228" s="3" t="s">
        <v>3</v>
      </c>
      <c r="L228" s="3" t="s">
        <v>204</v>
      </c>
      <c r="M228" s="1">
        <f t="array" ref="M228">xlookup(L228,Sheet2!A:A,Sheet2!B:B)</f>
        <v>43</v>
      </c>
      <c r="N228" s="3" t="s">
        <v>3</v>
      </c>
      <c r="O228" s="4" t="str">
        <f t="shared" si="1"/>
        <v>319260 : [42,20,43],</v>
      </c>
      <c r="P228" s="4" t="str">
        <f t="shared" si="2"/>
        <v>319260 : 1,</v>
      </c>
    </row>
    <row r="229">
      <c r="A229" s="3" t="s">
        <v>436</v>
      </c>
      <c r="B229" s="5">
        <v>306594.0</v>
      </c>
      <c r="C229" s="3" t="s">
        <v>282</v>
      </c>
      <c r="D229" s="1">
        <f t="array" ref="D229">xlookup(C229,Sheet3!A:A,Sheet3!B:B)</f>
        <v>1</v>
      </c>
      <c r="E229" s="3" t="s">
        <v>34</v>
      </c>
      <c r="F229" s="1">
        <f t="array" ref="F229">xlookup(E229,Sheet2!A:A,Sheet2!B:B)</f>
        <v>8</v>
      </c>
      <c r="G229" s="3" t="s">
        <v>437</v>
      </c>
      <c r="H229" s="3" t="str">
        <f t="array" ref="H229">JOIN("", SORT(MID(LOWER(G229), SEQUENCE(LEN(G229)), 1)))</f>
        <v>   ,aaaccehiiikmmnnoprstt</v>
      </c>
      <c r="I229" s="3" t="s">
        <v>21</v>
      </c>
      <c r="J229" s="1">
        <f t="array" ref="J229">xlookup(I229,Sheet2!A:A,Sheet2!B:B)</f>
        <v>10</v>
      </c>
      <c r="K229" s="3" t="s">
        <v>437</v>
      </c>
      <c r="L229" s="3" t="s">
        <v>64</v>
      </c>
      <c r="M229" s="1">
        <f t="array" ref="M229">xlookup(L229,Sheet2!A:A,Sheet2!B:B)</f>
        <v>30</v>
      </c>
      <c r="N229" s="3" t="s">
        <v>437</v>
      </c>
      <c r="O229" s="4" t="str">
        <f t="shared" si="1"/>
        <v>306594 : [8,10,30],</v>
      </c>
      <c r="P229" s="4" t="str">
        <f t="shared" si="2"/>
        <v>306594 : 1,</v>
      </c>
    </row>
    <row r="230">
      <c r="A230" s="3" t="s">
        <v>438</v>
      </c>
      <c r="B230" s="5">
        <v>144899.0</v>
      </c>
      <c r="C230" s="3" t="s">
        <v>282</v>
      </c>
      <c r="D230" s="1">
        <f t="array" ref="D230">xlookup(C230,Sheet3!A:A,Sheet3!B:B)</f>
        <v>1</v>
      </c>
      <c r="E230" s="3" t="s">
        <v>34</v>
      </c>
      <c r="F230" s="1">
        <f t="array" ref="F230">xlookup(E230,Sheet2!A:A,Sheet2!B:B)</f>
        <v>8</v>
      </c>
      <c r="G230" s="3" t="s">
        <v>439</v>
      </c>
      <c r="H230" s="3" t="str">
        <f t="array" ref="H230">JOIN("", SORT(MID(LOWER(G230), SEQUENCE(LEN(G230)), 1)))</f>
        <v>   ,aaaccehiiikmmnnoprstt</v>
      </c>
      <c r="I230" s="3" t="s">
        <v>21</v>
      </c>
      <c r="J230" s="1">
        <f t="array" ref="J230">xlookup(I230,Sheet2!A:A,Sheet2!B:B)</f>
        <v>10</v>
      </c>
      <c r="K230" s="3" t="s">
        <v>439</v>
      </c>
      <c r="L230" s="3" t="s">
        <v>64</v>
      </c>
      <c r="M230" s="1">
        <f t="array" ref="M230">xlookup(L230,Sheet2!A:A,Sheet2!B:B)</f>
        <v>30</v>
      </c>
      <c r="N230" s="3" t="s">
        <v>439</v>
      </c>
      <c r="O230" s="4" t="str">
        <f t="shared" si="1"/>
        <v>144899 : [8,10,30],</v>
      </c>
      <c r="P230" s="4" t="str">
        <f t="shared" si="2"/>
        <v>144899 : 1,</v>
      </c>
    </row>
    <row r="231">
      <c r="A231" s="3" t="s">
        <v>440</v>
      </c>
      <c r="B231" s="5">
        <v>125495.0</v>
      </c>
      <c r="C231" s="3" t="s">
        <v>282</v>
      </c>
      <c r="D231" s="1">
        <f t="array" ref="D231">xlookup(C231,Sheet3!A:A,Sheet3!B:B)</f>
        <v>1</v>
      </c>
      <c r="E231" s="3" t="s">
        <v>15</v>
      </c>
      <c r="F231" s="1">
        <f t="array" ref="F231">xlookup(E231,Sheet2!A:A,Sheet2!B:B)</f>
        <v>0</v>
      </c>
      <c r="G231" s="3" t="s">
        <v>3</v>
      </c>
      <c r="H231" s="3" t="str">
        <f t="array" ref="H231">JOIN("", SORT(MID(LOWER(G231), SEQUENCE(LEN(G231)), 1)))</f>
        <v>an</v>
      </c>
      <c r="I231" s="3" t="s">
        <v>16</v>
      </c>
      <c r="J231" s="1">
        <f t="array" ref="J231">xlookup(I231,Sheet2!A:A,Sheet2!B:B)</f>
        <v>3</v>
      </c>
      <c r="K231" s="3" t="s">
        <v>3</v>
      </c>
      <c r="L231" s="3" t="s">
        <v>13</v>
      </c>
      <c r="M231" s="1">
        <f t="array" ref="M231">xlookup(L231,Sheet2!A:A,Sheet2!B:B)</f>
        <v>17</v>
      </c>
      <c r="N231" s="3" t="s">
        <v>3</v>
      </c>
      <c r="O231" s="4" t="str">
        <f t="shared" si="1"/>
        <v>125495 : [0,3,17],</v>
      </c>
      <c r="P231" s="4" t="str">
        <f t="shared" si="2"/>
        <v>125495 : 1,</v>
      </c>
    </row>
    <row r="232">
      <c r="A232" s="3" t="s">
        <v>441</v>
      </c>
      <c r="B232" s="5">
        <v>124274.0</v>
      </c>
      <c r="C232" s="3" t="s">
        <v>282</v>
      </c>
      <c r="D232" s="1">
        <f t="array" ref="D232">xlookup(C232,Sheet3!A:A,Sheet3!B:B)</f>
        <v>1</v>
      </c>
      <c r="E232" s="3" t="s">
        <v>96</v>
      </c>
      <c r="F232" s="1">
        <f t="array" ref="F232">xlookup(E232,Sheet2!A:A,Sheet2!B:B)</f>
        <v>47</v>
      </c>
      <c r="G232" s="3" t="s">
        <v>442</v>
      </c>
      <c r="H232" s="3" t="str">
        <f t="array" ref="H232">JOIN("", SORT(MID(LOWER(G232), SEQUENCE(LEN(G232)), 1)))</f>
        <v>   ,aaaaceeiinnnoopprstttvwy</v>
      </c>
      <c r="I232" s="3" t="s">
        <v>9</v>
      </c>
      <c r="J232" s="1">
        <f t="array" ref="J232">xlookup(I232,Sheet2!A:A,Sheet2!B:B)</f>
        <v>5</v>
      </c>
      <c r="K232" s="3" t="s">
        <v>442</v>
      </c>
      <c r="L232" s="3" t="s">
        <v>26</v>
      </c>
      <c r="M232" s="1">
        <f t="array" ref="M232">xlookup(L232,Sheet2!A:A,Sheet2!B:B)</f>
        <v>7</v>
      </c>
      <c r="N232" s="3" t="s">
        <v>442</v>
      </c>
      <c r="O232" s="4" t="str">
        <f t="shared" si="1"/>
        <v>124274 : [47,5,7],</v>
      </c>
      <c r="P232" s="4" t="str">
        <f t="shared" si="2"/>
        <v>124274 : 1,</v>
      </c>
    </row>
    <row r="233">
      <c r="A233" s="3" t="s">
        <v>443</v>
      </c>
      <c r="B233" s="5">
        <v>315770.0</v>
      </c>
      <c r="C233" s="3" t="s">
        <v>282</v>
      </c>
      <c r="D233" s="1">
        <f t="array" ref="D233">xlookup(C233,Sheet3!A:A,Sheet3!B:B)</f>
        <v>1</v>
      </c>
      <c r="E233" s="3" t="s">
        <v>139</v>
      </c>
      <c r="F233" s="1">
        <f t="array" ref="F233">xlookup(E233,Sheet2!A:A,Sheet2!B:B)</f>
        <v>21</v>
      </c>
      <c r="G233" s="3" t="s">
        <v>444</v>
      </c>
      <c r="H233" s="3" t="str">
        <f t="array" ref="H233">JOIN("", SORT(MID(LOWER(G233), SEQUENCE(LEN(G233)), 1)))</f>
        <v>     ,,aaaabdegiiillmmnnnnoprrssyyyy</v>
      </c>
      <c r="I233" s="3" t="s">
        <v>34</v>
      </c>
      <c r="J233" s="1">
        <f t="array" ref="J233">xlookup(I233,Sheet2!A:A,Sheet2!B:B)</f>
        <v>8</v>
      </c>
      <c r="K233" s="3" t="s">
        <v>444</v>
      </c>
      <c r="L233" s="3" t="s">
        <v>26</v>
      </c>
      <c r="M233" s="1">
        <f t="array" ref="M233">xlookup(L233,Sheet2!A:A,Sheet2!B:B)</f>
        <v>7</v>
      </c>
      <c r="N233" s="3" t="s">
        <v>444</v>
      </c>
      <c r="O233" s="4" t="str">
        <f t="shared" si="1"/>
        <v>315770 : [21,8,7],</v>
      </c>
      <c r="P233" s="4" t="str">
        <f t="shared" si="2"/>
        <v>315770 : 1,</v>
      </c>
    </row>
    <row r="234">
      <c r="A234" s="3" t="s">
        <v>445</v>
      </c>
      <c r="B234" s="5">
        <v>151799.0</v>
      </c>
      <c r="C234" s="3" t="s">
        <v>282</v>
      </c>
      <c r="D234" s="1">
        <f t="array" ref="D234">xlookup(C234,Sheet3!A:A,Sheet3!B:B)</f>
        <v>1</v>
      </c>
      <c r="E234" s="3" t="s">
        <v>105</v>
      </c>
      <c r="F234" s="1">
        <f t="array" ref="F234">xlookup(E234,Sheet2!A:A,Sheet2!B:B)</f>
        <v>26</v>
      </c>
      <c r="G234" s="3" t="s">
        <v>3</v>
      </c>
      <c r="H234" s="3" t="str">
        <f t="array" ref="H234">JOIN("", SORT(MID(LOWER(G234), SEQUENCE(LEN(G234)), 1)))</f>
        <v>an</v>
      </c>
      <c r="I234" s="3" t="s">
        <v>13</v>
      </c>
      <c r="J234" s="1">
        <f t="array" ref="J234">xlookup(I234,Sheet2!A:A,Sheet2!B:B)</f>
        <v>17</v>
      </c>
      <c r="K234" s="3" t="s">
        <v>3</v>
      </c>
      <c r="L234" s="3" t="s">
        <v>15</v>
      </c>
      <c r="M234" s="1">
        <f t="array" ref="M234">xlookup(L234,Sheet2!A:A,Sheet2!B:B)</f>
        <v>0</v>
      </c>
      <c r="N234" s="3" t="s">
        <v>3</v>
      </c>
      <c r="O234" s="4" t="str">
        <f t="shared" si="1"/>
        <v>151799 : [26,17,0],</v>
      </c>
      <c r="P234" s="4" t="str">
        <f t="shared" si="2"/>
        <v>151799 : 1,</v>
      </c>
    </row>
    <row r="235">
      <c r="A235" s="3" t="s">
        <v>446</v>
      </c>
      <c r="B235" s="5">
        <v>110629.0</v>
      </c>
      <c r="C235" s="3" t="s">
        <v>282</v>
      </c>
      <c r="D235" s="1">
        <f t="array" ref="D235">xlookup(C235,Sheet3!A:A,Sheet3!B:B)</f>
        <v>1</v>
      </c>
      <c r="E235" s="3" t="s">
        <v>28</v>
      </c>
      <c r="F235" s="1">
        <f t="array" ref="F235">xlookup(E235,Sheet2!A:A,Sheet2!B:B)</f>
        <v>32</v>
      </c>
      <c r="G235" s="3" t="s">
        <v>3</v>
      </c>
      <c r="H235" s="3" t="str">
        <f t="array" ref="H235">JOIN("", SORT(MID(LOWER(G235), SEQUENCE(LEN(G235)), 1)))</f>
        <v>an</v>
      </c>
      <c r="I235" s="3" t="s">
        <v>64</v>
      </c>
      <c r="J235" s="1">
        <f t="array" ref="J235">xlookup(I235,Sheet2!A:A,Sheet2!B:B)</f>
        <v>30</v>
      </c>
      <c r="K235" s="3" t="s">
        <v>3</v>
      </c>
      <c r="L235" s="3" t="s">
        <v>61</v>
      </c>
      <c r="M235" s="1">
        <f t="array" ref="M235">xlookup(L235,Sheet2!A:A,Sheet2!B:B)</f>
        <v>31</v>
      </c>
      <c r="N235" s="3" t="s">
        <v>3</v>
      </c>
      <c r="O235" s="4" t="str">
        <f t="shared" si="1"/>
        <v>110629 : [32,30,31],</v>
      </c>
      <c r="P235" s="4" t="str">
        <f t="shared" si="2"/>
        <v>110629 : 1,</v>
      </c>
    </row>
    <row r="236">
      <c r="A236" s="3" t="s">
        <v>447</v>
      </c>
      <c r="B236" s="5">
        <v>182939.0</v>
      </c>
      <c r="C236" s="3" t="s">
        <v>282</v>
      </c>
      <c r="D236" s="1">
        <f t="array" ref="D236">xlookup(C236,Sheet3!A:A,Sheet3!B:B)</f>
        <v>1</v>
      </c>
      <c r="E236" s="3" t="s">
        <v>170</v>
      </c>
      <c r="F236" s="1">
        <f t="array" ref="F236">xlookup(E236,Sheet2!A:A,Sheet2!B:B)</f>
        <v>16</v>
      </c>
      <c r="G236" s="3" t="s">
        <v>448</v>
      </c>
      <c r="H236" s="3" t="str">
        <f t="array" ref="H236">JOIN("", SORT(MID(LOWER(G236), SEQUENCE(LEN(G236)), 1)))</f>
        <v>     ,aaaaaaaaaabbceehhhhiiiiikkkklmmmnnnnnorrrsstttuuvwyy</v>
      </c>
      <c r="I236" s="3" t="s">
        <v>26</v>
      </c>
      <c r="J236" s="1">
        <f t="array" ref="J236">xlookup(I236,Sheet2!A:A,Sheet2!B:B)</f>
        <v>7</v>
      </c>
      <c r="K236" s="3" t="s">
        <v>448</v>
      </c>
      <c r="L236" s="3" t="s">
        <v>20</v>
      </c>
      <c r="M236" s="1">
        <f t="array" ref="M236">xlookup(L236,Sheet2!A:A,Sheet2!B:B)</f>
        <v>48</v>
      </c>
      <c r="N236" s="3" t="s">
        <v>448</v>
      </c>
      <c r="O236" s="4" t="str">
        <f t="shared" si="1"/>
        <v>182939 : [16,7,48],</v>
      </c>
      <c r="P236" s="4" t="str">
        <f t="shared" si="2"/>
        <v>182939 : 1,</v>
      </c>
    </row>
    <row r="237">
      <c r="A237" s="3" t="s">
        <v>449</v>
      </c>
      <c r="B237" s="5">
        <v>324054.0</v>
      </c>
      <c r="C237" s="3" t="s">
        <v>282</v>
      </c>
      <c r="D237" s="1">
        <f t="array" ref="D237">xlookup(C237,Sheet3!A:A,Sheet3!B:B)</f>
        <v>1</v>
      </c>
      <c r="E237" s="3" t="s">
        <v>170</v>
      </c>
      <c r="F237" s="1">
        <f t="array" ref="F237">xlookup(E237,Sheet2!A:A,Sheet2!B:B)</f>
        <v>16</v>
      </c>
      <c r="G237" s="3" t="s">
        <v>450</v>
      </c>
      <c r="H237" s="3" t="str">
        <f t="array" ref="H237">JOIN("", SORT(MID(LOWER(G237), SEQUENCE(LEN(G237)), 1)))</f>
        <v>     ,aaaaaaaaaabbceehhhhiiiiikkkklmmmnnnnnorrrsstttuuvwyy</v>
      </c>
      <c r="I237" s="3" t="s">
        <v>26</v>
      </c>
      <c r="J237" s="1">
        <f t="array" ref="J237">xlookup(I237,Sheet2!A:A,Sheet2!B:B)</f>
        <v>7</v>
      </c>
      <c r="K237" s="3" t="s">
        <v>450</v>
      </c>
      <c r="L237" s="3" t="s">
        <v>20</v>
      </c>
      <c r="M237" s="1">
        <f t="array" ref="M237">xlookup(L237,Sheet2!A:A,Sheet2!B:B)</f>
        <v>48</v>
      </c>
      <c r="N237" s="3" t="s">
        <v>450</v>
      </c>
      <c r="O237" s="4" t="str">
        <f t="shared" si="1"/>
        <v>324054 : [16,7,48],</v>
      </c>
      <c r="P237" s="4" t="str">
        <f t="shared" si="2"/>
        <v>324054 : 1,</v>
      </c>
    </row>
    <row r="238">
      <c r="A238" s="3" t="s">
        <v>451</v>
      </c>
      <c r="B238" s="5">
        <v>137290.0</v>
      </c>
      <c r="C238" s="3" t="s">
        <v>282</v>
      </c>
      <c r="D238" s="1">
        <f t="array" ref="D238">xlookup(C238,Sheet3!A:A,Sheet3!B:B)</f>
        <v>1</v>
      </c>
      <c r="E238" s="3" t="s">
        <v>125</v>
      </c>
      <c r="F238" s="1">
        <f t="array" ref="F238">xlookup(E238,Sheet2!A:A,Sheet2!B:B)</f>
        <v>19</v>
      </c>
      <c r="G238" s="3" t="s">
        <v>452</v>
      </c>
      <c r="H238" s="3" t="str">
        <f t="array" ref="H238">JOIN("", SORT(MID(LOWER(G238), SEQUENCE(LEN(G238)), 1)))</f>
        <v>   ,ahhhiimmmnnoooorssstuuwy</v>
      </c>
      <c r="I238" s="3" t="s">
        <v>72</v>
      </c>
      <c r="J238" s="1">
        <f t="array" ref="J238">xlookup(I238,Sheet2!A:A,Sheet2!B:B)</f>
        <v>34</v>
      </c>
      <c r="K238" s="3" t="s">
        <v>452</v>
      </c>
      <c r="L238" s="3" t="s">
        <v>10</v>
      </c>
      <c r="M238" s="1">
        <f t="array" ref="M238">xlookup(L238,Sheet2!A:A,Sheet2!B:B)</f>
        <v>9</v>
      </c>
      <c r="N238" s="3" t="s">
        <v>452</v>
      </c>
      <c r="O238" s="4" t="str">
        <f t="shared" si="1"/>
        <v>137290 : [19,34,9],</v>
      </c>
      <c r="P238" s="4" t="str">
        <f t="shared" si="2"/>
        <v>137290 : 1,</v>
      </c>
    </row>
    <row r="239">
      <c r="A239" s="3" t="s">
        <v>453</v>
      </c>
      <c r="B239" s="5">
        <v>317736.0</v>
      </c>
      <c r="C239" s="3" t="s">
        <v>282</v>
      </c>
      <c r="D239" s="1">
        <f t="array" ref="D239">xlookup(C239,Sheet3!A:A,Sheet3!B:B)</f>
        <v>1</v>
      </c>
      <c r="E239" s="3" t="s">
        <v>124</v>
      </c>
      <c r="F239" s="1">
        <f t="array" ref="F239">xlookup(E239,Sheet2!A:A,Sheet2!B:B)</f>
        <v>46</v>
      </c>
      <c r="G239" s="3" t="s">
        <v>3</v>
      </c>
      <c r="H239" s="3" t="str">
        <f t="array" ref="H239">JOIN("", SORT(MID(LOWER(G239), SEQUENCE(LEN(G239)), 1)))</f>
        <v>an</v>
      </c>
      <c r="I239" s="3" t="s">
        <v>105</v>
      </c>
      <c r="J239" s="1">
        <f t="array" ref="J239">xlookup(I239,Sheet2!A:A,Sheet2!B:B)</f>
        <v>26</v>
      </c>
      <c r="K239" s="3" t="s">
        <v>3</v>
      </c>
      <c r="L239" s="3" t="s">
        <v>42</v>
      </c>
      <c r="M239" s="1">
        <f t="array" ref="M239">xlookup(L239,Sheet2!A:A,Sheet2!B:B)</f>
        <v>14</v>
      </c>
      <c r="N239" s="3" t="s">
        <v>3</v>
      </c>
      <c r="O239" s="4" t="str">
        <f t="shared" si="1"/>
        <v>317736 : [46,26,14],</v>
      </c>
      <c r="P239" s="4" t="str">
        <f t="shared" si="2"/>
        <v>317736 : 1,</v>
      </c>
    </row>
    <row r="240">
      <c r="A240" s="3" t="s">
        <v>454</v>
      </c>
      <c r="B240" s="5">
        <v>153248.0</v>
      </c>
      <c r="C240" s="3" t="s">
        <v>282</v>
      </c>
      <c r="D240" s="1">
        <f t="array" ref="D240">xlookup(C240,Sheet3!A:A,Sheet3!B:B)</f>
        <v>1</v>
      </c>
      <c r="E240" s="3" t="s">
        <v>212</v>
      </c>
      <c r="F240" s="1">
        <f t="array" ref="F240">xlookup(E240,Sheet2!A:A,Sheet2!B:B)</f>
        <v>2</v>
      </c>
      <c r="G240" s="3" t="s">
        <v>455</v>
      </c>
      <c r="H240" s="3" t="str">
        <f t="array" ref="H240">JOIN("", SORT(MID(LOWER(G240), SEQUENCE(LEN(G240)), 1)))</f>
        <v>an</v>
      </c>
      <c r="I240" s="3" t="s">
        <v>2</v>
      </c>
      <c r="J240" s="1">
        <f t="array" ref="J240">xlookup(I240,Sheet2!A:A,Sheet2!B:B)</f>
        <v>25</v>
      </c>
      <c r="K240" s="3" t="s">
        <v>455</v>
      </c>
      <c r="L240" s="3" t="s">
        <v>39</v>
      </c>
      <c r="M240" s="1">
        <f t="array" ref="M240">xlookup(L240,Sheet2!A:A,Sheet2!B:B)</f>
        <v>20</v>
      </c>
      <c r="N240" s="3" t="s">
        <v>455</v>
      </c>
      <c r="O240" s="4" t="str">
        <f t="shared" si="1"/>
        <v>153248 : [2,25,20],</v>
      </c>
      <c r="P240" s="4" t="str">
        <f t="shared" si="2"/>
        <v>153248 : 1,</v>
      </c>
    </row>
    <row r="241">
      <c r="A241" s="3" t="s">
        <v>456</v>
      </c>
      <c r="B241" s="5">
        <v>119421.0</v>
      </c>
      <c r="C241" s="3" t="s">
        <v>282</v>
      </c>
      <c r="D241" s="1">
        <f t="array" ref="D241">xlookup(C241,Sheet3!A:A,Sheet3!B:B)</f>
        <v>1</v>
      </c>
      <c r="E241" s="3" t="s">
        <v>125</v>
      </c>
      <c r="F241" s="1">
        <f t="array" ref="F241">xlookup(E241,Sheet2!A:A,Sheet2!B:B)</f>
        <v>19</v>
      </c>
      <c r="G241" s="3" t="s">
        <v>457</v>
      </c>
      <c r="H241" s="3" t="str">
        <f t="array" ref="H241">JOIN("", SORT(MID(LOWER(G241), SEQUENCE(LEN(G241)), 1)))</f>
        <v>   ,aacegghhhijnnnrrstuyz</v>
      </c>
      <c r="I241" s="3" t="s">
        <v>72</v>
      </c>
      <c r="J241" s="1">
        <f t="array" ref="J241">xlookup(I241,Sheet2!A:A,Sheet2!B:B)</f>
        <v>34</v>
      </c>
      <c r="K241" s="3" t="s">
        <v>457</v>
      </c>
      <c r="L241" s="3" t="s">
        <v>16</v>
      </c>
      <c r="M241" s="1">
        <f t="array" ref="M241">xlookup(L241,Sheet2!A:A,Sheet2!B:B)</f>
        <v>3</v>
      </c>
      <c r="N241" s="3" t="s">
        <v>457</v>
      </c>
      <c r="O241" s="4" t="str">
        <f t="shared" si="1"/>
        <v>119421 : [19,34,3],</v>
      </c>
      <c r="P241" s="4" t="str">
        <f t="shared" si="2"/>
        <v>119421 : 1,</v>
      </c>
    </row>
    <row r="242">
      <c r="A242" s="3" t="s">
        <v>458</v>
      </c>
      <c r="B242" s="5">
        <v>138695.0</v>
      </c>
      <c r="C242" s="3" t="s">
        <v>459</v>
      </c>
      <c r="D242" s="1">
        <f t="array" ref="D242">xlookup(C242,Sheet3!A:A,Sheet3!B:B)</f>
        <v>0</v>
      </c>
      <c r="E242" s="3" t="s">
        <v>26</v>
      </c>
      <c r="F242" s="1">
        <f t="array" ref="F242">xlookup(E242,Sheet2!A:A,Sheet2!B:B)</f>
        <v>7</v>
      </c>
      <c r="G242" s="3" t="s">
        <v>460</v>
      </c>
      <c r="H242" s="3" t="str">
        <f t="array" ref="H242">JOIN("", SORT(MID(LOWER(G242), SEQUENCE(LEN(G242)), 1)))</f>
        <v>   ,aaaaaaaadggghijnnnnrrsy</v>
      </c>
      <c r="I242" s="3" t="s">
        <v>32</v>
      </c>
      <c r="J242" s="1">
        <f t="array" ref="J242">xlookup(I242,Sheet2!A:A,Sheet2!B:B)</f>
        <v>11</v>
      </c>
      <c r="K242" s="3" t="s">
        <v>460</v>
      </c>
      <c r="L242" s="3" t="s">
        <v>111</v>
      </c>
      <c r="M242" s="1">
        <f t="array" ref="M242">xlookup(L242,Sheet2!A:A,Sheet2!B:B)</f>
        <v>28</v>
      </c>
      <c r="N242" s="3" t="s">
        <v>460</v>
      </c>
      <c r="O242" s="4" t="str">
        <f t="shared" si="1"/>
        <v>138695 : [7,11,28],</v>
      </c>
      <c r="P242" s="4" t="str">
        <f t="shared" si="2"/>
        <v>138695 : 0,</v>
      </c>
    </row>
    <row r="243">
      <c r="A243" s="3" t="s">
        <v>461</v>
      </c>
      <c r="B243" s="5">
        <v>318212.0</v>
      </c>
      <c r="C243" s="3" t="s">
        <v>459</v>
      </c>
      <c r="D243" s="1">
        <f t="array" ref="D243">xlookup(C243,Sheet3!A:A,Sheet3!B:B)</f>
        <v>0</v>
      </c>
      <c r="E243" s="3" t="s">
        <v>26</v>
      </c>
      <c r="F243" s="1">
        <f t="array" ref="F243">xlookup(E243,Sheet2!A:A,Sheet2!B:B)</f>
        <v>7</v>
      </c>
      <c r="G243" s="3" t="s">
        <v>462</v>
      </c>
      <c r="H243" s="3" t="str">
        <f t="array" ref="H243">JOIN("", SORT(MID(LOWER(G243), SEQUENCE(LEN(G243)), 1)))</f>
        <v>   ,aaaaaaaadggghijnnnnrrsy</v>
      </c>
      <c r="I243" s="3" t="s">
        <v>32</v>
      </c>
      <c r="J243" s="1">
        <f t="array" ref="J243">xlookup(I243,Sheet2!A:A,Sheet2!B:B)</f>
        <v>11</v>
      </c>
      <c r="K243" s="3" t="s">
        <v>462</v>
      </c>
      <c r="L243" s="3" t="s">
        <v>111</v>
      </c>
      <c r="M243" s="1">
        <f t="array" ref="M243">xlookup(L243,Sheet2!A:A,Sheet2!B:B)</f>
        <v>28</v>
      </c>
      <c r="N243" s="3" t="s">
        <v>462</v>
      </c>
      <c r="O243" s="4" t="str">
        <f t="shared" si="1"/>
        <v>318212 : [7,11,28],</v>
      </c>
      <c r="P243" s="4" t="str">
        <f t="shared" si="2"/>
        <v>318212 : 0,</v>
      </c>
    </row>
    <row r="244">
      <c r="A244" s="3" t="s">
        <v>463</v>
      </c>
      <c r="B244" s="5">
        <v>150842.0</v>
      </c>
      <c r="C244" s="3" t="s">
        <v>459</v>
      </c>
      <c r="D244" s="1">
        <f t="array" ref="D244">xlookup(C244,Sheet3!A:A,Sheet3!B:B)</f>
        <v>0</v>
      </c>
      <c r="E244" s="3" t="s">
        <v>47</v>
      </c>
      <c r="F244" s="1">
        <f t="array" ref="F244">xlookup(E244,Sheet2!A:A,Sheet2!B:B)</f>
        <v>27</v>
      </c>
      <c r="G244" s="3" t="s">
        <v>3</v>
      </c>
      <c r="H244" s="3" t="str">
        <f t="array" ref="H244">JOIN("", SORT(MID(LOWER(G244), SEQUENCE(LEN(G244)), 1)))</f>
        <v>an</v>
      </c>
      <c r="I244" s="3" t="s">
        <v>184</v>
      </c>
      <c r="J244" s="1">
        <f t="array" ref="J244">xlookup(I244,Sheet2!A:A,Sheet2!B:B)</f>
        <v>4</v>
      </c>
      <c r="K244" s="3" t="s">
        <v>3</v>
      </c>
      <c r="L244" s="3" t="s">
        <v>12</v>
      </c>
      <c r="M244" s="1">
        <f t="array" ref="M244">xlookup(L244,Sheet2!A:A,Sheet2!B:B)</f>
        <v>41</v>
      </c>
      <c r="N244" s="3" t="s">
        <v>3</v>
      </c>
      <c r="O244" s="4" t="str">
        <f t="shared" si="1"/>
        <v>150842 : [27,4,41],</v>
      </c>
      <c r="P244" s="4" t="str">
        <f t="shared" si="2"/>
        <v>150842 : 0,</v>
      </c>
    </row>
    <row r="245">
      <c r="A245" s="1" t="s">
        <v>464</v>
      </c>
      <c r="B245" s="2">
        <v>206031.0</v>
      </c>
      <c r="C245" s="1" t="s">
        <v>459</v>
      </c>
      <c r="D245" s="1">
        <f t="array" ref="D245">xlookup(C245,Sheet3!A:A,Sheet3!B:B)</f>
        <v>0</v>
      </c>
      <c r="E245" s="1" t="s">
        <v>401</v>
      </c>
      <c r="F245" s="1">
        <f t="array" ref="F245">xlookup(E245,Sheet2!A:A,Sheet2!B:B)</f>
        <v>38</v>
      </c>
      <c r="G245" s="1" t="s">
        <v>3</v>
      </c>
      <c r="H245" s="3" t="str">
        <f t="array" ref="H245">JOIN("", SORT(MID(LOWER(G245), SEQUENCE(LEN(G245)), 1)))</f>
        <v>an</v>
      </c>
      <c r="I245" s="1" t="s">
        <v>238</v>
      </c>
      <c r="J245" s="1">
        <f t="array" ref="J245">xlookup(I245,Sheet2!A:A,Sheet2!B:B)</f>
        <v>37</v>
      </c>
      <c r="K245" s="1" t="s">
        <v>3</v>
      </c>
      <c r="L245" s="1" t="s">
        <v>465</v>
      </c>
      <c r="M245" s="1">
        <f t="array" ref="M245">xlookup(L245,Sheet2!A:A,Sheet2!B:B)</f>
        <v>36</v>
      </c>
      <c r="N245" s="1" t="s">
        <v>3</v>
      </c>
      <c r="O245" s="4" t="str">
        <f t="shared" si="1"/>
        <v>206031 : [38,37,36],</v>
      </c>
      <c r="P245" s="4" t="str">
        <f t="shared" si="2"/>
        <v>206031 : 0,</v>
      </c>
    </row>
    <row r="246">
      <c r="A246" s="1" t="s">
        <v>466</v>
      </c>
      <c r="B246" s="2">
        <v>137345.0</v>
      </c>
      <c r="C246" s="1" t="s">
        <v>459</v>
      </c>
      <c r="D246" s="1">
        <f t="array" ref="D246">xlookup(C246,Sheet3!A:A,Sheet3!B:B)</f>
        <v>0</v>
      </c>
      <c r="E246" s="1" t="s">
        <v>18</v>
      </c>
      <c r="F246" s="1">
        <f t="array" ref="F246">xlookup(E246,Sheet2!A:A,Sheet2!B:B)</f>
        <v>22</v>
      </c>
      <c r="G246" s="1" t="s">
        <v>467</v>
      </c>
      <c r="H246" s="3" t="str">
        <f t="array" ref="H246">JOIN("", SORT(MID(LOWER(G246), SEQUENCE(LEN(G246)), 1)))</f>
        <v>   ,aaaaaeghhhknnnnprrstuuy</v>
      </c>
      <c r="I246" s="1" t="s">
        <v>184</v>
      </c>
      <c r="J246" s="1">
        <f t="array" ref="J246">xlookup(I246,Sheet2!A:A,Sheet2!B:B)</f>
        <v>4</v>
      </c>
      <c r="K246" s="1" t="s">
        <v>467</v>
      </c>
      <c r="L246" s="1" t="s">
        <v>26</v>
      </c>
      <c r="M246" s="1">
        <f t="array" ref="M246">xlookup(L246,Sheet2!A:A,Sheet2!B:B)</f>
        <v>7</v>
      </c>
      <c r="N246" s="1" t="s">
        <v>467</v>
      </c>
      <c r="O246" s="4" t="str">
        <f t="shared" si="1"/>
        <v>137345 : [22,4,7],</v>
      </c>
      <c r="P246" s="4" t="str">
        <f t="shared" si="2"/>
        <v>137345 : 0,</v>
      </c>
    </row>
    <row r="247">
      <c r="A247" s="1" t="s">
        <v>468</v>
      </c>
      <c r="B247" s="2">
        <v>150581.0</v>
      </c>
      <c r="C247" s="1" t="s">
        <v>459</v>
      </c>
      <c r="D247" s="1">
        <f t="array" ref="D247">xlookup(C247,Sheet3!A:A,Sheet3!B:B)</f>
        <v>0</v>
      </c>
      <c r="E247" s="1" t="s">
        <v>401</v>
      </c>
      <c r="F247" s="1">
        <f t="array" ref="F247">xlookup(E247,Sheet2!A:A,Sheet2!B:B)</f>
        <v>38</v>
      </c>
      <c r="G247" s="1" t="s">
        <v>3</v>
      </c>
      <c r="H247" s="3" t="str">
        <f t="array" ref="H247">JOIN("", SORT(MID(LOWER(G247), SEQUENCE(LEN(G247)), 1)))</f>
        <v>an</v>
      </c>
      <c r="I247" s="1" t="s">
        <v>465</v>
      </c>
      <c r="J247" s="1">
        <f t="array" ref="J247">xlookup(I247,Sheet2!A:A,Sheet2!B:B)</f>
        <v>36</v>
      </c>
      <c r="K247" s="1" t="s">
        <v>3</v>
      </c>
      <c r="L247" s="1" t="s">
        <v>16</v>
      </c>
      <c r="M247" s="1">
        <f t="array" ref="M247">xlookup(L247,Sheet2!A:A,Sheet2!B:B)</f>
        <v>3</v>
      </c>
      <c r="N247" s="1" t="s">
        <v>3</v>
      </c>
      <c r="O247" s="4" t="str">
        <f t="shared" si="1"/>
        <v>150581 : [38,36,3],</v>
      </c>
      <c r="P247" s="4" t="str">
        <f t="shared" si="2"/>
        <v>150581 : 0,</v>
      </c>
    </row>
    <row r="248">
      <c r="A248" s="3" t="s">
        <v>469</v>
      </c>
      <c r="B248" s="5">
        <v>129064.0</v>
      </c>
      <c r="C248" s="3" t="s">
        <v>459</v>
      </c>
      <c r="D248" s="1">
        <f t="array" ref="D248">xlookup(C248,Sheet3!A:A,Sheet3!B:B)</f>
        <v>0</v>
      </c>
      <c r="E248" s="3" t="s">
        <v>5</v>
      </c>
      <c r="F248" s="1">
        <f t="array" ref="F248">xlookup(E248,Sheet2!A:A,Sheet2!B:B)</f>
        <v>35</v>
      </c>
      <c r="G248" s="3" t="s">
        <v>3</v>
      </c>
      <c r="H248" s="3" t="str">
        <f t="array" ref="H248">JOIN("", SORT(MID(LOWER(G248), SEQUENCE(LEN(G248)), 1)))</f>
        <v>an</v>
      </c>
      <c r="I248" s="3" t="s">
        <v>15</v>
      </c>
      <c r="J248" s="1">
        <f t="array" ref="J248">xlookup(I248,Sheet2!A:A,Sheet2!B:B)</f>
        <v>0</v>
      </c>
      <c r="K248" s="3" t="s">
        <v>3</v>
      </c>
      <c r="L248" s="3" t="s">
        <v>13</v>
      </c>
      <c r="M248" s="1">
        <f t="array" ref="M248">xlookup(L248,Sheet2!A:A,Sheet2!B:B)</f>
        <v>17</v>
      </c>
      <c r="N248" s="3" t="s">
        <v>3</v>
      </c>
      <c r="O248" s="4" t="str">
        <f t="shared" si="1"/>
        <v>129064 : [35,0,17],</v>
      </c>
      <c r="P248" s="4" t="str">
        <f t="shared" si="2"/>
        <v>129064 : 0,</v>
      </c>
    </row>
    <row r="249">
      <c r="A249" s="1" t="s">
        <v>470</v>
      </c>
      <c r="B249" s="2">
        <v>150826.0</v>
      </c>
      <c r="C249" s="1" t="s">
        <v>459</v>
      </c>
      <c r="D249" s="1">
        <f t="array" ref="D249">xlookup(C249,Sheet3!A:A,Sheet3!B:B)</f>
        <v>0</v>
      </c>
      <c r="E249" s="1" t="s">
        <v>238</v>
      </c>
      <c r="F249" s="1">
        <f t="array" ref="F249">xlookup(E249,Sheet2!A:A,Sheet2!B:B)</f>
        <v>37</v>
      </c>
      <c r="G249" s="1" t="s">
        <v>3</v>
      </c>
      <c r="H249" s="3" t="str">
        <f t="array" ref="H249">JOIN("", SORT(MID(LOWER(G249), SEQUENCE(LEN(G249)), 1)))</f>
        <v>an</v>
      </c>
      <c r="I249" s="1" t="s">
        <v>105</v>
      </c>
      <c r="J249" s="1">
        <f t="array" ref="J249">xlookup(I249,Sheet2!A:A,Sheet2!B:B)</f>
        <v>26</v>
      </c>
      <c r="K249" s="1" t="s">
        <v>3</v>
      </c>
      <c r="L249" s="1" t="s">
        <v>39</v>
      </c>
      <c r="M249" s="1">
        <f t="array" ref="M249">xlookup(L249,Sheet2!A:A,Sheet2!B:B)</f>
        <v>20</v>
      </c>
      <c r="N249" s="1" t="s">
        <v>3</v>
      </c>
      <c r="O249" s="4" t="str">
        <f t="shared" si="1"/>
        <v>150826 : [37,26,20],</v>
      </c>
      <c r="P249" s="4" t="str">
        <f t="shared" si="2"/>
        <v>150826 : 0,</v>
      </c>
    </row>
    <row r="250">
      <c r="A250" s="1" t="s">
        <v>471</v>
      </c>
      <c r="B250" s="2">
        <v>309150.0</v>
      </c>
      <c r="C250" s="1" t="s">
        <v>459</v>
      </c>
      <c r="D250" s="1">
        <f t="array" ref="D250">xlookup(C250,Sheet3!A:A,Sheet3!B:B)</f>
        <v>0</v>
      </c>
      <c r="E250" s="1" t="s">
        <v>9</v>
      </c>
      <c r="F250" s="1">
        <f t="array" ref="F250">xlookup(E250,Sheet2!A:A,Sheet2!B:B)</f>
        <v>5</v>
      </c>
      <c r="G250" s="1" t="s">
        <v>472</v>
      </c>
      <c r="H250" s="3" t="str">
        <f t="array" ref="H250">JOIN("", SORT(MID(LOWER(G250), SEQUENCE(LEN(G250)), 1)))</f>
        <v>   ,aaaaghiijlnnnopruwx</v>
      </c>
      <c r="I250" s="1" t="s">
        <v>76</v>
      </c>
      <c r="J250" s="1">
        <f t="array" ref="J250">xlookup(I250,Sheet2!A:A,Sheet2!B:B)</f>
        <v>24</v>
      </c>
      <c r="K250" s="1" t="s">
        <v>472</v>
      </c>
      <c r="L250" s="1" t="s">
        <v>10</v>
      </c>
      <c r="M250" s="1">
        <f t="array" ref="M250">xlookup(L250,Sheet2!A:A,Sheet2!B:B)</f>
        <v>9</v>
      </c>
      <c r="N250" s="1" t="s">
        <v>472</v>
      </c>
      <c r="O250" s="4" t="str">
        <f t="shared" si="1"/>
        <v>309150 : [5,24,9],</v>
      </c>
      <c r="P250" s="4" t="str">
        <f t="shared" si="2"/>
        <v>309150 : 0,</v>
      </c>
    </row>
    <row r="251">
      <c r="A251" s="1" t="s">
        <v>473</v>
      </c>
      <c r="B251" s="2">
        <v>306633.0</v>
      </c>
      <c r="C251" s="1" t="s">
        <v>459</v>
      </c>
      <c r="D251" s="1">
        <f t="array" ref="D251">xlookup(C251,Sheet3!A:A,Sheet3!B:B)</f>
        <v>0</v>
      </c>
      <c r="E251" s="1" t="s">
        <v>21</v>
      </c>
      <c r="F251" s="1">
        <f t="array" ref="F251">xlookup(E251,Sheet2!A:A,Sheet2!B:B)</f>
        <v>10</v>
      </c>
      <c r="G251" s="1" t="s">
        <v>474</v>
      </c>
      <c r="H251" s="3" t="str">
        <f t="array" ref="H251">JOIN("", SORT(MID(LOWER(G251), SEQUENCE(LEN(G251)), 1)))</f>
        <v>     ,,aaaaaaacdeegghiiilmnnnorrtvyy</v>
      </c>
      <c r="I251" s="1" t="s">
        <v>26</v>
      </c>
      <c r="J251" s="1">
        <f t="array" ref="J251">xlookup(I251,Sheet2!A:A,Sheet2!B:B)</f>
        <v>7</v>
      </c>
      <c r="K251" s="1" t="s">
        <v>474</v>
      </c>
      <c r="L251" s="1" t="s">
        <v>20</v>
      </c>
      <c r="M251" s="1">
        <f t="array" ref="M251">xlookup(L251,Sheet2!A:A,Sheet2!B:B)</f>
        <v>48</v>
      </c>
      <c r="N251" s="1" t="s">
        <v>474</v>
      </c>
      <c r="O251" s="4" t="str">
        <f t="shared" si="1"/>
        <v>306633 : [10,7,48],</v>
      </c>
      <c r="P251" s="4" t="str">
        <f t="shared" si="2"/>
        <v>306633 : 0,</v>
      </c>
    </row>
    <row r="252">
      <c r="A252" s="1" t="s">
        <v>475</v>
      </c>
      <c r="B252" s="2">
        <v>301227.0</v>
      </c>
      <c r="C252" s="1" t="s">
        <v>459</v>
      </c>
      <c r="D252" s="1">
        <f t="array" ref="D252">xlookup(C252,Sheet3!A:A,Sheet3!B:B)</f>
        <v>0</v>
      </c>
      <c r="E252" s="1" t="s">
        <v>191</v>
      </c>
      <c r="F252" s="1">
        <f t="array" ref="F252">xlookup(E252,Sheet2!A:A,Sheet2!B:B)</f>
        <v>39</v>
      </c>
      <c r="G252" s="1" t="s">
        <v>3</v>
      </c>
      <c r="H252" s="3" t="str">
        <f t="array" ref="H252">JOIN("", SORT(MID(LOWER(G252), SEQUENCE(LEN(G252)), 1)))</f>
        <v>an</v>
      </c>
      <c r="I252" s="1" t="s">
        <v>309</v>
      </c>
      <c r="J252" s="1">
        <f t="array" ref="J252">xlookup(I252,Sheet2!A:A,Sheet2!B:B)</f>
        <v>40</v>
      </c>
      <c r="K252" s="1" t="s">
        <v>3</v>
      </c>
      <c r="L252" s="1" t="s">
        <v>465</v>
      </c>
      <c r="M252" s="1">
        <f t="array" ref="M252">xlookup(L252,Sheet2!A:A,Sheet2!B:B)</f>
        <v>36</v>
      </c>
      <c r="N252" s="1" t="s">
        <v>3</v>
      </c>
      <c r="O252" s="4" t="str">
        <f t="shared" si="1"/>
        <v>301227 : [39,40,36],</v>
      </c>
      <c r="P252" s="4" t="str">
        <f t="shared" si="2"/>
        <v>301227 : 0,</v>
      </c>
    </row>
    <row r="253">
      <c r="A253" s="3" t="s">
        <v>476</v>
      </c>
      <c r="B253" s="5">
        <v>137947.0</v>
      </c>
      <c r="C253" s="3" t="s">
        <v>459</v>
      </c>
      <c r="D253" s="1">
        <f t="array" ref="D253">xlookup(C253,Sheet3!A:A,Sheet3!B:B)</f>
        <v>0</v>
      </c>
      <c r="E253" s="3" t="s">
        <v>26</v>
      </c>
      <c r="F253" s="1">
        <f t="array" ref="F253">xlookup(E253,Sheet2!A:A,Sheet2!B:B)</f>
        <v>7</v>
      </c>
      <c r="G253" s="3" t="s">
        <v>3</v>
      </c>
      <c r="H253" s="3" t="str">
        <f t="array" ref="H253">JOIN("", SORT(MID(LOWER(G253), SEQUENCE(LEN(G253)), 1)))</f>
        <v>an</v>
      </c>
      <c r="I253" s="3" t="s">
        <v>20</v>
      </c>
      <c r="J253" s="1">
        <f t="array" ref="J253">xlookup(I253,Sheet2!A:A,Sheet2!B:B)</f>
        <v>48</v>
      </c>
      <c r="K253" s="3" t="s">
        <v>3</v>
      </c>
      <c r="L253" s="3" t="s">
        <v>18</v>
      </c>
      <c r="M253" s="1">
        <f t="array" ref="M253">xlookup(L253,Sheet2!A:A,Sheet2!B:B)</f>
        <v>22</v>
      </c>
      <c r="N253" s="3" t="s">
        <v>3</v>
      </c>
      <c r="O253" s="4" t="str">
        <f t="shared" si="1"/>
        <v>137947 : [7,48,22],</v>
      </c>
      <c r="P253" s="4" t="str">
        <f t="shared" si="2"/>
        <v>137947 : 0,</v>
      </c>
    </row>
    <row r="254">
      <c r="A254" s="3" t="s">
        <v>477</v>
      </c>
      <c r="B254" s="5">
        <v>301743.0</v>
      </c>
      <c r="C254" s="3" t="s">
        <v>459</v>
      </c>
      <c r="D254" s="1">
        <f t="array" ref="D254">xlookup(C254,Sheet3!A:A,Sheet3!B:B)</f>
        <v>0</v>
      </c>
      <c r="E254" s="3" t="s">
        <v>10</v>
      </c>
      <c r="F254" s="1">
        <f t="array" ref="F254">xlookup(E254,Sheet2!A:A,Sheet2!B:B)</f>
        <v>9</v>
      </c>
      <c r="G254" s="3" t="s">
        <v>478</v>
      </c>
      <c r="H254" s="3" t="str">
        <f t="array" ref="H254">JOIN("", SORT(MID(LOWER(G254), SEQUENCE(LEN(G254)), 1)))</f>
        <v>   ,aaaaegghiiijklnprstuuy</v>
      </c>
      <c r="I254" s="3" t="s">
        <v>96</v>
      </c>
      <c r="J254" s="1">
        <f t="array" ref="J254">xlookup(I254,Sheet2!A:A,Sheet2!B:B)</f>
        <v>47</v>
      </c>
      <c r="K254" s="3" t="s">
        <v>478</v>
      </c>
      <c r="L254" s="3" t="s">
        <v>191</v>
      </c>
      <c r="M254" s="1">
        <f t="array" ref="M254">xlookup(L254,Sheet2!A:A,Sheet2!B:B)</f>
        <v>39</v>
      </c>
      <c r="N254" s="3" t="s">
        <v>478</v>
      </c>
      <c r="O254" s="4" t="str">
        <f t="shared" si="1"/>
        <v>301743 : [9,47,39],</v>
      </c>
      <c r="P254" s="4" t="str">
        <f t="shared" si="2"/>
        <v>301743 : 0,</v>
      </c>
    </row>
    <row r="255">
      <c r="A255" s="1" t="s">
        <v>479</v>
      </c>
      <c r="B255" s="2">
        <v>204995.0</v>
      </c>
      <c r="C255" s="1" t="s">
        <v>459</v>
      </c>
      <c r="D255" s="1">
        <f t="array" ref="D255">xlookup(C255,Sheet3!A:A,Sheet3!B:B)</f>
        <v>0</v>
      </c>
      <c r="E255" s="1" t="s">
        <v>401</v>
      </c>
      <c r="F255" s="1">
        <f t="array" ref="F255">xlookup(E255,Sheet2!A:A,Sheet2!B:B)</f>
        <v>38</v>
      </c>
      <c r="G255" s="1" t="s">
        <v>3</v>
      </c>
      <c r="H255" s="3" t="str">
        <f t="array" ref="H255">JOIN("", SORT(MID(LOWER(G255), SEQUENCE(LEN(G255)), 1)))</f>
        <v>an</v>
      </c>
      <c r="I255" s="1" t="s">
        <v>13</v>
      </c>
      <c r="J255" s="1">
        <f t="array" ref="J255">xlookup(I255,Sheet2!A:A,Sheet2!B:B)</f>
        <v>17</v>
      </c>
      <c r="K255" s="1" t="s">
        <v>3</v>
      </c>
      <c r="L255" s="1" t="s">
        <v>125</v>
      </c>
      <c r="M255" s="1">
        <f t="array" ref="M255">xlookup(L255,Sheet2!A:A,Sheet2!B:B)</f>
        <v>19</v>
      </c>
      <c r="N255" s="1" t="s">
        <v>3</v>
      </c>
      <c r="O255" s="4" t="str">
        <f t="shared" si="1"/>
        <v>204995 : [38,17,19],</v>
      </c>
      <c r="P255" s="4" t="str">
        <f t="shared" si="2"/>
        <v>204995 : 0,</v>
      </c>
    </row>
    <row r="256">
      <c r="A256" s="3" t="s">
        <v>480</v>
      </c>
      <c r="B256" s="5">
        <v>151669.0</v>
      </c>
      <c r="C256" s="3" t="s">
        <v>459</v>
      </c>
      <c r="D256" s="1">
        <f t="array" ref="D256">xlookup(C256,Sheet3!A:A,Sheet3!B:B)</f>
        <v>0</v>
      </c>
      <c r="E256" s="3" t="s">
        <v>21</v>
      </c>
      <c r="F256" s="1">
        <f t="array" ref="F256">xlookup(E256,Sheet2!A:A,Sheet2!B:B)</f>
        <v>10</v>
      </c>
      <c r="G256" s="3" t="s">
        <v>481</v>
      </c>
      <c r="H256" s="3" t="str">
        <f t="array" ref="H256">JOIN("", SORT(MID(LOWER(G256), SEQUENCE(LEN(G256)), 1)))</f>
        <v>      ,,aaaaaaaadghhikklmmnnnoprrrrsttuyy</v>
      </c>
      <c r="I256" s="3" t="s">
        <v>26</v>
      </c>
      <c r="J256" s="1">
        <f t="array" ref="J256">xlookup(I256,Sheet2!A:A,Sheet2!B:B)</f>
        <v>7</v>
      </c>
      <c r="K256" s="3" t="s">
        <v>481</v>
      </c>
      <c r="L256" s="3" t="s">
        <v>10</v>
      </c>
      <c r="M256" s="1">
        <f t="array" ref="M256">xlookup(L256,Sheet2!A:A,Sheet2!B:B)</f>
        <v>9</v>
      </c>
      <c r="N256" s="3" t="s">
        <v>482</v>
      </c>
      <c r="O256" s="4" t="str">
        <f t="shared" si="1"/>
        <v>151669 : [10,7,9],</v>
      </c>
      <c r="P256" s="4" t="str">
        <f t="shared" si="2"/>
        <v>151669 : 0,</v>
      </c>
    </row>
    <row r="257">
      <c r="A257" s="3" t="s">
        <v>483</v>
      </c>
      <c r="B257" s="5">
        <v>145116.0</v>
      </c>
      <c r="C257" s="3" t="s">
        <v>459</v>
      </c>
      <c r="D257" s="1">
        <f t="array" ref="D257">xlookup(C257,Sheet3!A:A,Sheet3!B:B)</f>
        <v>0</v>
      </c>
      <c r="E257" s="3" t="s">
        <v>21</v>
      </c>
      <c r="F257" s="1">
        <f t="array" ref="F257">xlookup(E257,Sheet2!A:A,Sheet2!B:B)</f>
        <v>10</v>
      </c>
      <c r="G257" s="3" t="s">
        <v>484</v>
      </c>
      <c r="H257" s="3" t="str">
        <f t="array" ref="H257">JOIN("", SORT(MID(LOWER(G257), SEQUENCE(LEN(G257)), 1)))</f>
        <v>     ,,aaaaaaaadghhikklmmnnnoprrrrsttuyy</v>
      </c>
      <c r="I257" s="3" t="s">
        <v>26</v>
      </c>
      <c r="J257" s="1">
        <f t="array" ref="J257">xlookup(I257,Sheet2!A:A,Sheet2!B:B)</f>
        <v>7</v>
      </c>
      <c r="K257" s="3" t="s">
        <v>484</v>
      </c>
      <c r="L257" s="3" t="s">
        <v>10</v>
      </c>
      <c r="M257" s="1">
        <f t="array" ref="M257">xlookup(L257,Sheet2!A:A,Sheet2!B:B)</f>
        <v>9</v>
      </c>
      <c r="N257" s="3" t="s">
        <v>485</v>
      </c>
      <c r="O257" s="4" t="str">
        <f t="shared" si="1"/>
        <v>145116 : [10,7,9],</v>
      </c>
      <c r="P257" s="4" t="str">
        <f t="shared" si="2"/>
        <v>145116 : 0,</v>
      </c>
    </row>
    <row r="258">
      <c r="A258" s="1" t="s">
        <v>486</v>
      </c>
      <c r="B258" s="2">
        <v>203537.0</v>
      </c>
      <c r="C258" s="1" t="s">
        <v>459</v>
      </c>
      <c r="D258" s="1">
        <f t="array" ref="D258">xlookup(C258,Sheet3!A:A,Sheet3!B:B)</f>
        <v>0</v>
      </c>
      <c r="E258" s="1" t="s">
        <v>25</v>
      </c>
      <c r="F258" s="1">
        <f t="array" ref="F258">xlookup(E258,Sheet2!A:A,Sheet2!B:B)</f>
        <v>18</v>
      </c>
      <c r="G258" s="1" t="s">
        <v>312</v>
      </c>
      <c r="H258" s="3" t="str">
        <f t="array" ref="H258">JOIN("", SORT(MID(LOWER(G258), SEQUENCE(LEN(G258)), 1)))</f>
        <v>     ,,aaaaaaaadeehiiiiiknnnppprrrsssuuvv</v>
      </c>
      <c r="I258" s="1" t="s">
        <v>114</v>
      </c>
      <c r="J258" s="1">
        <f t="array" ref="J258">xlookup(I258,Sheet2!A:A,Sheet2!B:B)</f>
        <v>12</v>
      </c>
      <c r="K258" s="1" t="s">
        <v>312</v>
      </c>
      <c r="L258" s="1" t="s">
        <v>18</v>
      </c>
      <c r="M258" s="1">
        <f t="array" ref="M258">xlookup(L258,Sheet2!A:A,Sheet2!B:B)</f>
        <v>22</v>
      </c>
      <c r="N258" s="1" t="s">
        <v>312</v>
      </c>
      <c r="O258" s="4" t="str">
        <f t="shared" si="1"/>
        <v>203537 : [18,12,22],</v>
      </c>
      <c r="P258" s="4" t="str">
        <f t="shared" si="2"/>
        <v>203537 : 0,</v>
      </c>
    </row>
    <row r="259">
      <c r="A259" s="3" t="s">
        <v>487</v>
      </c>
      <c r="B259" s="5">
        <v>151041.0</v>
      </c>
      <c r="C259" s="3" t="s">
        <v>459</v>
      </c>
      <c r="D259" s="1">
        <f t="array" ref="D259">xlookup(C259,Sheet3!A:A,Sheet3!B:B)</f>
        <v>0</v>
      </c>
      <c r="E259" s="3" t="s">
        <v>21</v>
      </c>
      <c r="F259" s="1">
        <f t="array" ref="F259">xlookup(E259,Sheet2!A:A,Sheet2!B:B)</f>
        <v>10</v>
      </c>
      <c r="G259" s="3" t="s">
        <v>488</v>
      </c>
      <c r="H259" s="3" t="str">
        <f t="array" ref="H259">JOIN("", SORT(MID(LOWER(G259), SEQUENCE(LEN(G259)), 1)))</f>
        <v>       ,,aaaaaaaaaddghhikklmmnnnnoprrrrsttuyy</v>
      </c>
      <c r="I259" s="3" t="s">
        <v>26</v>
      </c>
      <c r="J259" s="1">
        <f t="array" ref="J259">xlookup(I259,Sheet2!A:A,Sheet2!B:B)</f>
        <v>7</v>
      </c>
      <c r="K259" s="3" t="s">
        <v>488</v>
      </c>
      <c r="L259" s="3" t="s">
        <v>12</v>
      </c>
      <c r="M259" s="1">
        <f t="array" ref="M259">xlookup(L259,Sheet2!A:A,Sheet2!B:B)</f>
        <v>41</v>
      </c>
      <c r="N259" s="3" t="s">
        <v>3</v>
      </c>
      <c r="O259" s="4" t="str">
        <f t="shared" si="1"/>
        <v>151041 : [10,7,41],</v>
      </c>
      <c r="P259" s="4" t="str">
        <f t="shared" si="2"/>
        <v>151041 : 0,</v>
      </c>
    </row>
    <row r="260">
      <c r="A260" s="3" t="s">
        <v>489</v>
      </c>
      <c r="B260" s="5">
        <v>150673.0</v>
      </c>
      <c r="C260" s="3" t="s">
        <v>459</v>
      </c>
      <c r="D260" s="1">
        <f t="array" ref="D260">xlookup(C260,Sheet3!A:A,Sheet3!B:B)</f>
        <v>0</v>
      </c>
      <c r="E260" s="3" t="s">
        <v>34</v>
      </c>
      <c r="F260" s="1">
        <f t="array" ref="F260">xlookup(E260,Sheet2!A:A,Sheet2!B:B)</f>
        <v>8</v>
      </c>
      <c r="G260" s="3" t="s">
        <v>490</v>
      </c>
      <c r="H260" s="3" t="str">
        <f t="array" ref="H260">JOIN("", SORT(MID(LOWER(G260), SEQUENCE(LEN(G260)), 1)))</f>
        <v>     ,,aabdeeeeegiiillllnnnoprsuw</v>
      </c>
      <c r="I260" s="3" t="s">
        <v>109</v>
      </c>
      <c r="J260" s="1">
        <f t="array" ref="J260">xlookup(I260,Sheet2!A:A,Sheet2!B:B)</f>
        <v>49</v>
      </c>
      <c r="K260" s="3" t="s">
        <v>490</v>
      </c>
      <c r="L260" s="3" t="s">
        <v>47</v>
      </c>
      <c r="M260" s="1">
        <f t="array" ref="M260">xlookup(L260,Sheet2!A:A,Sheet2!B:B)</f>
        <v>27</v>
      </c>
      <c r="N260" s="3" t="s">
        <v>490</v>
      </c>
      <c r="O260" s="4" t="str">
        <f t="shared" si="1"/>
        <v>150673 : [8,49,27],</v>
      </c>
      <c r="P260" s="4" t="str">
        <f t="shared" si="2"/>
        <v>150673 : 0,</v>
      </c>
    </row>
    <row r="261">
      <c r="A261" s="3" t="s">
        <v>491</v>
      </c>
      <c r="B261" s="5">
        <v>150405.0</v>
      </c>
      <c r="C261" s="3" t="s">
        <v>459</v>
      </c>
      <c r="D261" s="1">
        <f t="array" ref="D261">xlookup(C261,Sheet3!A:A,Sheet3!B:B)</f>
        <v>0</v>
      </c>
      <c r="E261" s="3" t="s">
        <v>34</v>
      </c>
      <c r="F261" s="1">
        <f t="array" ref="F261">xlookup(E261,Sheet2!A:A,Sheet2!B:B)</f>
        <v>8</v>
      </c>
      <c r="G261" s="3" t="s">
        <v>492</v>
      </c>
      <c r="H261" s="3" t="str">
        <f t="array" ref="H261">JOIN("", SORT(MID(LOWER(G261), SEQUENCE(LEN(G261)), 1)))</f>
        <v>     ,,aabdeeeeegiiillllnnnoprsuw</v>
      </c>
      <c r="I261" s="3" t="s">
        <v>109</v>
      </c>
      <c r="J261" s="1">
        <f t="array" ref="J261">xlookup(I261,Sheet2!A:A,Sheet2!B:B)</f>
        <v>49</v>
      </c>
      <c r="K261" s="3" t="s">
        <v>492</v>
      </c>
      <c r="L261" s="3" t="s">
        <v>47</v>
      </c>
      <c r="M261" s="1">
        <f t="array" ref="M261">xlookup(L261,Sheet2!A:A,Sheet2!B:B)</f>
        <v>27</v>
      </c>
      <c r="N261" s="3" t="s">
        <v>492</v>
      </c>
      <c r="O261" s="4" t="str">
        <f t="shared" si="1"/>
        <v>150405 : [8,49,27],</v>
      </c>
      <c r="P261" s="4" t="str">
        <f t="shared" si="2"/>
        <v>150405 : 0,</v>
      </c>
    </row>
    <row r="262">
      <c r="A262" s="1" t="s">
        <v>493</v>
      </c>
      <c r="B262" s="2">
        <v>137993.0</v>
      </c>
      <c r="C262" s="1" t="s">
        <v>459</v>
      </c>
      <c r="D262" s="1">
        <f t="array" ref="D262">xlookup(C262,Sheet3!A:A,Sheet3!B:B)</f>
        <v>0</v>
      </c>
      <c r="E262" s="1" t="s">
        <v>111</v>
      </c>
      <c r="F262" s="1">
        <f t="array" ref="F262">xlookup(E262,Sheet2!A:A,Sheet2!B:B)</f>
        <v>28</v>
      </c>
      <c r="G262" s="1" t="s">
        <v>494</v>
      </c>
      <c r="H262" s="3" t="str">
        <f t="array" ref="H262">JOIN("", SORT(MID(LOWER(G262), SEQUENCE(LEN(G262)), 1)))</f>
        <v>     ,,aaaaaaaaddeeeehhhhikkmmnnnpprsssttuvvyyz</v>
      </c>
      <c r="I262" s="1" t="s">
        <v>34</v>
      </c>
      <c r="J262" s="1">
        <f t="array" ref="J262">xlookup(I262,Sheet2!A:A,Sheet2!B:B)</f>
        <v>8</v>
      </c>
      <c r="K262" s="1" t="s">
        <v>494</v>
      </c>
      <c r="L262" s="1" t="s">
        <v>109</v>
      </c>
      <c r="M262" s="1">
        <f t="array" ref="M262">xlookup(L262,Sheet2!A:A,Sheet2!B:B)</f>
        <v>49</v>
      </c>
      <c r="N262" s="1" t="s">
        <v>494</v>
      </c>
      <c r="O262" s="4" t="str">
        <f t="shared" si="1"/>
        <v>137993 : [28,8,49],</v>
      </c>
      <c r="P262" s="4" t="str">
        <f t="shared" si="2"/>
        <v>137993 : 0,</v>
      </c>
    </row>
    <row r="263">
      <c r="A263" s="3" t="s">
        <v>495</v>
      </c>
      <c r="B263" s="5">
        <v>151881.0</v>
      </c>
      <c r="C263" s="3" t="s">
        <v>459</v>
      </c>
      <c r="D263" s="1">
        <f t="array" ref="D263">xlookup(C263,Sheet3!A:A,Sheet3!B:B)</f>
        <v>0</v>
      </c>
      <c r="E263" s="3" t="s">
        <v>20</v>
      </c>
      <c r="F263" s="1">
        <f t="array" ref="F263">xlookup(E263,Sheet2!A:A,Sheet2!B:B)</f>
        <v>48</v>
      </c>
      <c r="G263" s="3" t="s">
        <v>496</v>
      </c>
      <c r="H263" s="3" t="str">
        <f t="array" ref="H263">JOIN("", SORT(MID(LOWER(G263), SEQUENCE(LEN(G263)), 1)))</f>
        <v>       ,aaaaaaabbcdeeefhhhiiiiikkllllnnnnrrrssssstvv</v>
      </c>
      <c r="I263" s="3" t="s">
        <v>18</v>
      </c>
      <c r="J263" s="1">
        <f t="array" ref="J263">xlookup(I263,Sheet2!A:A,Sheet2!B:B)</f>
        <v>22</v>
      </c>
      <c r="K263" s="3" t="s">
        <v>496</v>
      </c>
      <c r="L263" s="3" t="s">
        <v>114</v>
      </c>
      <c r="M263" s="1">
        <f t="array" ref="M263">xlookup(L263,Sheet2!A:A,Sheet2!B:B)</f>
        <v>12</v>
      </c>
      <c r="N263" s="3" t="s">
        <v>496</v>
      </c>
      <c r="O263" s="4" t="str">
        <f t="shared" si="1"/>
        <v>151881 : [48,22,12],</v>
      </c>
      <c r="P263" s="4" t="str">
        <f t="shared" si="2"/>
        <v>151881 : 0,</v>
      </c>
    </row>
    <row r="264">
      <c r="A264" s="3" t="s">
        <v>497</v>
      </c>
      <c r="B264" s="5">
        <v>151883.0</v>
      </c>
      <c r="C264" s="3" t="s">
        <v>459</v>
      </c>
      <c r="D264" s="1">
        <f t="array" ref="D264">xlookup(C264,Sheet3!A:A,Sheet3!B:B)</f>
        <v>0</v>
      </c>
      <c r="E264" s="3" t="s">
        <v>20</v>
      </c>
      <c r="F264" s="1">
        <f t="array" ref="F264">xlookup(E264,Sheet2!A:A,Sheet2!B:B)</f>
        <v>48</v>
      </c>
      <c r="G264" s="3" t="s">
        <v>498</v>
      </c>
      <c r="H264" s="3" t="str">
        <f t="array" ref="H264">JOIN("", SORT(MID(LOWER(G264), SEQUENCE(LEN(G264)), 1)))</f>
        <v>              ---,,aaaaaaabbbbbbcceeeeeeeeefhhhiiiiikkllllmmmmmmnnnrrrrrrssssstvv</v>
      </c>
      <c r="I264" s="3" t="s">
        <v>18</v>
      </c>
      <c r="J264" s="1">
        <f t="array" ref="J264">xlookup(I264,Sheet2!A:A,Sheet2!B:B)</f>
        <v>22</v>
      </c>
      <c r="K264" s="3" t="s">
        <v>498</v>
      </c>
      <c r="L264" s="3" t="s">
        <v>114</v>
      </c>
      <c r="M264" s="1">
        <f t="array" ref="M264">xlookup(L264,Sheet2!A:A,Sheet2!B:B)</f>
        <v>12</v>
      </c>
      <c r="N264" s="3" t="s">
        <v>498</v>
      </c>
      <c r="O264" s="4" t="str">
        <f t="shared" si="1"/>
        <v>151883 : [48,22,12],</v>
      </c>
      <c r="P264" s="4" t="str">
        <f t="shared" si="2"/>
        <v>151883 : 0,</v>
      </c>
    </row>
    <row r="265">
      <c r="A265" s="3" t="s">
        <v>499</v>
      </c>
      <c r="B265" s="5">
        <v>150825.0</v>
      </c>
      <c r="C265" s="3" t="s">
        <v>459</v>
      </c>
      <c r="D265" s="1">
        <f t="array" ref="D265">xlookup(C265,Sheet3!A:A,Sheet3!B:B)</f>
        <v>0</v>
      </c>
      <c r="E265" s="3" t="s">
        <v>20</v>
      </c>
      <c r="F265" s="1">
        <f t="array" ref="F265">xlookup(E265,Sheet2!A:A,Sheet2!B:B)</f>
        <v>48</v>
      </c>
      <c r="G265" s="3" t="s">
        <v>500</v>
      </c>
      <c r="H265" s="3" t="str">
        <f t="array" ref="H265">JOIN("", SORT(MID(LOWER(G265), SEQUENCE(LEN(G265)), 1)))</f>
        <v>     ,,aaaaaabbceeefhhhiiiiikkllllnnnrrrssssstvv</v>
      </c>
      <c r="I265" s="3" t="s">
        <v>18</v>
      </c>
      <c r="J265" s="1">
        <f t="array" ref="J265">xlookup(I265,Sheet2!A:A,Sheet2!B:B)</f>
        <v>22</v>
      </c>
      <c r="K265" s="3" t="s">
        <v>500</v>
      </c>
      <c r="L265" s="3" t="s">
        <v>114</v>
      </c>
      <c r="M265" s="1">
        <f t="array" ref="M265">xlookup(L265,Sheet2!A:A,Sheet2!B:B)</f>
        <v>12</v>
      </c>
      <c r="N265" s="3" t="s">
        <v>500</v>
      </c>
      <c r="O265" s="4" t="str">
        <f t="shared" si="1"/>
        <v>150825 : [48,22,12],</v>
      </c>
      <c r="P265" s="4" t="str">
        <f t="shared" si="2"/>
        <v>150825 : 0,</v>
      </c>
    </row>
    <row r="266">
      <c r="A266" s="1" t="s">
        <v>501</v>
      </c>
      <c r="B266" s="2">
        <v>110434.0</v>
      </c>
      <c r="C266" s="1" t="s">
        <v>459</v>
      </c>
      <c r="D266" s="1">
        <f t="array" ref="D266">xlookup(C266,Sheet3!A:A,Sheet3!B:B)</f>
        <v>0</v>
      </c>
      <c r="E266" s="1" t="s">
        <v>111</v>
      </c>
      <c r="F266" s="1">
        <f t="array" ref="F266">xlookup(E266,Sheet2!A:A,Sheet2!B:B)</f>
        <v>28</v>
      </c>
      <c r="G266" s="1" t="s">
        <v>502</v>
      </c>
      <c r="H266" s="3" t="str">
        <f t="array" ref="H266">JOIN("", SORT(MID(LOWER(G266), SEQUENCE(LEN(G266)), 1)))</f>
        <v>     ,,aaaaaaaaddeeeehhhhikkmmnnnpprsssttuvvyyz</v>
      </c>
      <c r="I266" s="1" t="s">
        <v>34</v>
      </c>
      <c r="J266" s="1">
        <f t="array" ref="J266">xlookup(I266,Sheet2!A:A,Sheet2!B:B)</f>
        <v>8</v>
      </c>
      <c r="K266" s="1" t="s">
        <v>502</v>
      </c>
      <c r="L266" s="1" t="s">
        <v>109</v>
      </c>
      <c r="M266" s="1">
        <f t="array" ref="M266">xlookup(L266,Sheet2!A:A,Sheet2!B:B)</f>
        <v>49</v>
      </c>
      <c r="N266" s="1" t="s">
        <v>502</v>
      </c>
      <c r="O266" s="4" t="str">
        <f t="shared" si="1"/>
        <v>110434 : [28,8,49],</v>
      </c>
      <c r="P266" s="4" t="str">
        <f t="shared" si="2"/>
        <v>110434 : 0,</v>
      </c>
    </row>
    <row r="267">
      <c r="A267" s="3" t="s">
        <v>503</v>
      </c>
      <c r="B267" s="5">
        <v>150633.0</v>
      </c>
      <c r="C267" s="3" t="s">
        <v>459</v>
      </c>
      <c r="D267" s="1">
        <f t="array" ref="D267">xlookup(C267,Sheet3!A:A,Sheet3!B:B)</f>
        <v>0</v>
      </c>
      <c r="E267" s="3" t="s">
        <v>34</v>
      </c>
      <c r="F267" s="1">
        <f t="array" ref="F267">xlookup(E267,Sheet2!A:A,Sheet2!B:B)</f>
        <v>8</v>
      </c>
      <c r="G267" s="3" t="s">
        <v>504</v>
      </c>
      <c r="H267" s="3" t="str">
        <f t="array" ref="H267">JOIN("", SORT(MID(LOWER(G267), SEQUENCE(LEN(G267)), 1)))</f>
        <v>     ,,aabdeeeeegiiillllnnnoprsuw</v>
      </c>
      <c r="I267" s="3" t="s">
        <v>109</v>
      </c>
      <c r="J267" s="1">
        <f t="array" ref="J267">xlookup(I267,Sheet2!A:A,Sheet2!B:B)</f>
        <v>49</v>
      </c>
      <c r="K267" s="3" t="s">
        <v>504</v>
      </c>
      <c r="L267" s="3" t="s">
        <v>47</v>
      </c>
      <c r="M267" s="1">
        <f t="array" ref="M267">xlookup(L267,Sheet2!A:A,Sheet2!B:B)</f>
        <v>27</v>
      </c>
      <c r="N267" s="3" t="s">
        <v>504</v>
      </c>
      <c r="O267" s="4" t="str">
        <f t="shared" si="1"/>
        <v>150633 : [8,49,27],</v>
      </c>
      <c r="P267" s="4" t="str">
        <f t="shared" si="2"/>
        <v>150633 : 0,</v>
      </c>
    </row>
    <row r="268">
      <c r="A268" s="1" t="s">
        <v>505</v>
      </c>
      <c r="B268" s="2">
        <v>137990.0</v>
      </c>
      <c r="C268" s="1" t="s">
        <v>459</v>
      </c>
      <c r="D268" s="1">
        <f t="array" ref="D268">xlookup(C268,Sheet3!A:A,Sheet3!B:B)</f>
        <v>0</v>
      </c>
      <c r="E268" s="1" t="s">
        <v>74</v>
      </c>
      <c r="F268" s="1">
        <f t="array" ref="F268">xlookup(E268,Sheet2!A:A,Sheet2!B:B)</f>
        <v>50</v>
      </c>
      <c r="G268" s="1" t="s">
        <v>215</v>
      </c>
      <c r="H268" s="3" t="str">
        <f t="array" ref="H268">JOIN("", SORT(MID(LOWER(G268), SEQUENCE(LEN(G268)), 1)))</f>
        <v>   ,aaaacdehhhilnnnnoortuwyyz</v>
      </c>
      <c r="I268" s="1" t="s">
        <v>207</v>
      </c>
      <c r="J268" s="1">
        <f t="array" ref="J268">xlookup(I268,Sheet2!A:A,Sheet2!B:B)</f>
        <v>1</v>
      </c>
      <c r="K268" s="1" t="s">
        <v>3</v>
      </c>
      <c r="L268" s="1" t="s">
        <v>191</v>
      </c>
      <c r="M268" s="1">
        <f t="array" ref="M268">xlookup(L268,Sheet2!A:A,Sheet2!B:B)</f>
        <v>39</v>
      </c>
      <c r="N268" s="1" t="s">
        <v>3</v>
      </c>
      <c r="O268" s="4" t="str">
        <f t="shared" si="1"/>
        <v>137990 : [50,1,39],</v>
      </c>
      <c r="P268" s="4" t="str">
        <f t="shared" si="2"/>
        <v>137990 : 0,</v>
      </c>
    </row>
    <row r="269">
      <c r="A269" s="3" t="s">
        <v>506</v>
      </c>
      <c r="B269" s="5">
        <v>119320.0</v>
      </c>
      <c r="C269" s="3" t="s">
        <v>459</v>
      </c>
      <c r="D269" s="1">
        <f t="array" ref="D269">xlookup(C269,Sheet3!A:A,Sheet3!B:B)</f>
        <v>0</v>
      </c>
      <c r="E269" s="3" t="s">
        <v>207</v>
      </c>
      <c r="F269" s="1">
        <f t="array" ref="F269">xlookup(E269,Sheet2!A:A,Sheet2!B:B)</f>
        <v>1</v>
      </c>
      <c r="G269" s="3" t="s">
        <v>3</v>
      </c>
      <c r="H269" s="3" t="str">
        <f t="array" ref="H269">JOIN("", SORT(MID(LOWER(G269), SEQUENCE(LEN(G269)), 1)))</f>
        <v>an</v>
      </c>
      <c r="I269" s="3" t="s">
        <v>105</v>
      </c>
      <c r="J269" s="1">
        <f t="array" ref="J269">xlookup(I269,Sheet2!A:A,Sheet2!B:B)</f>
        <v>26</v>
      </c>
      <c r="K269" s="3" t="s">
        <v>3</v>
      </c>
      <c r="L269" s="3" t="s">
        <v>64</v>
      </c>
      <c r="M269" s="1">
        <f t="array" ref="M269">xlookup(L269,Sheet2!A:A,Sheet2!B:B)</f>
        <v>30</v>
      </c>
      <c r="N269" s="3" t="s">
        <v>3</v>
      </c>
      <c r="O269" s="4" t="str">
        <f t="shared" si="1"/>
        <v>119320 : [1,26,30],</v>
      </c>
      <c r="P269" s="4" t="str">
        <f t="shared" si="2"/>
        <v>119320 : 0,</v>
      </c>
    </row>
    <row r="270">
      <c r="A270" s="3" t="s">
        <v>507</v>
      </c>
      <c r="B270" s="5">
        <v>150693.0</v>
      </c>
      <c r="C270" s="3" t="s">
        <v>459</v>
      </c>
      <c r="D270" s="1">
        <f t="array" ref="D270">xlookup(C270,Sheet3!A:A,Sheet3!B:B)</f>
        <v>0</v>
      </c>
      <c r="E270" s="3" t="s">
        <v>28</v>
      </c>
      <c r="F270" s="1">
        <f t="array" ref="F270">xlookup(E270,Sheet2!A:A,Sheet2!B:B)</f>
        <v>32</v>
      </c>
      <c r="G270" s="3" t="s">
        <v>508</v>
      </c>
      <c r="H270" s="3" t="str">
        <f t="array" ref="H270">JOIN("", SORT(MID(LOWER(G270), SEQUENCE(LEN(G270)), 1)))</f>
        <v>     ,,aaacdeeehhhhiiiiiiiikkmnnnorrrrrrsstttuuw</v>
      </c>
      <c r="I270" s="3" t="s">
        <v>47</v>
      </c>
      <c r="J270" s="1">
        <f t="array" ref="J270">xlookup(I270,Sheet2!A:A,Sheet2!B:B)</f>
        <v>27</v>
      </c>
      <c r="K270" s="3" t="s">
        <v>508</v>
      </c>
      <c r="L270" s="3" t="s">
        <v>109</v>
      </c>
      <c r="M270" s="1">
        <f t="array" ref="M270">xlookup(L270,Sheet2!A:A,Sheet2!B:B)</f>
        <v>49</v>
      </c>
      <c r="N270" s="3" t="s">
        <v>508</v>
      </c>
      <c r="O270" s="4" t="str">
        <f t="shared" si="1"/>
        <v>150693 : [32,27,49],</v>
      </c>
      <c r="P270" s="4" t="str">
        <f t="shared" si="2"/>
        <v>150693 : 0,</v>
      </c>
    </row>
    <row r="271">
      <c r="A271" s="1" t="s">
        <v>509</v>
      </c>
      <c r="B271" s="2">
        <v>206209.0</v>
      </c>
      <c r="C271" s="1" t="s">
        <v>459</v>
      </c>
      <c r="D271" s="1">
        <f t="array" ref="D271">xlookup(C271,Sheet3!A:A,Sheet3!B:B)</f>
        <v>0</v>
      </c>
      <c r="E271" s="1" t="s">
        <v>401</v>
      </c>
      <c r="F271" s="1">
        <f t="array" ref="F271">xlookup(E271,Sheet2!A:A,Sheet2!B:B)</f>
        <v>38</v>
      </c>
      <c r="G271" s="1" t="s">
        <v>3</v>
      </c>
      <c r="H271" s="3" t="str">
        <f t="array" ref="H271">JOIN("", SORT(MID(LOWER(G271), SEQUENCE(LEN(G271)), 1)))</f>
        <v>an</v>
      </c>
      <c r="I271" s="1" t="s">
        <v>309</v>
      </c>
      <c r="J271" s="1">
        <f t="array" ref="J271">xlookup(I271,Sheet2!A:A,Sheet2!B:B)</f>
        <v>40</v>
      </c>
      <c r="K271" s="1" t="s">
        <v>3</v>
      </c>
      <c r="L271" s="1" t="s">
        <v>238</v>
      </c>
      <c r="M271" s="1">
        <f t="array" ref="M271">xlookup(L271,Sheet2!A:A,Sheet2!B:B)</f>
        <v>37</v>
      </c>
      <c r="N271" s="1" t="s">
        <v>3</v>
      </c>
      <c r="O271" s="4" t="str">
        <f t="shared" si="1"/>
        <v>206209 : [38,40,37],</v>
      </c>
      <c r="P271" s="4" t="str">
        <f t="shared" si="2"/>
        <v>206209 : 0,</v>
      </c>
    </row>
    <row r="272">
      <c r="A272" s="3" t="s">
        <v>510</v>
      </c>
      <c r="B272" s="5">
        <v>205403.0</v>
      </c>
      <c r="C272" s="3" t="s">
        <v>459</v>
      </c>
      <c r="D272" s="1">
        <f t="array" ref="D272">xlookup(C272,Sheet3!A:A,Sheet3!B:B)</f>
        <v>0</v>
      </c>
      <c r="E272" s="3" t="s">
        <v>9</v>
      </c>
      <c r="F272" s="1">
        <f t="array" ref="F272">xlookup(E272,Sheet2!A:A,Sheet2!B:B)</f>
        <v>5</v>
      </c>
      <c r="G272" s="3" t="s">
        <v>511</v>
      </c>
      <c r="H272" s="3" t="str">
        <f t="array" ref="H272">JOIN("", SORT(MID(LOWER(G272), SEQUENCE(LEN(G272)), 1)))</f>
        <v>   ,aaaaaaahhiikknnprrssttuvw</v>
      </c>
      <c r="I272" s="3" t="s">
        <v>125</v>
      </c>
      <c r="J272" s="1">
        <f t="array" ref="J272">xlookup(I272,Sheet2!A:A,Sheet2!B:B)</f>
        <v>19</v>
      </c>
      <c r="K272" s="3" t="s">
        <v>511</v>
      </c>
      <c r="L272" s="3" t="s">
        <v>5</v>
      </c>
      <c r="M272" s="1">
        <f t="array" ref="M272">xlookup(L272,Sheet2!A:A,Sheet2!B:B)</f>
        <v>35</v>
      </c>
      <c r="N272" s="3" t="s">
        <v>511</v>
      </c>
      <c r="O272" s="4" t="str">
        <f t="shared" si="1"/>
        <v>205403 : [5,19,35],</v>
      </c>
      <c r="P272" s="4" t="str">
        <f t="shared" si="2"/>
        <v>205403 : 0,</v>
      </c>
    </row>
    <row r="273">
      <c r="A273" s="3" t="s">
        <v>512</v>
      </c>
      <c r="B273" s="5">
        <v>206992.0</v>
      </c>
      <c r="C273" s="3" t="s">
        <v>459</v>
      </c>
      <c r="D273" s="1">
        <f t="array" ref="D273">xlookup(C273,Sheet3!A:A,Sheet3!B:B)</f>
        <v>0</v>
      </c>
      <c r="E273" s="3" t="s">
        <v>9</v>
      </c>
      <c r="F273" s="1">
        <f t="array" ref="F273">xlookup(E273,Sheet2!A:A,Sheet2!B:B)</f>
        <v>5</v>
      </c>
      <c r="G273" s="3" t="s">
        <v>513</v>
      </c>
      <c r="H273" s="3" t="str">
        <f t="array" ref="H273">JOIN("", SORT(MID(LOWER(G273), SEQUENCE(LEN(G273)), 1)))</f>
        <v>   ,aaaaaaahhiikknnprrssttuvw</v>
      </c>
      <c r="I273" s="3" t="s">
        <v>125</v>
      </c>
      <c r="J273" s="1">
        <f t="array" ref="J273">xlookup(I273,Sheet2!A:A,Sheet2!B:B)</f>
        <v>19</v>
      </c>
      <c r="K273" s="3" t="s">
        <v>513</v>
      </c>
      <c r="L273" s="3" t="s">
        <v>5</v>
      </c>
      <c r="M273" s="1">
        <f t="array" ref="M273">xlookup(L273,Sheet2!A:A,Sheet2!B:B)</f>
        <v>35</v>
      </c>
      <c r="N273" s="3" t="s">
        <v>513</v>
      </c>
      <c r="O273" s="4" t="str">
        <f t="shared" si="1"/>
        <v>206992 : [5,19,35],</v>
      </c>
      <c r="P273" s="4" t="str">
        <f t="shared" si="2"/>
        <v>206992 : 0,</v>
      </c>
    </row>
    <row r="274">
      <c r="A274" s="3" t="s">
        <v>514</v>
      </c>
      <c r="B274" s="5">
        <v>178859.0</v>
      </c>
      <c r="C274" s="3" t="s">
        <v>459</v>
      </c>
      <c r="D274" s="1">
        <f t="array" ref="D274">xlookup(C274,Sheet3!A:A,Sheet3!B:B)</f>
        <v>0</v>
      </c>
      <c r="E274" s="3" t="s">
        <v>28</v>
      </c>
      <c r="F274" s="1">
        <f t="array" ref="F274">xlookup(E274,Sheet2!A:A,Sheet2!B:B)</f>
        <v>32</v>
      </c>
      <c r="G274" s="3" t="s">
        <v>515</v>
      </c>
      <c r="H274" s="3" t="str">
        <f t="array" ref="H274">JOIN("", SORT(MID(LOWER(G274), SEQUENCE(LEN(G274)), 1)))</f>
        <v>     ,,aaacdeeehhhhiiiiiiiikkmnnnorrrrrrsstttuuw</v>
      </c>
      <c r="I274" s="3" t="s">
        <v>47</v>
      </c>
      <c r="J274" s="1">
        <f t="array" ref="J274">xlookup(I274,Sheet2!A:A,Sheet2!B:B)</f>
        <v>27</v>
      </c>
      <c r="K274" s="3" t="s">
        <v>515</v>
      </c>
      <c r="L274" s="3" t="s">
        <v>109</v>
      </c>
      <c r="M274" s="1">
        <f t="array" ref="M274">xlookup(L274,Sheet2!A:A,Sheet2!B:B)</f>
        <v>49</v>
      </c>
      <c r="N274" s="3" t="s">
        <v>515</v>
      </c>
      <c r="O274" s="4" t="str">
        <f t="shared" si="1"/>
        <v>178859 : [32,27,49],</v>
      </c>
      <c r="P274" s="4" t="str">
        <f t="shared" si="2"/>
        <v>178859 : 0,</v>
      </c>
    </row>
    <row r="275">
      <c r="A275" s="3" t="s">
        <v>516</v>
      </c>
      <c r="B275" s="5">
        <v>313866.0</v>
      </c>
      <c r="C275" s="3" t="s">
        <v>459</v>
      </c>
      <c r="D275" s="1">
        <f t="array" ref="D275">xlookup(C275,Sheet3!A:A,Sheet3!B:B)</f>
        <v>0</v>
      </c>
      <c r="E275" s="3" t="s">
        <v>111</v>
      </c>
      <c r="F275" s="1">
        <f t="array" ref="F275">xlookup(E275,Sheet2!A:A,Sheet2!B:B)</f>
        <v>28</v>
      </c>
      <c r="G275" s="3" t="s">
        <v>517</v>
      </c>
      <c r="H275" s="3" t="str">
        <f t="array" ref="H275">JOIN("", SORT(MID(LOWER(G275), SEQUENCE(LEN(G275)), 1)))</f>
        <v>    aaaaaabddeeffiiiikklnnnnorssw</v>
      </c>
      <c r="I275" s="3" t="s">
        <v>30</v>
      </c>
      <c r="J275" s="1">
        <f t="array" ref="J275">xlookup(I275,Sheet2!A:A,Sheet2!B:B)</f>
        <v>13</v>
      </c>
      <c r="K275" s="3" t="s">
        <v>517</v>
      </c>
      <c r="L275" s="3" t="s">
        <v>114</v>
      </c>
      <c r="M275" s="1">
        <f t="array" ref="M275">xlookup(L275,Sheet2!A:A,Sheet2!B:B)</f>
        <v>12</v>
      </c>
      <c r="N275" s="3" t="s">
        <v>517</v>
      </c>
      <c r="O275" s="4" t="str">
        <f t="shared" si="1"/>
        <v>313866 : [28,13,12],</v>
      </c>
      <c r="P275" s="4" t="str">
        <f t="shared" si="2"/>
        <v>313866 : 0,</v>
      </c>
    </row>
    <row r="276">
      <c r="A276" s="3" t="s">
        <v>518</v>
      </c>
      <c r="B276" s="5">
        <v>162277.0</v>
      </c>
      <c r="C276" s="3" t="s">
        <v>459</v>
      </c>
      <c r="D276" s="1">
        <f t="array" ref="D276">xlookup(C276,Sheet3!A:A,Sheet3!B:B)</f>
        <v>0</v>
      </c>
      <c r="E276" s="3" t="s">
        <v>111</v>
      </c>
      <c r="F276" s="1">
        <f t="array" ref="F276">xlookup(E276,Sheet2!A:A,Sheet2!B:B)</f>
        <v>28</v>
      </c>
      <c r="G276" s="3" t="s">
        <v>519</v>
      </c>
      <c r="H276" s="3" t="str">
        <f t="array" ref="H276">JOIN("", SORT(MID(LOWER(G276), SEQUENCE(LEN(G276)), 1)))</f>
        <v>   ,aaaaabdeeffiiiikklnnnorssw</v>
      </c>
      <c r="I276" s="3" t="s">
        <v>30</v>
      </c>
      <c r="J276" s="1">
        <f t="array" ref="J276">xlookup(I276,Sheet2!A:A,Sheet2!B:B)</f>
        <v>13</v>
      </c>
      <c r="K276" s="3" t="s">
        <v>519</v>
      </c>
      <c r="L276" s="3" t="s">
        <v>114</v>
      </c>
      <c r="M276" s="1">
        <f t="array" ref="M276">xlookup(L276,Sheet2!A:A,Sheet2!B:B)</f>
        <v>12</v>
      </c>
      <c r="N276" s="3" t="s">
        <v>519</v>
      </c>
      <c r="O276" s="4" t="str">
        <f t="shared" si="1"/>
        <v>162277 : [28,13,12],</v>
      </c>
      <c r="P276" s="4" t="str">
        <f t="shared" si="2"/>
        <v>162277 : 0,</v>
      </c>
    </row>
    <row r="277">
      <c r="A277" s="3" t="s">
        <v>520</v>
      </c>
      <c r="B277" s="5">
        <v>150818.0</v>
      </c>
      <c r="C277" s="3" t="s">
        <v>459</v>
      </c>
      <c r="D277" s="1">
        <f t="array" ref="D277">xlookup(C277,Sheet3!A:A,Sheet3!B:B)</f>
        <v>0</v>
      </c>
      <c r="E277" s="3" t="s">
        <v>74</v>
      </c>
      <c r="F277" s="1">
        <f t="array" ref="F277">xlookup(E277,Sheet2!A:A,Sheet2!B:B)</f>
        <v>50</v>
      </c>
      <c r="G277" s="3" t="s">
        <v>521</v>
      </c>
      <c r="H277" s="3" t="str">
        <f t="array" ref="H277">JOIN("", SORT(MID(LOWER(G277), SEQUENCE(LEN(G277)), 1)))</f>
        <v>        ,,,aaaabbbeeeeghiillllmmmmnoprrryy</v>
      </c>
      <c r="I277" s="3" t="s">
        <v>96</v>
      </c>
      <c r="J277" s="1">
        <f t="array" ref="J277">xlookup(I277,Sheet2!A:A,Sheet2!B:B)</f>
        <v>47</v>
      </c>
      <c r="K277" s="3" t="s">
        <v>521</v>
      </c>
      <c r="L277" s="3" t="s">
        <v>76</v>
      </c>
      <c r="M277" s="1">
        <f t="array" ref="M277">xlookup(L277,Sheet2!A:A,Sheet2!B:B)</f>
        <v>24</v>
      </c>
      <c r="N277" s="3" t="s">
        <v>521</v>
      </c>
      <c r="O277" s="4" t="str">
        <f t="shared" si="1"/>
        <v>150818 : [50,47,24],</v>
      </c>
      <c r="P277" s="4" t="str">
        <f t="shared" si="2"/>
        <v>150818 : 0,</v>
      </c>
    </row>
    <row r="278">
      <c r="A278" s="3" t="s">
        <v>522</v>
      </c>
      <c r="B278" s="5">
        <v>326504.0</v>
      </c>
      <c r="C278" s="3" t="s">
        <v>459</v>
      </c>
      <c r="D278" s="1">
        <f t="array" ref="D278">xlookup(C278,Sheet3!A:A,Sheet3!B:B)</f>
        <v>0</v>
      </c>
      <c r="E278" s="3" t="s">
        <v>74</v>
      </c>
      <c r="F278" s="1">
        <f t="array" ref="F278">xlookup(E278,Sheet2!A:A,Sheet2!B:B)</f>
        <v>50</v>
      </c>
      <c r="G278" s="3" t="s">
        <v>523</v>
      </c>
      <c r="H278" s="3" t="str">
        <f t="array" ref="H278">JOIN("", SORT(MID(LOWER(G278), SEQUENCE(LEN(G278)), 1)))</f>
        <v>       ,,,aaaabbbeeeeghiillllmmmmnoprrryy</v>
      </c>
      <c r="I278" s="3" t="s">
        <v>96</v>
      </c>
      <c r="J278" s="1">
        <f t="array" ref="J278">xlookup(I278,Sheet2!A:A,Sheet2!B:B)</f>
        <v>47</v>
      </c>
      <c r="K278" s="3" t="s">
        <v>523</v>
      </c>
      <c r="L278" s="3" t="s">
        <v>76</v>
      </c>
      <c r="M278" s="1">
        <f t="array" ref="M278">xlookup(L278,Sheet2!A:A,Sheet2!B:B)</f>
        <v>24</v>
      </c>
      <c r="N278" s="3" t="s">
        <v>523</v>
      </c>
      <c r="O278" s="4" t="str">
        <f t="shared" si="1"/>
        <v>326504 : [50,47,24],</v>
      </c>
      <c r="P278" s="4" t="str">
        <f t="shared" si="2"/>
        <v>326504 : 0,</v>
      </c>
    </row>
    <row r="279">
      <c r="A279" s="3" t="s">
        <v>524</v>
      </c>
      <c r="B279" s="5">
        <v>164534.0</v>
      </c>
      <c r="C279" s="3" t="s">
        <v>459</v>
      </c>
      <c r="D279" s="1">
        <f t="array" ref="D279">xlookup(C279,Sheet3!A:A,Sheet3!B:B)</f>
        <v>0</v>
      </c>
      <c r="E279" s="3" t="s">
        <v>18</v>
      </c>
      <c r="F279" s="1">
        <f t="array" ref="F279">xlookup(E279,Sheet2!A:A,Sheet2!B:B)</f>
        <v>22</v>
      </c>
      <c r="G279" s="3" t="s">
        <v>525</v>
      </c>
      <c r="H279" s="3" t="str">
        <f t="array" ref="H279">JOIN("", SORT(MID(LOWER(G279), SEQUENCE(LEN(G279)), 1)))</f>
        <v>     ,,aaaaaaaaefhhhiimnnnorrsssssttttuuuy</v>
      </c>
      <c r="I279" s="3" t="s">
        <v>39</v>
      </c>
      <c r="J279" s="1">
        <f t="array" ref="J279">xlookup(I279,Sheet2!A:A,Sheet2!B:B)</f>
        <v>20</v>
      </c>
      <c r="K279" s="3" t="s">
        <v>525</v>
      </c>
      <c r="L279" s="3" t="s">
        <v>74</v>
      </c>
      <c r="M279" s="1">
        <f t="array" ref="M279">xlookup(L279,Sheet2!A:A,Sheet2!B:B)</f>
        <v>50</v>
      </c>
      <c r="N279" s="3" t="s">
        <v>525</v>
      </c>
      <c r="O279" s="4" t="str">
        <f t="shared" si="1"/>
        <v>164534 : [22,20,50],</v>
      </c>
      <c r="P279" s="4" t="str">
        <f t="shared" si="2"/>
        <v>164534 : 0,</v>
      </c>
    </row>
    <row r="280">
      <c r="A280" s="1" t="s">
        <v>526</v>
      </c>
      <c r="B280" s="2">
        <v>136204.0</v>
      </c>
      <c r="C280" s="1" t="s">
        <v>459</v>
      </c>
      <c r="D280" s="1">
        <f t="array" ref="D280">xlookup(C280,Sheet3!A:A,Sheet3!B:B)</f>
        <v>0</v>
      </c>
      <c r="E280" s="1" t="s">
        <v>309</v>
      </c>
      <c r="F280" s="1">
        <f t="array" ref="F280">xlookup(E280,Sheet2!A:A,Sheet2!B:B)</f>
        <v>40</v>
      </c>
      <c r="G280" s="1" t="s">
        <v>3</v>
      </c>
      <c r="H280" s="3" t="str">
        <f t="array" ref="H280">JOIN("", SORT(MID(LOWER(G280), SEQUENCE(LEN(G280)), 1)))</f>
        <v>an</v>
      </c>
      <c r="I280" s="1" t="s">
        <v>124</v>
      </c>
      <c r="J280" s="1">
        <f t="array" ref="J280">xlookup(I280,Sheet2!A:A,Sheet2!B:B)</f>
        <v>46</v>
      </c>
      <c r="K280" s="1" t="s">
        <v>3</v>
      </c>
      <c r="L280" s="1" t="s">
        <v>238</v>
      </c>
      <c r="M280" s="1">
        <f t="array" ref="M280">xlookup(L280,Sheet2!A:A,Sheet2!B:B)</f>
        <v>37</v>
      </c>
      <c r="N280" s="1" t="s">
        <v>3</v>
      </c>
      <c r="O280" s="4" t="str">
        <f t="shared" si="1"/>
        <v>136204 : [40,46,37],</v>
      </c>
      <c r="P280" s="4" t="str">
        <f t="shared" si="2"/>
        <v>136204 : 0,</v>
      </c>
    </row>
    <row r="281">
      <c r="A281" s="3" t="s">
        <v>527</v>
      </c>
      <c r="B281" s="5">
        <v>151342.0</v>
      </c>
      <c r="C281" s="3" t="s">
        <v>459</v>
      </c>
      <c r="D281" s="1">
        <f t="array" ref="D281">xlookup(C281,Sheet3!A:A,Sheet3!B:B)</f>
        <v>0</v>
      </c>
      <c r="E281" s="3" t="s">
        <v>25</v>
      </c>
      <c r="F281" s="1">
        <f t="array" ref="F281">xlookup(E281,Sheet2!A:A,Sheet2!B:B)</f>
        <v>18</v>
      </c>
      <c r="G281" s="3" t="s">
        <v>527</v>
      </c>
      <c r="H281" s="3" t="str">
        <f t="array" ref="H281">JOIN("", SORT(MID(LOWER(G281), SEQUENCE(LEN(G281)), 1)))</f>
        <v> aaahijnnpprrtu</v>
      </c>
      <c r="I281" s="3" t="s">
        <v>207</v>
      </c>
      <c r="J281" s="1">
        <f t="array" ref="J281">xlookup(I281,Sheet2!A:A,Sheet2!B:B)</f>
        <v>1</v>
      </c>
      <c r="K281" s="3" t="s">
        <v>527</v>
      </c>
      <c r="L281" s="3" t="s">
        <v>309</v>
      </c>
      <c r="M281" s="1">
        <f t="array" ref="M281">xlookup(L281,Sheet2!A:A,Sheet2!B:B)</f>
        <v>40</v>
      </c>
      <c r="N281" s="3" t="s">
        <v>527</v>
      </c>
      <c r="O281" s="4" t="str">
        <f t="shared" si="1"/>
        <v>151342 : [18,1,40],</v>
      </c>
      <c r="P281" s="4" t="str">
        <f t="shared" si="2"/>
        <v>151342 : 0,</v>
      </c>
    </row>
    <row r="282">
      <c r="A282" s="3" t="s">
        <v>528</v>
      </c>
      <c r="B282" s="5">
        <v>302513.0</v>
      </c>
      <c r="C282" s="3" t="s">
        <v>459</v>
      </c>
      <c r="D282" s="1">
        <f t="array" ref="D282">xlookup(C282,Sheet3!A:A,Sheet3!B:B)</f>
        <v>0</v>
      </c>
      <c r="E282" s="3" t="s">
        <v>28</v>
      </c>
      <c r="F282" s="1">
        <f t="array" ref="F282">xlookup(E282,Sheet2!A:A,Sheet2!B:B)</f>
        <v>32</v>
      </c>
      <c r="G282" s="3" t="s">
        <v>529</v>
      </c>
      <c r="H282" s="3" t="str">
        <f t="array" ref="H282">JOIN("", SORT(MID(LOWER(G282), SEQUENCE(LEN(G282)), 1)))</f>
        <v>     ,,aaacdeeehhhhiiiiiiiikkmnnnorrrrrrsstttuuw</v>
      </c>
      <c r="I282" s="3" t="s">
        <v>47</v>
      </c>
      <c r="J282" s="1">
        <f t="array" ref="J282">xlookup(I282,Sheet2!A:A,Sheet2!B:B)</f>
        <v>27</v>
      </c>
      <c r="K282" s="3" t="s">
        <v>529</v>
      </c>
      <c r="L282" s="3" t="s">
        <v>109</v>
      </c>
      <c r="M282" s="1">
        <f t="array" ref="M282">xlookup(L282,Sheet2!A:A,Sheet2!B:B)</f>
        <v>49</v>
      </c>
      <c r="N282" s="3" t="s">
        <v>529</v>
      </c>
      <c r="O282" s="4" t="str">
        <f t="shared" si="1"/>
        <v>302513 : [32,27,49],</v>
      </c>
      <c r="P282" s="4" t="str">
        <f t="shared" si="2"/>
        <v>302513 : 0,</v>
      </c>
    </row>
    <row r="283">
      <c r="A283" s="3" t="s">
        <v>530</v>
      </c>
      <c r="B283" s="5">
        <v>150689.0</v>
      </c>
      <c r="C283" s="3" t="s">
        <v>459</v>
      </c>
      <c r="D283" s="1">
        <f t="array" ref="D283">xlookup(C283,Sheet3!A:A,Sheet3!B:B)</f>
        <v>0</v>
      </c>
      <c r="E283" s="3" t="s">
        <v>7</v>
      </c>
      <c r="F283" s="1">
        <f t="array" ref="F283">xlookup(E283,Sheet2!A:A,Sheet2!B:B)</f>
        <v>15</v>
      </c>
      <c r="G283" s="3" t="s">
        <v>531</v>
      </c>
      <c r="H283" s="3" t="str">
        <f t="array" ref="H283">JOIN("", SORT(MID(LOWER(G283), SEQUENCE(LEN(G283)), 1)))</f>
        <v>   ,aaaaaaabdeeghijklmmmnnrrssuuuy</v>
      </c>
      <c r="I283" s="3" t="s">
        <v>72</v>
      </c>
      <c r="J283" s="1">
        <f t="array" ref="J283">xlookup(I283,Sheet2!A:A,Sheet2!B:B)</f>
        <v>34</v>
      </c>
      <c r="K283" s="3" t="s">
        <v>531</v>
      </c>
      <c r="L283" s="3" t="s">
        <v>96</v>
      </c>
      <c r="M283" s="1">
        <f t="array" ref="M283">xlookup(L283,Sheet2!A:A,Sheet2!B:B)</f>
        <v>47</v>
      </c>
      <c r="N283" s="3" t="s">
        <v>531</v>
      </c>
      <c r="O283" s="4" t="str">
        <f t="shared" si="1"/>
        <v>150689 : [15,34,47],</v>
      </c>
      <c r="P283" s="4" t="str">
        <f t="shared" si="2"/>
        <v>150689 : 0,</v>
      </c>
    </row>
    <row r="284">
      <c r="A284" s="3" t="s">
        <v>532</v>
      </c>
      <c r="B284" s="5">
        <v>150600.0</v>
      </c>
      <c r="C284" s="3" t="s">
        <v>459</v>
      </c>
      <c r="D284" s="1">
        <f t="array" ref="D284">xlookup(C284,Sheet3!A:A,Sheet3!B:B)</f>
        <v>0</v>
      </c>
      <c r="E284" s="3" t="s">
        <v>7</v>
      </c>
      <c r="F284" s="1">
        <f t="array" ref="F284">xlookup(E284,Sheet2!A:A,Sheet2!B:B)</f>
        <v>15</v>
      </c>
      <c r="G284" s="3" t="s">
        <v>531</v>
      </c>
      <c r="H284" s="3" t="str">
        <f t="array" ref="H284">JOIN("", SORT(MID(LOWER(G284), SEQUENCE(LEN(G284)), 1)))</f>
        <v>   ,aaaaaaabdeeghijklmmmnnrrssuuuy</v>
      </c>
      <c r="I284" s="3" t="s">
        <v>72</v>
      </c>
      <c r="J284" s="1">
        <f t="array" ref="J284">xlookup(I284,Sheet2!A:A,Sheet2!B:B)</f>
        <v>34</v>
      </c>
      <c r="K284" s="3" t="s">
        <v>531</v>
      </c>
      <c r="L284" s="3" t="s">
        <v>96</v>
      </c>
      <c r="M284" s="1">
        <f t="array" ref="M284">xlookup(L284,Sheet2!A:A,Sheet2!B:B)</f>
        <v>47</v>
      </c>
      <c r="N284" s="3" t="s">
        <v>531</v>
      </c>
      <c r="O284" s="4" t="str">
        <f t="shared" si="1"/>
        <v>150600 : [15,34,47],</v>
      </c>
      <c r="P284" s="4" t="str">
        <f t="shared" si="2"/>
        <v>150600 : 0,</v>
      </c>
    </row>
    <row r="285">
      <c r="A285" s="3" t="s">
        <v>533</v>
      </c>
      <c r="B285" s="5">
        <v>119432.0</v>
      </c>
      <c r="C285" s="3" t="s">
        <v>459</v>
      </c>
      <c r="D285" s="1">
        <f t="array" ref="D285">xlookup(C285,Sheet3!A:A,Sheet3!B:B)</f>
        <v>0</v>
      </c>
      <c r="E285" s="3" t="s">
        <v>72</v>
      </c>
      <c r="F285" s="1">
        <f t="array" ref="F285">xlookup(E285,Sheet2!A:A,Sheet2!B:B)</f>
        <v>34</v>
      </c>
      <c r="G285" s="3" t="s">
        <v>534</v>
      </c>
      <c r="H285" s="3" t="str">
        <f t="array" ref="H285">JOIN("", SORT(MID(LOWER(G285), SEQUENCE(LEN(G285)), 1)))</f>
        <v>    ,aaaaaddeegghiillnnnrstuyy</v>
      </c>
      <c r="I285" s="3" t="s">
        <v>96</v>
      </c>
      <c r="J285" s="1">
        <f t="array" ref="J285">xlookup(I285,Sheet2!A:A,Sheet2!B:B)</f>
        <v>47</v>
      </c>
      <c r="K285" s="3" t="s">
        <v>534</v>
      </c>
      <c r="L285" s="3" t="s">
        <v>42</v>
      </c>
      <c r="M285" s="1">
        <f t="array" ref="M285">xlookup(L285,Sheet2!A:A,Sheet2!B:B)</f>
        <v>14</v>
      </c>
      <c r="N285" s="3" t="s">
        <v>534</v>
      </c>
      <c r="O285" s="4" t="str">
        <f t="shared" si="1"/>
        <v>119432 : [34,47,14],</v>
      </c>
      <c r="P285" s="4" t="str">
        <f t="shared" si="2"/>
        <v>119432 : 0,</v>
      </c>
    </row>
    <row r="286">
      <c r="A286" s="3" t="s">
        <v>535</v>
      </c>
      <c r="B286" s="5">
        <v>119441.0</v>
      </c>
      <c r="C286" s="3" t="s">
        <v>459</v>
      </c>
      <c r="D286" s="1">
        <f t="array" ref="D286">xlookup(C286,Sheet3!A:A,Sheet3!B:B)</f>
        <v>0</v>
      </c>
      <c r="E286" s="3" t="s">
        <v>72</v>
      </c>
      <c r="F286" s="1">
        <f t="array" ref="F286">xlookup(E286,Sheet2!A:A,Sheet2!B:B)</f>
        <v>34</v>
      </c>
      <c r="G286" s="3" t="s">
        <v>536</v>
      </c>
      <c r="H286" s="3" t="str">
        <f t="array" ref="H286">JOIN("", SORT(MID(LOWER(G286), SEQUENCE(LEN(G286)), 1)))</f>
        <v>    ,aaaaaddeegghiillnnnrstuyy</v>
      </c>
      <c r="I286" s="3" t="s">
        <v>96</v>
      </c>
      <c r="J286" s="1">
        <f t="array" ref="J286">xlookup(I286,Sheet2!A:A,Sheet2!B:B)</f>
        <v>47</v>
      </c>
      <c r="K286" s="3" t="s">
        <v>536</v>
      </c>
      <c r="L286" s="3" t="s">
        <v>7</v>
      </c>
      <c r="M286" s="1">
        <f t="array" ref="M286">xlookup(L286,Sheet2!A:A,Sheet2!B:B)</f>
        <v>15</v>
      </c>
      <c r="N286" s="3" t="s">
        <v>536</v>
      </c>
      <c r="O286" s="4" t="str">
        <f t="shared" si="1"/>
        <v>119441 : [34,47,15],</v>
      </c>
      <c r="P286" s="4" t="str">
        <f t="shared" si="2"/>
        <v>119441 : 0,</v>
      </c>
    </row>
    <row r="287">
      <c r="A287" s="1" t="s">
        <v>537</v>
      </c>
      <c r="B287" s="2">
        <v>205217.0</v>
      </c>
      <c r="C287" s="1" t="s">
        <v>459</v>
      </c>
      <c r="D287" s="1">
        <f t="array" ref="D287">xlookup(C287,Sheet3!A:A,Sheet3!B:B)</f>
        <v>0</v>
      </c>
      <c r="E287" s="1" t="s">
        <v>401</v>
      </c>
      <c r="F287" s="1">
        <f t="array" ref="F287">xlookup(E287,Sheet2!A:A,Sheet2!B:B)</f>
        <v>38</v>
      </c>
      <c r="G287" s="1" t="s">
        <v>3</v>
      </c>
      <c r="H287" s="3" t="str">
        <f t="array" ref="H287">JOIN("", SORT(MID(LOWER(G287), SEQUENCE(LEN(G287)), 1)))</f>
        <v>an</v>
      </c>
      <c r="I287" s="1" t="s">
        <v>5</v>
      </c>
      <c r="J287" s="1">
        <f t="array" ref="J287">xlookup(I287,Sheet2!A:A,Sheet2!B:B)</f>
        <v>35</v>
      </c>
      <c r="K287" s="1" t="s">
        <v>3</v>
      </c>
      <c r="L287" s="1" t="s">
        <v>465</v>
      </c>
      <c r="M287" s="1">
        <f t="array" ref="M287">xlookup(L287,Sheet2!A:A,Sheet2!B:B)</f>
        <v>36</v>
      </c>
      <c r="N287" s="1" t="s">
        <v>3</v>
      </c>
      <c r="O287" s="4" t="str">
        <f t="shared" si="1"/>
        <v>205217 : [38,35,36],</v>
      </c>
      <c r="P287" s="4" t="str">
        <f t="shared" si="2"/>
        <v>205217 : 0,</v>
      </c>
    </row>
    <row r="288">
      <c r="A288" s="3" t="s">
        <v>538</v>
      </c>
      <c r="B288" s="5">
        <v>149958.0</v>
      </c>
      <c r="C288" s="3" t="s">
        <v>459</v>
      </c>
      <c r="D288" s="1">
        <f t="array" ref="D288">xlookup(C288,Sheet3!A:A,Sheet3!B:B)</f>
        <v>0</v>
      </c>
      <c r="E288" s="3" t="s">
        <v>34</v>
      </c>
      <c r="F288" s="1">
        <f t="array" ref="F288">xlookup(E288,Sheet2!A:A,Sheet2!B:B)</f>
        <v>8</v>
      </c>
      <c r="G288" s="3" t="s">
        <v>539</v>
      </c>
      <c r="H288" s="3" t="str">
        <f t="array" ref="H288">JOIN("", SORT(MID(LOWER(G288), SEQUENCE(LEN(G288)), 1)))</f>
        <v>     ,,aaaceeeeghiklllnnnssuuvxyy</v>
      </c>
      <c r="I288" s="3" t="s">
        <v>28</v>
      </c>
      <c r="J288" s="1">
        <f t="array" ref="J288">xlookup(I288,Sheet2!A:A,Sheet2!B:B)</f>
        <v>32</v>
      </c>
      <c r="K288" s="3" t="s">
        <v>539</v>
      </c>
      <c r="L288" s="3" t="s">
        <v>401</v>
      </c>
      <c r="M288" s="1">
        <f t="array" ref="M288">xlookup(L288,Sheet2!A:A,Sheet2!B:B)</f>
        <v>38</v>
      </c>
      <c r="N288" s="3" t="s">
        <v>539</v>
      </c>
      <c r="O288" s="4" t="str">
        <f t="shared" si="1"/>
        <v>149958 : [8,32,38],</v>
      </c>
      <c r="P288" s="4" t="str">
        <f t="shared" si="2"/>
        <v>149958 : 0,</v>
      </c>
    </row>
    <row r="289">
      <c r="A289" s="3" t="s">
        <v>540</v>
      </c>
      <c r="B289" s="5">
        <v>306354.0</v>
      </c>
      <c r="C289" s="3" t="s">
        <v>459</v>
      </c>
      <c r="D289" s="1">
        <f t="array" ref="D289">xlookup(C289,Sheet3!A:A,Sheet3!B:B)</f>
        <v>0</v>
      </c>
      <c r="E289" s="3" t="s">
        <v>34</v>
      </c>
      <c r="F289" s="1">
        <f t="array" ref="F289">xlookup(E289,Sheet2!A:A,Sheet2!B:B)</f>
        <v>8</v>
      </c>
      <c r="G289" s="3" t="s">
        <v>541</v>
      </c>
      <c r="H289" s="3" t="str">
        <f t="array" ref="H289">JOIN("", SORT(MID(LOWER(G289), SEQUENCE(LEN(G289)), 1)))</f>
        <v>    aaaacdeeeghllnnnnssuvy</v>
      </c>
      <c r="I289" s="3" t="s">
        <v>28</v>
      </c>
      <c r="J289" s="1">
        <f t="array" ref="J289">xlookup(I289,Sheet2!A:A,Sheet2!B:B)</f>
        <v>32</v>
      </c>
      <c r="K289" s="3" t="s">
        <v>541</v>
      </c>
      <c r="L289" s="3" t="s">
        <v>309</v>
      </c>
      <c r="M289" s="1">
        <f t="array" ref="M289">xlookup(L289,Sheet2!A:A,Sheet2!B:B)</f>
        <v>40</v>
      </c>
      <c r="N289" s="3" t="s">
        <v>541</v>
      </c>
      <c r="O289" s="4" t="str">
        <f t="shared" si="1"/>
        <v>306354 : [8,32,40],</v>
      </c>
      <c r="P289" s="4" t="str">
        <f t="shared" si="2"/>
        <v>306354 : 0,</v>
      </c>
    </row>
    <row r="290">
      <c r="A290" s="3" t="s">
        <v>542</v>
      </c>
      <c r="B290" s="5">
        <v>150837.0</v>
      </c>
      <c r="C290" s="3" t="s">
        <v>459</v>
      </c>
      <c r="D290" s="1">
        <f t="array" ref="D290">xlookup(C290,Sheet3!A:A,Sheet3!B:B)</f>
        <v>0</v>
      </c>
      <c r="E290" s="3" t="s">
        <v>28</v>
      </c>
      <c r="F290" s="1">
        <f t="array" ref="F290">xlookup(E290,Sheet2!A:A,Sheet2!B:B)</f>
        <v>32</v>
      </c>
      <c r="G290" s="3" t="s">
        <v>3</v>
      </c>
      <c r="H290" s="3" t="str">
        <f t="array" ref="H290">JOIN("", SORT(MID(LOWER(G290), SEQUENCE(LEN(G290)), 1)))</f>
        <v>an</v>
      </c>
      <c r="I290" s="3" t="s">
        <v>13</v>
      </c>
      <c r="J290" s="1">
        <f t="array" ref="J290">xlookup(I290,Sheet2!A:A,Sheet2!B:B)</f>
        <v>17</v>
      </c>
      <c r="K290" s="3" t="s">
        <v>3</v>
      </c>
      <c r="L290" s="3" t="s">
        <v>111</v>
      </c>
      <c r="M290" s="1">
        <f t="array" ref="M290">xlookup(L290,Sheet2!A:A,Sheet2!B:B)</f>
        <v>28</v>
      </c>
      <c r="N290" s="3" t="s">
        <v>3</v>
      </c>
      <c r="O290" s="4" t="str">
        <f t="shared" si="1"/>
        <v>150837 : [32,17,28],</v>
      </c>
      <c r="P290" s="4" t="str">
        <f t="shared" si="2"/>
        <v>150837 : 0,</v>
      </c>
    </row>
    <row r="291">
      <c r="A291" s="1" t="s">
        <v>543</v>
      </c>
      <c r="B291" s="2">
        <v>150316.0</v>
      </c>
      <c r="C291" s="1" t="s">
        <v>459</v>
      </c>
      <c r="D291" s="1">
        <f t="array" ref="D291">xlookup(C291,Sheet3!A:A,Sheet3!B:B)</f>
        <v>0</v>
      </c>
      <c r="E291" s="1" t="s">
        <v>401</v>
      </c>
      <c r="F291" s="1">
        <f t="array" ref="F291">xlookup(E291,Sheet2!A:A,Sheet2!B:B)</f>
        <v>38</v>
      </c>
      <c r="G291" s="1" t="s">
        <v>3</v>
      </c>
      <c r="H291" s="3" t="str">
        <f t="array" ref="H291">JOIN("", SORT(MID(LOWER(G291), SEQUENCE(LEN(G291)), 1)))</f>
        <v>an</v>
      </c>
      <c r="I291" s="1" t="s">
        <v>5</v>
      </c>
      <c r="J291" s="1">
        <f t="array" ref="J291">xlookup(I291,Sheet2!A:A,Sheet2!B:B)</f>
        <v>35</v>
      </c>
      <c r="K291" s="1" t="s">
        <v>3</v>
      </c>
      <c r="L291" s="1" t="s">
        <v>238</v>
      </c>
      <c r="M291" s="1">
        <f t="array" ref="M291">xlookup(L291,Sheet2!A:A,Sheet2!B:B)</f>
        <v>37</v>
      </c>
      <c r="N291" s="1" t="s">
        <v>3</v>
      </c>
      <c r="O291" s="4" t="str">
        <f t="shared" si="1"/>
        <v>150316 : [38,35,37],</v>
      </c>
      <c r="P291" s="4" t="str">
        <f t="shared" si="2"/>
        <v>150316 : 0,</v>
      </c>
    </row>
    <row r="292">
      <c r="A292" s="3" t="s">
        <v>544</v>
      </c>
      <c r="B292" s="5">
        <v>195481.0</v>
      </c>
      <c r="C292" s="3" t="s">
        <v>459</v>
      </c>
      <c r="D292" s="1">
        <f t="array" ref="D292">xlookup(C292,Sheet3!A:A,Sheet3!B:B)</f>
        <v>0</v>
      </c>
      <c r="E292" s="3" t="s">
        <v>109</v>
      </c>
      <c r="F292" s="1">
        <f t="array" ref="F292">xlookup(E292,Sheet2!A:A,Sheet2!B:B)</f>
        <v>49</v>
      </c>
      <c r="G292" s="3" t="s">
        <v>545</v>
      </c>
      <c r="H292" s="3" t="str">
        <f t="array" ref="H292">JOIN("", SORT(MID(LOWER(G292), SEQUENCE(LEN(G292)), 1)))</f>
        <v>     ,,aaaaaaaaabddeeggghhiiijkllmnnnnnorrrrsstuy</v>
      </c>
      <c r="I292" s="3" t="s">
        <v>184</v>
      </c>
      <c r="J292" s="1">
        <f t="array" ref="J292">xlookup(I292,Sheet2!A:A,Sheet2!B:B)</f>
        <v>4</v>
      </c>
      <c r="K292" s="3" t="s">
        <v>545</v>
      </c>
      <c r="L292" s="3" t="s">
        <v>63</v>
      </c>
      <c r="M292" s="1">
        <f t="array" ref="M292">xlookup(L292,Sheet2!A:A,Sheet2!B:B)</f>
        <v>29</v>
      </c>
      <c r="N292" s="3" t="s">
        <v>545</v>
      </c>
      <c r="O292" s="4" t="str">
        <f t="shared" si="1"/>
        <v>195481 : [49,4,29],</v>
      </c>
      <c r="P292" s="4" t="str">
        <f t="shared" si="2"/>
        <v>195481 : 0,</v>
      </c>
    </row>
    <row r="293">
      <c r="A293" s="1" t="s">
        <v>546</v>
      </c>
      <c r="B293" s="2">
        <v>117129.0</v>
      </c>
      <c r="C293" s="1" t="s">
        <v>459</v>
      </c>
      <c r="D293" s="1">
        <f t="array" ref="D293">xlookup(C293,Sheet3!A:A,Sheet3!B:B)</f>
        <v>0</v>
      </c>
      <c r="E293" s="1" t="s">
        <v>191</v>
      </c>
      <c r="F293" s="1">
        <f t="array" ref="F293">xlookup(E293,Sheet2!A:A,Sheet2!B:B)</f>
        <v>39</v>
      </c>
      <c r="G293" s="1" t="s">
        <v>3</v>
      </c>
      <c r="H293" s="3" t="str">
        <f t="array" ref="H293">JOIN("", SORT(MID(LOWER(G293), SEQUENCE(LEN(G293)), 1)))</f>
        <v>an</v>
      </c>
      <c r="I293" s="1" t="s">
        <v>465</v>
      </c>
      <c r="J293" s="1">
        <f t="array" ref="J293">xlookup(I293,Sheet2!A:A,Sheet2!B:B)</f>
        <v>36</v>
      </c>
      <c r="K293" s="1" t="s">
        <v>3</v>
      </c>
      <c r="L293" s="1" t="s">
        <v>401</v>
      </c>
      <c r="M293" s="1">
        <f t="array" ref="M293">xlookup(L293,Sheet2!A:A,Sheet2!B:B)</f>
        <v>38</v>
      </c>
      <c r="N293" s="1" t="s">
        <v>3</v>
      </c>
      <c r="O293" s="4" t="str">
        <f t="shared" si="1"/>
        <v>117129 : [39,36,38],</v>
      </c>
      <c r="P293" s="4" t="str">
        <f t="shared" si="2"/>
        <v>117129 : 0,</v>
      </c>
    </row>
    <row r="294">
      <c r="A294" s="3" t="s">
        <v>547</v>
      </c>
      <c r="B294" s="5">
        <v>204806.0</v>
      </c>
      <c r="C294" s="3" t="s">
        <v>459</v>
      </c>
      <c r="D294" s="1">
        <f t="array" ref="D294">xlookup(C294,Sheet3!A:A,Sheet3!B:B)</f>
        <v>0</v>
      </c>
      <c r="E294" s="3" t="s">
        <v>7</v>
      </c>
      <c r="F294" s="1">
        <f t="array" ref="F294">xlookup(E294,Sheet2!A:A,Sheet2!B:B)</f>
        <v>15</v>
      </c>
      <c r="G294" s="3" t="s">
        <v>548</v>
      </c>
      <c r="H294" s="3" t="str">
        <f t="array" ref="H294">JOIN("", SORT(MID(LOWER(G294), SEQUENCE(LEN(G294)), 1)))</f>
        <v>   ,aeehiiijlnnnnrsuuw</v>
      </c>
      <c r="I294" s="3" t="s">
        <v>9</v>
      </c>
      <c r="J294" s="1">
        <f t="array" ref="J294">xlookup(I294,Sheet2!A:A,Sheet2!B:B)</f>
        <v>5</v>
      </c>
      <c r="K294" s="3" t="s">
        <v>549</v>
      </c>
      <c r="L294" s="3" t="s">
        <v>7</v>
      </c>
      <c r="M294" s="1">
        <f t="array" ref="M294">xlookup(L294,Sheet2!A:A,Sheet2!B:B)</f>
        <v>15</v>
      </c>
      <c r="N294" s="3" t="s">
        <v>550</v>
      </c>
      <c r="O294" s="4" t="str">
        <f t="shared" si="1"/>
        <v>204806 : [15,5,15],</v>
      </c>
      <c r="P294" s="4" t="str">
        <f t="shared" si="2"/>
        <v>204806 : 0,</v>
      </c>
    </row>
    <row r="295">
      <c r="A295" s="3" t="s">
        <v>551</v>
      </c>
      <c r="B295" s="5">
        <v>179850.0</v>
      </c>
      <c r="C295" s="3" t="s">
        <v>459</v>
      </c>
      <c r="D295" s="1">
        <f t="array" ref="D295">xlookup(C295,Sheet3!A:A,Sheet3!B:B)</f>
        <v>0</v>
      </c>
      <c r="E295" s="3" t="s">
        <v>76</v>
      </c>
      <c r="F295" s="1">
        <f t="array" ref="F295">xlookup(E295,Sheet2!A:A,Sheet2!B:B)</f>
        <v>24</v>
      </c>
      <c r="G295" s="3" t="s">
        <v>552</v>
      </c>
      <c r="H295" s="3" t="str">
        <f t="array" ref="H295">JOIN("", SORT(MID(LOWER(G295), SEQUENCE(LEN(G295)), 1)))</f>
        <v>      aaaaaaaadhhiiiikkklmmnnnprsssuy</v>
      </c>
      <c r="I295" s="3" t="s">
        <v>7</v>
      </c>
      <c r="J295" s="1">
        <f t="array" ref="J295">xlookup(I295,Sheet2!A:A,Sheet2!B:B)</f>
        <v>15</v>
      </c>
      <c r="K295" s="3" t="s">
        <v>552</v>
      </c>
      <c r="L295" s="3" t="s">
        <v>72</v>
      </c>
      <c r="M295" s="1">
        <f t="array" ref="M295">xlookup(L295,Sheet2!A:A,Sheet2!B:B)</f>
        <v>34</v>
      </c>
      <c r="N295" s="3" t="s">
        <v>553</v>
      </c>
      <c r="O295" s="4" t="str">
        <f t="shared" si="1"/>
        <v>179850 : [24,15,34],</v>
      </c>
      <c r="P295" s="4" t="str">
        <f t="shared" si="2"/>
        <v>179850 : 0,</v>
      </c>
    </row>
    <row r="296">
      <c r="A296" s="3" t="s">
        <v>554</v>
      </c>
      <c r="B296" s="5">
        <v>137811.0</v>
      </c>
      <c r="C296" s="3" t="s">
        <v>459</v>
      </c>
      <c r="D296" s="1">
        <f t="array" ref="D296">xlookup(C296,Sheet3!A:A,Sheet3!B:B)</f>
        <v>0</v>
      </c>
      <c r="E296" s="3" t="s">
        <v>13</v>
      </c>
      <c r="F296" s="1">
        <f t="array" ref="F296">xlookup(E296,Sheet2!A:A,Sheet2!B:B)</f>
        <v>17</v>
      </c>
      <c r="G296" s="3" t="s">
        <v>3</v>
      </c>
      <c r="H296" s="3" t="str">
        <f t="array" ref="H296">JOIN("", SORT(MID(LOWER(G296), SEQUENCE(LEN(G296)), 1)))</f>
        <v>an</v>
      </c>
      <c r="I296" s="3" t="s">
        <v>5</v>
      </c>
      <c r="J296" s="1">
        <f t="array" ref="J296">xlookup(I296,Sheet2!A:A,Sheet2!B:B)</f>
        <v>35</v>
      </c>
      <c r="K296" s="3" t="s">
        <v>3</v>
      </c>
      <c r="L296" s="3" t="s">
        <v>16</v>
      </c>
      <c r="M296" s="1">
        <f t="array" ref="M296">xlookup(L296,Sheet2!A:A,Sheet2!B:B)</f>
        <v>3</v>
      </c>
      <c r="N296" s="3" t="s">
        <v>3</v>
      </c>
      <c r="O296" s="4" t="str">
        <f t="shared" si="1"/>
        <v>137811 : [17,35,3],</v>
      </c>
      <c r="P296" s="4" t="str">
        <f t="shared" si="2"/>
        <v>137811 : 0,</v>
      </c>
    </row>
    <row r="297">
      <c r="A297" s="3" t="s">
        <v>555</v>
      </c>
      <c r="B297" s="5">
        <v>150165.0</v>
      </c>
      <c r="C297" s="3" t="s">
        <v>459</v>
      </c>
      <c r="D297" s="1">
        <f t="array" ref="D297">xlookup(C297,Sheet3!A:A,Sheet3!B:B)</f>
        <v>0</v>
      </c>
      <c r="E297" s="3" t="s">
        <v>21</v>
      </c>
      <c r="F297" s="1">
        <f t="array" ref="F297">xlookup(E297,Sheet2!A:A,Sheet2!B:B)</f>
        <v>10</v>
      </c>
      <c r="G297" s="3" t="s">
        <v>556</v>
      </c>
      <c r="H297" s="3" t="str">
        <f t="array" ref="H297">JOIN("", SORT(MID(LOWER(G297), SEQUENCE(LEN(G297)), 1)))</f>
        <v>   ,aaaaegghiiijklnprstuuy</v>
      </c>
      <c r="I297" s="3" t="s">
        <v>20</v>
      </c>
      <c r="J297" s="1">
        <f t="array" ref="J297">xlookup(I297,Sheet2!A:A,Sheet2!B:B)</f>
        <v>48</v>
      </c>
      <c r="K297" s="3" t="s">
        <v>556</v>
      </c>
      <c r="L297" s="3" t="s">
        <v>18</v>
      </c>
      <c r="M297" s="1">
        <f t="array" ref="M297">xlookup(L297,Sheet2!A:A,Sheet2!B:B)</f>
        <v>22</v>
      </c>
      <c r="N297" s="3" t="s">
        <v>556</v>
      </c>
      <c r="O297" s="4" t="str">
        <f t="shared" si="1"/>
        <v>150165 : [10,48,22],</v>
      </c>
      <c r="P297" s="4" t="str">
        <f t="shared" si="2"/>
        <v>150165 : 0,</v>
      </c>
    </row>
    <row r="298">
      <c r="A298" s="3" t="s">
        <v>557</v>
      </c>
      <c r="B298" s="5">
        <v>209436.0</v>
      </c>
      <c r="C298" s="3" t="s">
        <v>459</v>
      </c>
      <c r="D298" s="1">
        <f t="array" ref="D298">xlookup(C298,Sheet3!A:A,Sheet3!B:B)</f>
        <v>0</v>
      </c>
      <c r="E298" s="3" t="s">
        <v>109</v>
      </c>
      <c r="F298" s="1">
        <f t="array" ref="F298">xlookup(E298,Sheet2!A:A,Sheet2!B:B)</f>
        <v>49</v>
      </c>
      <c r="G298" s="3" t="s">
        <v>558</v>
      </c>
      <c r="H298" s="3" t="str">
        <f t="array" ref="H298">JOIN("", SORT(MID(LOWER(G298), SEQUENCE(LEN(G298)), 1)))</f>
        <v>     ,,aaaaaaaaacddeeehhhhiiiiklmrrrsttvwyy</v>
      </c>
      <c r="I298" s="3" t="s">
        <v>47</v>
      </c>
      <c r="J298" s="1">
        <f t="array" ref="J298">xlookup(I298,Sheet2!A:A,Sheet2!B:B)</f>
        <v>27</v>
      </c>
      <c r="K298" s="3" t="s">
        <v>559</v>
      </c>
      <c r="L298" s="3" t="s">
        <v>139</v>
      </c>
      <c r="M298" s="1">
        <f t="array" ref="M298">xlookup(L298,Sheet2!A:A,Sheet2!B:B)</f>
        <v>21</v>
      </c>
      <c r="N298" s="3" t="s">
        <v>558</v>
      </c>
      <c r="O298" s="4" t="str">
        <f t="shared" si="1"/>
        <v>209436 : [49,27,21],</v>
      </c>
      <c r="P298" s="4" t="str">
        <f t="shared" si="2"/>
        <v>209436 : 0,</v>
      </c>
    </row>
    <row r="299">
      <c r="A299" s="1" t="s">
        <v>560</v>
      </c>
      <c r="B299" s="2">
        <v>152867.0</v>
      </c>
      <c r="C299" s="1" t="s">
        <v>459</v>
      </c>
      <c r="D299" s="1">
        <f t="array" ref="D299">xlookup(C299,Sheet3!A:A,Sheet3!B:B)</f>
        <v>0</v>
      </c>
      <c r="E299" s="1" t="s">
        <v>20</v>
      </c>
      <c r="F299" s="1">
        <f t="array" ref="F299">xlookup(E299,Sheet2!A:A,Sheet2!B:B)</f>
        <v>48</v>
      </c>
      <c r="G299" s="1" t="s">
        <v>350</v>
      </c>
      <c r="H299" s="3" t="str">
        <f t="array" ref="H299">JOIN("", SORT(MID(LOWER(G299), SEQUENCE(LEN(G299)), 1)))</f>
        <v>   ,aaaaeeeghhikklmnrssuwx</v>
      </c>
      <c r="I299" s="1" t="s">
        <v>18</v>
      </c>
      <c r="J299" s="1">
        <f t="array" ref="J299">xlookup(I299,Sheet2!A:A,Sheet2!B:B)</f>
        <v>22</v>
      </c>
      <c r="K299" s="1" t="s">
        <v>350</v>
      </c>
      <c r="L299" s="1" t="s">
        <v>170</v>
      </c>
      <c r="M299" s="1">
        <f t="array" ref="M299">xlookup(L299,Sheet2!A:A,Sheet2!B:B)</f>
        <v>16</v>
      </c>
      <c r="N299" s="1" t="s">
        <v>561</v>
      </c>
      <c r="O299" s="4" t="str">
        <f t="shared" si="1"/>
        <v>152867 : [48,22,16],</v>
      </c>
      <c r="P299" s="4" t="str">
        <f t="shared" si="2"/>
        <v>152867 : 0,</v>
      </c>
    </row>
    <row r="300">
      <c r="A300" s="1" t="s">
        <v>562</v>
      </c>
      <c r="B300" s="2">
        <v>150663.0</v>
      </c>
      <c r="C300" s="1" t="s">
        <v>459</v>
      </c>
      <c r="D300" s="1">
        <f t="array" ref="D300">xlookup(C300,Sheet3!A:A,Sheet3!B:B)</f>
        <v>0</v>
      </c>
      <c r="E300" s="1" t="s">
        <v>465</v>
      </c>
      <c r="F300" s="1">
        <f t="array" ref="F300">xlookup(E300,Sheet2!A:A,Sheet2!B:B)</f>
        <v>36</v>
      </c>
      <c r="G300" s="1" t="s">
        <v>3</v>
      </c>
      <c r="H300" s="3" t="str">
        <f t="array" ref="H300">JOIN("", SORT(MID(LOWER(G300), SEQUENCE(LEN(G300)), 1)))</f>
        <v>an</v>
      </c>
      <c r="I300" s="1" t="s">
        <v>401</v>
      </c>
      <c r="J300" s="1">
        <f t="array" ref="J300">xlookup(I300,Sheet2!A:A,Sheet2!B:B)</f>
        <v>38</v>
      </c>
      <c r="K300" s="1" t="s">
        <v>3</v>
      </c>
      <c r="L300" s="1" t="s">
        <v>309</v>
      </c>
      <c r="M300" s="1">
        <f t="array" ref="M300">xlookup(L300,Sheet2!A:A,Sheet2!B:B)</f>
        <v>40</v>
      </c>
      <c r="N300" s="1" t="s">
        <v>3</v>
      </c>
      <c r="O300" s="4" t="str">
        <f t="shared" si="1"/>
        <v>150663 : [36,38,40],</v>
      </c>
      <c r="P300" s="4" t="str">
        <f t="shared" si="2"/>
        <v>150663 : 0,</v>
      </c>
    </row>
    <row r="301">
      <c r="A301" s="3" t="s">
        <v>563</v>
      </c>
      <c r="B301" s="5">
        <v>150386.0</v>
      </c>
      <c r="C301" s="3" t="s">
        <v>459</v>
      </c>
      <c r="D301" s="1">
        <f t="array" ref="D301">xlookup(C301,Sheet3!A:A,Sheet3!B:B)</f>
        <v>0</v>
      </c>
      <c r="E301" s="3" t="s">
        <v>72</v>
      </c>
      <c r="F301" s="1">
        <f t="array" ref="F301">xlookup(E301,Sheet2!A:A,Sheet2!B:B)</f>
        <v>34</v>
      </c>
      <c r="G301" s="3" t="s">
        <v>3</v>
      </c>
      <c r="H301" s="3" t="str">
        <f t="array" ref="H301">JOIN("", SORT(MID(LOWER(G301), SEQUENCE(LEN(G301)), 1)))</f>
        <v>an</v>
      </c>
      <c r="I301" s="3" t="s">
        <v>18</v>
      </c>
      <c r="J301" s="1">
        <f t="array" ref="J301">xlookup(I301,Sheet2!A:A,Sheet2!B:B)</f>
        <v>22</v>
      </c>
      <c r="K301" s="3" t="s">
        <v>3</v>
      </c>
      <c r="L301" s="3" t="s">
        <v>238</v>
      </c>
      <c r="M301" s="1">
        <f t="array" ref="M301">xlookup(L301,Sheet2!A:A,Sheet2!B:B)</f>
        <v>37</v>
      </c>
      <c r="N301" s="3" t="s">
        <v>3</v>
      </c>
      <c r="O301" s="4" t="str">
        <f t="shared" si="1"/>
        <v>150386 : [34,22,37],</v>
      </c>
      <c r="P301" s="4" t="str">
        <f t="shared" si="2"/>
        <v>150386 : 0,</v>
      </c>
    </row>
    <row r="302">
      <c r="A302" s="1" t="s">
        <v>564</v>
      </c>
      <c r="B302" s="2">
        <v>119393.0</v>
      </c>
      <c r="C302" s="1" t="s">
        <v>459</v>
      </c>
      <c r="D302" s="1">
        <f t="array" ref="D302">xlookup(C302,Sheet3!A:A,Sheet3!B:B)</f>
        <v>0</v>
      </c>
      <c r="E302" s="1" t="s">
        <v>74</v>
      </c>
      <c r="F302" s="1">
        <f t="array" ref="F302">xlookup(E302,Sheet2!A:A,Sheet2!B:B)</f>
        <v>50</v>
      </c>
      <c r="G302" s="1" t="s">
        <v>565</v>
      </c>
      <c r="H302" s="3" t="str">
        <f t="array" ref="H302">JOIN("", SORT(MID(LOWER(G302), SEQUENCE(LEN(G302)), 1)))</f>
        <v>   ,aaaeegghhhiilllmnnnwzz</v>
      </c>
      <c r="I302" s="1" t="s">
        <v>76</v>
      </c>
      <c r="J302" s="1">
        <f t="array" ref="J302">xlookup(I302,Sheet2!A:A,Sheet2!B:B)</f>
        <v>24</v>
      </c>
      <c r="K302" s="1" t="s">
        <v>565</v>
      </c>
      <c r="L302" s="1" t="s">
        <v>125</v>
      </c>
      <c r="M302" s="1">
        <f t="array" ref="M302">xlookup(L302,Sheet2!A:A,Sheet2!B:B)</f>
        <v>19</v>
      </c>
      <c r="N302" s="1" t="s">
        <v>565</v>
      </c>
      <c r="O302" s="4" t="str">
        <f t="shared" si="1"/>
        <v>119393 : [50,24,19],</v>
      </c>
      <c r="P302" s="4" t="str">
        <f t="shared" si="2"/>
        <v>119393 : 0,</v>
      </c>
    </row>
    <row r="303">
      <c r="A303" s="3" t="s">
        <v>566</v>
      </c>
      <c r="B303" s="5">
        <v>204860.0</v>
      </c>
      <c r="C303" s="3" t="s">
        <v>459</v>
      </c>
      <c r="D303" s="1">
        <f t="array" ref="D303">xlookup(C303,Sheet3!A:A,Sheet3!B:B)</f>
        <v>0</v>
      </c>
      <c r="E303" s="3" t="s">
        <v>9</v>
      </c>
      <c r="F303" s="1">
        <f t="array" ref="F303">xlookup(E303,Sheet2!A:A,Sheet2!B:B)</f>
        <v>5</v>
      </c>
      <c r="G303" s="3" t="s">
        <v>567</v>
      </c>
      <c r="H303" s="3" t="str">
        <f t="array" ref="H303">JOIN("", SORT(MID(LOWER(G303), SEQUENCE(LEN(G303)), 1)))</f>
        <v>   ,aaeehiijlmnnsttuuwy</v>
      </c>
      <c r="I303" s="3" t="s">
        <v>7</v>
      </c>
      <c r="J303" s="1">
        <f t="array" ref="J303">xlookup(I303,Sheet2!A:A,Sheet2!B:B)</f>
        <v>15</v>
      </c>
      <c r="K303" s="3" t="s">
        <v>567</v>
      </c>
      <c r="L303" s="3" t="s">
        <v>309</v>
      </c>
      <c r="M303" s="1">
        <f t="array" ref="M303">xlookup(L303,Sheet2!A:A,Sheet2!B:B)</f>
        <v>40</v>
      </c>
      <c r="N303" s="3" t="s">
        <v>3</v>
      </c>
      <c r="O303" s="4" t="str">
        <f t="shared" si="1"/>
        <v>204860 : [5,15,40],</v>
      </c>
      <c r="P303" s="4" t="str">
        <f t="shared" si="2"/>
        <v>204860 : 0,</v>
      </c>
    </row>
    <row r="304">
      <c r="A304" s="3" t="s">
        <v>88</v>
      </c>
      <c r="B304" s="5">
        <v>165873.0</v>
      </c>
      <c r="C304" s="3" t="s">
        <v>459</v>
      </c>
      <c r="D304" s="1">
        <f t="array" ref="D304">xlookup(C304,Sheet3!A:A,Sheet3!B:B)</f>
        <v>0</v>
      </c>
      <c r="E304" s="3" t="s">
        <v>109</v>
      </c>
      <c r="F304" s="1">
        <f t="array" ref="F304">xlookup(E304,Sheet2!A:A,Sheet2!B:B)</f>
        <v>49</v>
      </c>
      <c r="G304" s="3" t="s">
        <v>568</v>
      </c>
      <c r="H304" s="3" t="str">
        <f t="array" ref="H304">JOIN("", SORT(MID(LOWER(G304), SEQUENCE(LEN(G304)), 1)))</f>
        <v>      ,,aaaaaaaaacddeeehhhhiiiiklmrrrsttvwyy</v>
      </c>
      <c r="I304" s="3" t="s">
        <v>47</v>
      </c>
      <c r="J304" s="1">
        <f t="array" ref="J304">xlookup(I304,Sheet2!A:A,Sheet2!B:B)</f>
        <v>27</v>
      </c>
      <c r="K304" s="3" t="s">
        <v>568</v>
      </c>
      <c r="L304" s="3" t="s">
        <v>139</v>
      </c>
      <c r="M304" s="1">
        <f t="array" ref="M304">xlookup(L304,Sheet2!A:A,Sheet2!B:B)</f>
        <v>21</v>
      </c>
      <c r="N304" s="3" t="s">
        <v>568</v>
      </c>
      <c r="O304" s="4" t="str">
        <f t="shared" si="1"/>
        <v>165873 : [49,27,21],</v>
      </c>
      <c r="P304" s="4" t="str">
        <f t="shared" si="2"/>
        <v>165873 : 0,</v>
      </c>
    </row>
    <row r="305">
      <c r="A305" s="3" t="s">
        <v>569</v>
      </c>
      <c r="B305" s="5">
        <v>193318.0</v>
      </c>
      <c r="C305" s="3" t="s">
        <v>459</v>
      </c>
      <c r="D305" s="1">
        <f t="array" ref="D305">xlookup(C305,Sheet3!A:A,Sheet3!B:B)</f>
        <v>0</v>
      </c>
      <c r="E305" s="3" t="s">
        <v>109</v>
      </c>
      <c r="F305" s="1">
        <f t="array" ref="F305">xlookup(E305,Sheet2!A:A,Sheet2!B:B)</f>
        <v>49</v>
      </c>
      <c r="G305" s="3" t="s">
        <v>570</v>
      </c>
      <c r="H305" s="3" t="str">
        <f t="array" ref="H305">JOIN("", SORT(MID(LOWER(G305), SEQUENCE(LEN(G305)), 1)))</f>
        <v>     ,,aaaaaaaaabddeeggghhiiijkllmnnnnnorrrrsstuy</v>
      </c>
      <c r="I305" s="3" t="s">
        <v>184</v>
      </c>
      <c r="J305" s="1">
        <f t="array" ref="J305">xlookup(I305,Sheet2!A:A,Sheet2!B:B)</f>
        <v>4</v>
      </c>
      <c r="K305" s="3" t="s">
        <v>570</v>
      </c>
      <c r="L305" s="3" t="s">
        <v>63</v>
      </c>
      <c r="M305" s="1">
        <f t="array" ref="M305">xlookup(L305,Sheet2!A:A,Sheet2!B:B)</f>
        <v>29</v>
      </c>
      <c r="N305" s="3" t="s">
        <v>570</v>
      </c>
      <c r="O305" s="4" t="str">
        <f t="shared" si="1"/>
        <v>193318 : [49,4,29],</v>
      </c>
      <c r="P305" s="4" t="str">
        <f t="shared" si="2"/>
        <v>193318 : 0,</v>
      </c>
    </row>
    <row r="306">
      <c r="A306" s="3" t="s">
        <v>571</v>
      </c>
      <c r="B306" s="5">
        <v>151869.0</v>
      </c>
      <c r="C306" s="3" t="s">
        <v>459</v>
      </c>
      <c r="D306" s="1">
        <f t="array" ref="D306">xlookup(C306,Sheet3!A:A,Sheet3!B:B)</f>
        <v>0</v>
      </c>
      <c r="E306" s="3" t="s">
        <v>26</v>
      </c>
      <c r="F306" s="1">
        <f t="array" ref="F306">xlookup(E306,Sheet2!A:A,Sheet2!B:B)</f>
        <v>7</v>
      </c>
      <c r="G306" s="3" t="s">
        <v>572</v>
      </c>
      <c r="H306" s="3" t="str">
        <f t="array" ref="H306">JOIN("", SORT(MID(LOWER(G306), SEQUENCE(LEN(G306)), 1)))</f>
        <v>     ,,aaaaaaabcceeeeeeehiiiikllllllnpprrrsstwy</v>
      </c>
      <c r="I306" s="3" t="s">
        <v>47</v>
      </c>
      <c r="J306" s="1">
        <f t="array" ref="J306">xlookup(I306,Sheet2!A:A,Sheet2!B:B)</f>
        <v>27</v>
      </c>
      <c r="K306" s="3" t="s">
        <v>572</v>
      </c>
      <c r="L306" s="3" t="s">
        <v>18</v>
      </c>
      <c r="M306" s="1">
        <f t="array" ref="M306">xlookup(L306,Sheet2!A:A,Sheet2!B:B)</f>
        <v>22</v>
      </c>
      <c r="N306" s="3" t="s">
        <v>572</v>
      </c>
      <c r="O306" s="4" t="str">
        <f t="shared" si="1"/>
        <v>151869 : [7,27,22],</v>
      </c>
      <c r="P306" s="4" t="str">
        <f t="shared" si="2"/>
        <v>151869 : 0,</v>
      </c>
    </row>
    <row r="307">
      <c r="A307" s="3" t="s">
        <v>573</v>
      </c>
      <c r="B307" s="5">
        <v>149960.0</v>
      </c>
      <c r="C307" s="3" t="s">
        <v>459</v>
      </c>
      <c r="D307" s="1">
        <f t="array" ref="D307">xlookup(C307,Sheet3!A:A,Sheet3!B:B)</f>
        <v>0</v>
      </c>
      <c r="E307" s="3" t="s">
        <v>26</v>
      </c>
      <c r="F307" s="1">
        <f t="array" ref="F307">xlookup(E307,Sheet2!A:A,Sheet2!B:B)</f>
        <v>7</v>
      </c>
      <c r="G307" s="3" t="s">
        <v>574</v>
      </c>
      <c r="H307" s="3" t="str">
        <f t="array" ref="H307">JOIN("", SORT(MID(LOWER(G307), SEQUENCE(LEN(G307)), 1)))</f>
        <v>     ,,aaaaaaabcceeeeeeehiiiikllllllnpprrrsstwy</v>
      </c>
      <c r="I307" s="3" t="s">
        <v>47</v>
      </c>
      <c r="J307" s="1">
        <f t="array" ref="J307">xlookup(I307,Sheet2!A:A,Sheet2!B:B)</f>
        <v>27</v>
      </c>
      <c r="K307" s="3" t="s">
        <v>574</v>
      </c>
      <c r="L307" s="3" t="s">
        <v>18</v>
      </c>
      <c r="M307" s="1">
        <f t="array" ref="M307">xlookup(L307,Sheet2!A:A,Sheet2!B:B)</f>
        <v>22</v>
      </c>
      <c r="N307" s="3" t="s">
        <v>574</v>
      </c>
      <c r="O307" s="4" t="str">
        <f t="shared" si="1"/>
        <v>149960 : [7,27,22],</v>
      </c>
      <c r="P307" s="4" t="str">
        <f t="shared" si="2"/>
        <v>149960 : 0,</v>
      </c>
    </row>
    <row r="308">
      <c r="A308" s="3" t="s">
        <v>575</v>
      </c>
      <c r="B308" s="5">
        <v>151509.0</v>
      </c>
      <c r="C308" s="3" t="s">
        <v>459</v>
      </c>
      <c r="D308" s="1">
        <f t="array" ref="D308">xlookup(C308,Sheet3!A:A,Sheet3!B:B)</f>
        <v>0</v>
      </c>
      <c r="E308" s="3" t="s">
        <v>26</v>
      </c>
      <c r="F308" s="1">
        <f t="array" ref="F308">xlookup(E308,Sheet2!A:A,Sheet2!B:B)</f>
        <v>7</v>
      </c>
      <c r="G308" s="3" t="s">
        <v>576</v>
      </c>
      <c r="H308" s="3" t="str">
        <f t="array" ref="H308">JOIN("", SORT(MID(LOWER(G308), SEQUENCE(LEN(G308)), 1)))</f>
        <v>      ,,aaaaaaabcceeeeeeehiiiikllllllnpprrrsstwy</v>
      </c>
      <c r="I308" s="3" t="s">
        <v>114</v>
      </c>
      <c r="J308" s="1">
        <f t="array" ref="J308">xlookup(I308,Sheet2!A:A,Sheet2!B:B)</f>
        <v>12</v>
      </c>
      <c r="K308" s="3" t="s">
        <v>577</v>
      </c>
      <c r="L308" s="3" t="s">
        <v>18</v>
      </c>
      <c r="M308" s="1">
        <f t="array" ref="M308">xlookup(L308,Sheet2!A:A,Sheet2!B:B)</f>
        <v>22</v>
      </c>
      <c r="N308" s="3" t="s">
        <v>576</v>
      </c>
      <c r="O308" s="4" t="str">
        <f t="shared" si="1"/>
        <v>151509 : [7,12,22],</v>
      </c>
      <c r="P308" s="4" t="str">
        <f t="shared" si="2"/>
        <v>151509 : 0,</v>
      </c>
    </row>
    <row r="309">
      <c r="A309" s="1" t="s">
        <v>578</v>
      </c>
      <c r="B309" s="2">
        <v>207052.0</v>
      </c>
      <c r="C309" s="1" t="s">
        <v>459</v>
      </c>
      <c r="D309" s="1">
        <f t="array" ref="D309">xlookup(C309,Sheet3!A:A,Sheet3!B:B)</f>
        <v>0</v>
      </c>
      <c r="E309" s="1" t="s">
        <v>465</v>
      </c>
      <c r="F309" s="1">
        <f t="array" ref="F309">xlookup(E309,Sheet2!A:A,Sheet2!B:B)</f>
        <v>36</v>
      </c>
      <c r="G309" s="1" t="s">
        <v>3</v>
      </c>
      <c r="H309" s="3" t="str">
        <f t="array" ref="H309">JOIN("", SORT(MID(LOWER(G309), SEQUENCE(LEN(G309)), 1)))</f>
        <v>an</v>
      </c>
      <c r="I309" s="1" t="s">
        <v>10</v>
      </c>
      <c r="J309" s="1">
        <f t="array" ref="J309">xlookup(I309,Sheet2!A:A,Sheet2!B:B)</f>
        <v>9</v>
      </c>
      <c r="K309" s="1" t="s">
        <v>579</v>
      </c>
      <c r="L309" s="1" t="s">
        <v>309</v>
      </c>
      <c r="M309" s="1">
        <f t="array" ref="M309">xlookup(L309,Sheet2!A:A,Sheet2!B:B)</f>
        <v>40</v>
      </c>
      <c r="N309" s="1" t="s">
        <v>3</v>
      </c>
      <c r="O309" s="4" t="str">
        <f t="shared" si="1"/>
        <v>207052 : [36,9,40],</v>
      </c>
      <c r="P309" s="4" t="str">
        <f t="shared" si="2"/>
        <v>207052 : 0,</v>
      </c>
    </row>
    <row r="310">
      <c r="A310" s="3" t="s">
        <v>580</v>
      </c>
      <c r="B310" s="5">
        <v>204796.0</v>
      </c>
      <c r="C310" s="3" t="s">
        <v>459</v>
      </c>
      <c r="D310" s="1">
        <f t="array" ref="D310">xlookup(C310,Sheet3!A:A,Sheet3!B:B)</f>
        <v>0</v>
      </c>
      <c r="E310" s="3" t="s">
        <v>7</v>
      </c>
      <c r="F310" s="1">
        <f t="array" ref="F310">xlookup(E310,Sheet2!A:A,Sheet2!B:B)</f>
        <v>15</v>
      </c>
      <c r="G310" s="3" t="s">
        <v>581</v>
      </c>
      <c r="H310" s="3" t="str">
        <f t="array" ref="H310">JOIN("", SORT(MID(LOWER(G310), SEQUENCE(LEN(G310)), 1)))</f>
        <v>   ,aeehiiijlnnnnrsuuw</v>
      </c>
      <c r="I310" s="3" t="s">
        <v>10</v>
      </c>
      <c r="J310" s="1">
        <f t="array" ref="J310">xlookup(I310,Sheet2!A:A,Sheet2!B:B)</f>
        <v>9</v>
      </c>
      <c r="K310" s="3" t="s">
        <v>578</v>
      </c>
      <c r="L310" s="3" t="s">
        <v>207</v>
      </c>
      <c r="M310" s="1">
        <f t="array" ref="M310">xlookup(L310,Sheet2!A:A,Sheet2!B:B)</f>
        <v>1</v>
      </c>
      <c r="N310" s="3" t="s">
        <v>3</v>
      </c>
      <c r="O310" s="4" t="str">
        <f t="shared" si="1"/>
        <v>204796 : [15,9,1],</v>
      </c>
      <c r="P310" s="4" t="str">
        <f t="shared" si="2"/>
        <v>204796 : 0,</v>
      </c>
    </row>
    <row r="311">
      <c r="A311" s="3" t="s">
        <v>540</v>
      </c>
      <c r="B311" s="5">
        <v>306354.0</v>
      </c>
      <c r="C311" s="3" t="s">
        <v>459</v>
      </c>
      <c r="D311" s="1">
        <f t="array" ref="D311">xlookup(C311,Sheet3!A:A,Sheet3!B:B)</f>
        <v>0</v>
      </c>
      <c r="E311" s="3" t="s">
        <v>34</v>
      </c>
      <c r="F311" s="1">
        <f t="array" ref="F311">xlookup(E311,Sheet2!A:A,Sheet2!B:B)</f>
        <v>8</v>
      </c>
      <c r="G311" s="3" t="s">
        <v>582</v>
      </c>
      <c r="H311" s="3" t="str">
        <f t="array" ref="H311">JOIN("", SORT(MID(LOWER(G311), SEQUENCE(LEN(G311)), 1)))</f>
        <v>     aaaceeeeghiklllnnnssuuvxyy</v>
      </c>
      <c r="I311" s="3" t="s">
        <v>28</v>
      </c>
      <c r="J311" s="1">
        <f t="array" ref="J311">xlookup(I311,Sheet2!A:A,Sheet2!B:B)</f>
        <v>32</v>
      </c>
      <c r="K311" s="3" t="s">
        <v>582</v>
      </c>
      <c r="L311" s="3" t="s">
        <v>401</v>
      </c>
      <c r="M311" s="1">
        <f t="array" ref="M311">xlookup(L311,Sheet2!A:A,Sheet2!B:B)</f>
        <v>38</v>
      </c>
      <c r="N311" s="3" t="s">
        <v>582</v>
      </c>
      <c r="O311" s="4" t="str">
        <f t="shared" si="1"/>
        <v>306354 : [8,32,38],</v>
      </c>
      <c r="P311" s="4" t="str">
        <f t="shared" si="2"/>
        <v>306354 : 0,</v>
      </c>
    </row>
    <row r="312">
      <c r="A312" s="3" t="s">
        <v>583</v>
      </c>
      <c r="B312" s="5">
        <v>313865.0</v>
      </c>
      <c r="C312" s="3" t="s">
        <v>459</v>
      </c>
      <c r="D312" s="1">
        <f t="array" ref="D312">xlookup(C312,Sheet3!A:A,Sheet3!B:B)</f>
        <v>0</v>
      </c>
      <c r="E312" s="3" t="s">
        <v>125</v>
      </c>
      <c r="F312" s="1">
        <f t="array" ref="F312">xlookup(E312,Sheet2!A:A,Sheet2!B:B)</f>
        <v>19</v>
      </c>
      <c r="G312" s="3" t="s">
        <v>584</v>
      </c>
      <c r="H312" s="3" t="str">
        <f t="array" ref="H312">JOIN("", SORT(MID(LOWER(G312), SEQUENCE(LEN(G312)), 1)))</f>
        <v>    ,aaaaaaaddeehiiklmnnnrsww</v>
      </c>
      <c r="I312" s="3" t="s">
        <v>309</v>
      </c>
      <c r="J312" s="1">
        <f t="array" ref="J312">xlookup(I312,Sheet2!A:A,Sheet2!B:B)</f>
        <v>40</v>
      </c>
      <c r="K312" s="3" t="s">
        <v>3</v>
      </c>
      <c r="L312" s="3" t="s">
        <v>124</v>
      </c>
      <c r="M312" s="1">
        <f t="array" ref="M312">xlookup(L312,Sheet2!A:A,Sheet2!B:B)</f>
        <v>46</v>
      </c>
      <c r="N312" s="3" t="s">
        <v>3</v>
      </c>
      <c r="O312" s="4" t="str">
        <f t="shared" si="1"/>
        <v>313865 : [19,40,46],</v>
      </c>
      <c r="P312" s="4" t="str">
        <f t="shared" si="2"/>
        <v>313865 : 0,</v>
      </c>
    </row>
    <row r="313">
      <c r="A313" s="3" t="s">
        <v>585</v>
      </c>
      <c r="B313" s="5">
        <v>150353.0</v>
      </c>
      <c r="C313" s="3" t="s">
        <v>459</v>
      </c>
      <c r="D313" s="1">
        <f t="array" ref="D313">xlookup(C313,Sheet3!A:A,Sheet3!B:B)</f>
        <v>0</v>
      </c>
      <c r="E313" s="3" t="s">
        <v>39</v>
      </c>
      <c r="F313" s="1">
        <f t="array" ref="F313">xlookup(E313,Sheet2!A:A,Sheet2!B:B)</f>
        <v>20</v>
      </c>
      <c r="G313" s="3" t="s">
        <v>3</v>
      </c>
      <c r="H313" s="3" t="str">
        <f t="array" ref="H313">JOIN("", SORT(MID(LOWER(G313), SEQUENCE(LEN(G313)), 1)))</f>
        <v>an</v>
      </c>
      <c r="I313" s="3" t="s">
        <v>207</v>
      </c>
      <c r="J313" s="1">
        <f t="array" ref="J313">xlookup(I313,Sheet2!A:A,Sheet2!B:B)</f>
        <v>1</v>
      </c>
      <c r="K313" s="3" t="s">
        <v>3</v>
      </c>
      <c r="L313" s="3" t="s">
        <v>309</v>
      </c>
      <c r="M313" s="1">
        <f t="array" ref="M313">xlookup(L313,Sheet2!A:A,Sheet2!B:B)</f>
        <v>40</v>
      </c>
      <c r="N313" s="3" t="s">
        <v>3</v>
      </c>
      <c r="O313" s="4" t="str">
        <f t="shared" si="1"/>
        <v>150353 : [20,1,40],</v>
      </c>
      <c r="P313" s="4" t="str">
        <f t="shared" si="2"/>
        <v>150353 : 0,</v>
      </c>
    </row>
    <row r="314">
      <c r="A314" s="3" t="s">
        <v>586</v>
      </c>
      <c r="B314" s="5">
        <v>157280.0</v>
      </c>
      <c r="C314" s="3" t="s">
        <v>459</v>
      </c>
      <c r="D314" s="1">
        <f t="array" ref="D314">xlookup(C314,Sheet3!A:A,Sheet3!B:B)</f>
        <v>0</v>
      </c>
      <c r="E314" s="3" t="s">
        <v>125</v>
      </c>
      <c r="F314" s="1">
        <f t="array" ref="F314">xlookup(E314,Sheet2!A:A,Sheet2!B:B)</f>
        <v>19</v>
      </c>
      <c r="G314" s="3" t="s">
        <v>587</v>
      </c>
      <c r="H314" s="3" t="str">
        <f t="array" ref="H314">JOIN("", SORT(MID(LOWER(G314), SEQUENCE(LEN(G314)), 1)))</f>
        <v>   ,aaaaaacdhiiikllmmnrruuvw</v>
      </c>
      <c r="I314" s="3" t="s">
        <v>74</v>
      </c>
      <c r="J314" s="1">
        <f t="array" ref="J314">xlookup(I314,Sheet2!A:A,Sheet2!B:B)</f>
        <v>50</v>
      </c>
      <c r="K314" s="3" t="s">
        <v>587</v>
      </c>
      <c r="L314" s="3" t="s">
        <v>96</v>
      </c>
      <c r="M314" s="1">
        <f t="array" ref="M314">xlookup(L314,Sheet2!A:A,Sheet2!B:B)</f>
        <v>47</v>
      </c>
      <c r="N314" s="3" t="s">
        <v>587</v>
      </c>
      <c r="O314" s="4" t="str">
        <f t="shared" si="1"/>
        <v>157280 : [19,50,47],</v>
      </c>
      <c r="P314" s="4" t="str">
        <f t="shared" si="2"/>
        <v>157280 : 0,</v>
      </c>
    </row>
    <row r="315">
      <c r="A315" s="3" t="s">
        <v>588</v>
      </c>
      <c r="B315" s="5">
        <v>170384.0</v>
      </c>
      <c r="C315" s="3" t="s">
        <v>459</v>
      </c>
      <c r="D315" s="1">
        <f t="array" ref="D315">xlookup(C315,Sheet3!A:A,Sheet3!B:B)</f>
        <v>0</v>
      </c>
      <c r="E315" s="3" t="s">
        <v>125</v>
      </c>
      <c r="F315" s="1">
        <f t="array" ref="F315">xlookup(E315,Sheet2!A:A,Sheet2!B:B)</f>
        <v>19</v>
      </c>
      <c r="G315" s="3" t="s">
        <v>589</v>
      </c>
      <c r="H315" s="3" t="str">
        <f t="array" ref="H315">JOIN("", SORT(MID(LOWER(G315), SEQUENCE(LEN(G315)), 1)))</f>
        <v>   ,aaaaaacdhiiikllmmnrruuvw</v>
      </c>
      <c r="I315" s="3" t="s">
        <v>74</v>
      </c>
      <c r="J315" s="1">
        <f t="array" ref="J315">xlookup(I315,Sheet2!A:A,Sheet2!B:B)</f>
        <v>50</v>
      </c>
      <c r="K315" s="3" t="s">
        <v>589</v>
      </c>
      <c r="L315" s="3" t="s">
        <v>96</v>
      </c>
      <c r="M315" s="1">
        <f t="array" ref="M315">xlookup(L315,Sheet2!A:A,Sheet2!B:B)</f>
        <v>47</v>
      </c>
      <c r="N315" s="3" t="s">
        <v>589</v>
      </c>
      <c r="O315" s="4" t="str">
        <f t="shared" si="1"/>
        <v>170384 : [19,50,47],</v>
      </c>
      <c r="P315" s="4" t="str">
        <f t="shared" si="2"/>
        <v>170384 : 0,</v>
      </c>
    </row>
    <row r="316">
      <c r="A316" s="3" t="s">
        <v>590</v>
      </c>
      <c r="B316" s="5">
        <v>118704.0</v>
      </c>
      <c r="C316" s="3" t="s">
        <v>459</v>
      </c>
      <c r="D316" s="1">
        <f t="array" ref="D316">xlookup(C316,Sheet3!A:A,Sheet3!B:B)</f>
        <v>0</v>
      </c>
      <c r="E316" s="3" t="s">
        <v>96</v>
      </c>
      <c r="F316" s="1">
        <f t="array" ref="F316">xlookup(E316,Sheet2!A:A,Sheet2!B:B)</f>
        <v>47</v>
      </c>
      <c r="G316" s="3" t="s">
        <v>591</v>
      </c>
      <c r="H316" s="3" t="str">
        <f t="array" ref="H316">JOIN("", SORT(MID(LOWER(G316), SEQUENCE(LEN(G316)), 1)))</f>
        <v>   ,aaacddeeeehiiikklmnnoorrstuvwyz</v>
      </c>
      <c r="I316" s="3" t="s">
        <v>9</v>
      </c>
      <c r="J316" s="1">
        <f t="array" ref="J316">xlookup(I316,Sheet2!A:A,Sheet2!B:B)</f>
        <v>5</v>
      </c>
      <c r="K316" s="3" t="s">
        <v>591</v>
      </c>
      <c r="L316" s="3" t="s">
        <v>7</v>
      </c>
      <c r="M316" s="1">
        <f t="array" ref="M316">xlookup(L316,Sheet2!A:A,Sheet2!B:B)</f>
        <v>15</v>
      </c>
      <c r="N316" s="3" t="s">
        <v>591</v>
      </c>
      <c r="O316" s="4" t="str">
        <f t="shared" si="1"/>
        <v>118704 : [47,5,15],</v>
      </c>
      <c r="P316" s="4" t="str">
        <f t="shared" si="2"/>
        <v>118704 : 0,</v>
      </c>
    </row>
    <row r="317">
      <c r="A317" s="3" t="s">
        <v>592</v>
      </c>
      <c r="B317" s="5">
        <v>192938.0</v>
      </c>
      <c r="C317" s="3" t="s">
        <v>459</v>
      </c>
      <c r="D317" s="1">
        <f t="array" ref="D317">xlookup(C317,Sheet3!A:A,Sheet3!B:B)</f>
        <v>0</v>
      </c>
      <c r="E317" s="3" t="s">
        <v>96</v>
      </c>
      <c r="F317" s="1">
        <f t="array" ref="F317">xlookup(E317,Sheet2!A:A,Sheet2!B:B)</f>
        <v>47</v>
      </c>
      <c r="G317" s="3" t="s">
        <v>591</v>
      </c>
      <c r="H317" s="3" t="str">
        <f t="array" ref="H317">JOIN("", SORT(MID(LOWER(G317), SEQUENCE(LEN(G317)), 1)))</f>
        <v>   ,aaacddeeeehiiikklmnnoorrstuvwyz</v>
      </c>
      <c r="I317" s="3" t="s">
        <v>9</v>
      </c>
      <c r="J317" s="1">
        <f t="array" ref="J317">xlookup(I317,Sheet2!A:A,Sheet2!B:B)</f>
        <v>5</v>
      </c>
      <c r="K317" s="3" t="s">
        <v>591</v>
      </c>
      <c r="L317" s="3" t="s">
        <v>7</v>
      </c>
      <c r="M317" s="1">
        <f t="array" ref="M317">xlookup(L317,Sheet2!A:A,Sheet2!B:B)</f>
        <v>15</v>
      </c>
      <c r="N317" s="3" t="s">
        <v>591</v>
      </c>
      <c r="O317" s="4" t="str">
        <f t="shared" si="1"/>
        <v>192938 : [47,5,15],</v>
      </c>
      <c r="P317" s="4" t="str">
        <f t="shared" si="2"/>
        <v>192938 : 0,</v>
      </c>
    </row>
    <row r="318">
      <c r="A318" s="1" t="s">
        <v>593</v>
      </c>
      <c r="B318" s="2">
        <v>192804.0</v>
      </c>
      <c r="C318" s="1" t="s">
        <v>459</v>
      </c>
      <c r="D318" s="1">
        <f t="array" ref="D318">xlookup(C318,Sheet3!A:A,Sheet3!B:B)</f>
        <v>0</v>
      </c>
      <c r="E318" s="1" t="s">
        <v>238</v>
      </c>
      <c r="F318" s="1">
        <f t="array" ref="F318">xlookup(E318,Sheet2!A:A,Sheet2!B:B)</f>
        <v>37</v>
      </c>
      <c r="G318" s="1" t="s">
        <v>3</v>
      </c>
      <c r="H318" s="3" t="str">
        <f t="array" ref="H318">JOIN("", SORT(MID(LOWER(G318), SEQUENCE(LEN(G318)), 1)))</f>
        <v>an</v>
      </c>
      <c r="I318" s="1" t="s">
        <v>191</v>
      </c>
      <c r="J318" s="1">
        <f t="array" ref="J318">xlookup(I318,Sheet2!A:A,Sheet2!B:B)</f>
        <v>39</v>
      </c>
      <c r="K318" s="1" t="s">
        <v>3</v>
      </c>
      <c r="L318" s="1" t="s">
        <v>401</v>
      </c>
      <c r="M318" s="1">
        <f t="array" ref="M318">xlookup(L318,Sheet2!A:A,Sheet2!B:B)</f>
        <v>38</v>
      </c>
      <c r="N318" s="1" t="s">
        <v>3</v>
      </c>
      <c r="O318" s="4" t="str">
        <f t="shared" si="1"/>
        <v>192804 : [37,39,38],</v>
      </c>
      <c r="P318" s="4" t="str">
        <f t="shared" si="2"/>
        <v>192804 : 0,</v>
      </c>
    </row>
    <row r="319">
      <c r="A319" s="3" t="s">
        <v>594</v>
      </c>
      <c r="B319" s="5">
        <v>204968.0</v>
      </c>
      <c r="C319" s="3" t="s">
        <v>459</v>
      </c>
      <c r="D319" s="1">
        <f t="array" ref="D319">xlookup(C319,Sheet3!A:A,Sheet3!B:B)</f>
        <v>0</v>
      </c>
      <c r="E319" s="3" t="s">
        <v>34</v>
      </c>
      <c r="F319" s="1">
        <f t="array" ref="F319">xlookup(E319,Sheet2!A:A,Sheet2!B:B)</f>
        <v>8</v>
      </c>
      <c r="G319" s="3" t="s">
        <v>3</v>
      </c>
      <c r="H319" s="3" t="str">
        <f t="array" ref="H319">JOIN("", SORT(MID(LOWER(G319), SEQUENCE(LEN(G319)), 1)))</f>
        <v>an</v>
      </c>
      <c r="I319" s="3" t="s">
        <v>114</v>
      </c>
      <c r="J319" s="1">
        <f t="array" ref="J319">xlookup(I319,Sheet2!A:A,Sheet2!B:B)</f>
        <v>12</v>
      </c>
      <c r="K319" s="3" t="s">
        <v>3</v>
      </c>
      <c r="L319" s="3" t="s">
        <v>32</v>
      </c>
      <c r="M319" s="1">
        <f t="array" ref="M319">xlookup(L319,Sheet2!A:A,Sheet2!B:B)</f>
        <v>11</v>
      </c>
      <c r="N319" s="3" t="s">
        <v>3</v>
      </c>
      <c r="O319" s="4" t="str">
        <f t="shared" si="1"/>
        <v>204968 : [8,12,11],</v>
      </c>
      <c r="P319" s="4" t="str">
        <f t="shared" si="2"/>
        <v>204968 : 0,</v>
      </c>
    </row>
    <row r="320">
      <c r="A320" s="3" t="s">
        <v>595</v>
      </c>
      <c r="B320" s="5">
        <v>198278.0</v>
      </c>
      <c r="C320" s="3" t="s">
        <v>459</v>
      </c>
      <c r="D320" s="1">
        <f t="array" ref="D320">xlookup(C320,Sheet3!A:A,Sheet3!B:B)</f>
        <v>0</v>
      </c>
      <c r="E320" s="3" t="s">
        <v>7</v>
      </c>
      <c r="F320" s="1">
        <f t="array" ref="F320">xlookup(E320,Sheet2!A:A,Sheet2!B:B)</f>
        <v>15</v>
      </c>
      <c r="G320" s="3" t="s">
        <v>596</v>
      </c>
      <c r="H320" s="3" t="str">
        <f t="array" ref="H320">JOIN("", SORT(MID(LOWER(G320), SEQUENCE(LEN(G320)), 1)))</f>
        <v>   ,aaaaaaddghhhiijkmnrsstuuy</v>
      </c>
      <c r="I320" s="3" t="s">
        <v>125</v>
      </c>
      <c r="J320" s="1">
        <f t="array" ref="J320">xlookup(I320,Sheet2!A:A,Sheet2!B:B)</f>
        <v>19</v>
      </c>
      <c r="K320" s="3" t="s">
        <v>596</v>
      </c>
      <c r="L320" s="3" t="s">
        <v>72</v>
      </c>
      <c r="M320" s="1">
        <f t="array" ref="M320">xlookup(L320,Sheet2!A:A,Sheet2!B:B)</f>
        <v>34</v>
      </c>
      <c r="N320" s="3" t="s">
        <v>596</v>
      </c>
      <c r="O320" s="4" t="str">
        <f t="shared" si="1"/>
        <v>198278 : [15,19,34],</v>
      </c>
      <c r="P320" s="4" t="str">
        <f t="shared" si="2"/>
        <v>198278 : 0,</v>
      </c>
    </row>
    <row r="321">
      <c r="A321" s="3" t="s">
        <v>597</v>
      </c>
      <c r="B321" s="5">
        <v>320526.0</v>
      </c>
      <c r="C321" s="3" t="s">
        <v>459</v>
      </c>
      <c r="D321" s="1">
        <f t="array" ref="D321">xlookup(C321,Sheet3!A:A,Sheet3!B:B)</f>
        <v>0</v>
      </c>
      <c r="E321" s="3" t="s">
        <v>20</v>
      </c>
      <c r="F321" s="1">
        <f t="array" ref="F321">xlookup(E321,Sheet2!A:A,Sheet2!B:B)</f>
        <v>48</v>
      </c>
      <c r="G321" s="3" t="s">
        <v>598</v>
      </c>
      <c r="H321" s="3" t="str">
        <f t="array" ref="H321">JOIN("", SORT(MID(LOWER(G321), SEQUENCE(LEN(G321)), 1)))</f>
        <v>     ,,aaaaaaaaabbddghhiiilnnrrrsstyy</v>
      </c>
      <c r="I321" s="3" t="s">
        <v>401</v>
      </c>
      <c r="J321" s="1">
        <f t="array" ref="J321">xlookup(I321,Sheet2!A:A,Sheet2!B:B)</f>
        <v>38</v>
      </c>
      <c r="K321" s="3" t="s">
        <v>3</v>
      </c>
      <c r="L321" s="3" t="s">
        <v>465</v>
      </c>
      <c r="M321" s="1">
        <f t="array" ref="M321">xlookup(L321,Sheet2!A:A,Sheet2!B:B)</f>
        <v>36</v>
      </c>
      <c r="N321" s="3" t="s">
        <v>3</v>
      </c>
      <c r="O321" s="4" t="str">
        <f t="shared" si="1"/>
        <v>320526 : [48,38,36],</v>
      </c>
      <c r="P321" s="4" t="str">
        <f t="shared" si="2"/>
        <v>320526 : 0,</v>
      </c>
    </row>
    <row r="322">
      <c r="A322" s="1" t="s">
        <v>599</v>
      </c>
      <c r="B322" s="2">
        <v>138699.0</v>
      </c>
      <c r="C322" s="1" t="s">
        <v>459</v>
      </c>
      <c r="D322" s="1">
        <f t="array" ref="D322">xlookup(C322,Sheet3!A:A,Sheet3!B:B)</f>
        <v>0</v>
      </c>
      <c r="E322" s="1" t="s">
        <v>26</v>
      </c>
      <c r="F322" s="1">
        <f t="array" ref="F322">xlookup(E322,Sheet2!A:A,Sheet2!B:B)</f>
        <v>7</v>
      </c>
      <c r="G322" s="1" t="s">
        <v>600</v>
      </c>
      <c r="H322" s="3" t="str">
        <f t="array" ref="H322">JOIN("", SORT(MID(LOWER(G322), SEQUENCE(LEN(G322)), 1)))</f>
        <v>     ,,aaaaaabcdeeeehiiklllmmmnnnoooorssy</v>
      </c>
      <c r="I322" s="1" t="s">
        <v>18</v>
      </c>
      <c r="J322" s="1">
        <f t="array" ref="J322">xlookup(I322,Sheet2!A:A,Sheet2!B:B)</f>
        <v>22</v>
      </c>
      <c r="K322" s="1" t="s">
        <v>600</v>
      </c>
      <c r="L322" s="1" t="s">
        <v>21</v>
      </c>
      <c r="M322" s="1">
        <f t="array" ref="M322">xlookup(L322,Sheet2!A:A,Sheet2!B:B)</f>
        <v>10</v>
      </c>
      <c r="N322" s="1" t="s">
        <v>600</v>
      </c>
      <c r="O322" s="4" t="str">
        <f t="shared" si="1"/>
        <v>138699 : [7,22,10],</v>
      </c>
      <c r="P322" s="4" t="str">
        <f t="shared" si="2"/>
        <v>138699 : 0,</v>
      </c>
    </row>
    <row r="323">
      <c r="A323" s="1" t="s">
        <v>601</v>
      </c>
      <c r="B323" s="2">
        <v>136463.0</v>
      </c>
      <c r="C323" s="1" t="s">
        <v>459</v>
      </c>
      <c r="D323" s="1">
        <f t="array" ref="D323">xlookup(C323,Sheet3!A:A,Sheet3!B:B)</f>
        <v>0</v>
      </c>
      <c r="E323" s="1" t="s">
        <v>26</v>
      </c>
      <c r="F323" s="1">
        <f t="array" ref="F323">xlookup(E323,Sheet2!A:A,Sheet2!B:B)</f>
        <v>7</v>
      </c>
      <c r="G323" s="1" t="s">
        <v>602</v>
      </c>
      <c r="H323" s="3" t="str">
        <f t="array" ref="H323">JOIN("", SORT(MID(LOWER(G323), SEQUENCE(LEN(G323)), 1)))</f>
        <v>     ,,aaaaaabcdeeeehiiklllmmmnnnoooorssy</v>
      </c>
      <c r="I323" s="1" t="s">
        <v>18</v>
      </c>
      <c r="J323" s="1">
        <f t="array" ref="J323">xlookup(I323,Sheet2!A:A,Sheet2!B:B)</f>
        <v>22</v>
      </c>
      <c r="K323" s="1" t="s">
        <v>602</v>
      </c>
      <c r="L323" s="1" t="s">
        <v>21</v>
      </c>
      <c r="M323" s="1">
        <f t="array" ref="M323">xlookup(L323,Sheet2!A:A,Sheet2!B:B)</f>
        <v>10</v>
      </c>
      <c r="N323" s="1" t="s">
        <v>602</v>
      </c>
      <c r="O323" s="4" t="str">
        <f t="shared" si="1"/>
        <v>136463 : [7,22,10],</v>
      </c>
      <c r="P323" s="4" t="str">
        <f t="shared" si="2"/>
        <v>136463 : 0,</v>
      </c>
    </row>
    <row r="324">
      <c r="A324" s="3" t="s">
        <v>603</v>
      </c>
      <c r="B324" s="5">
        <v>196553.0</v>
      </c>
      <c r="C324" s="3" t="s">
        <v>459</v>
      </c>
      <c r="D324" s="1">
        <f t="array" ref="D324">xlookup(C324,Sheet3!A:A,Sheet3!B:B)</f>
        <v>0</v>
      </c>
      <c r="E324" s="3" t="s">
        <v>18</v>
      </c>
      <c r="F324" s="1">
        <f t="array" ref="F324">xlookup(E324,Sheet2!A:A,Sheet2!B:B)</f>
        <v>22</v>
      </c>
      <c r="G324" s="3" t="s">
        <v>604</v>
      </c>
      <c r="H324" s="3" t="str">
        <f t="array" ref="H324">JOIN("", SORT(MID(LOWER(G324), SEQUENCE(LEN(G324)), 1)))</f>
        <v>     ,,aaaaaaaaefhhhiimnnnorrsssssttttuuuy</v>
      </c>
      <c r="I324" s="3" t="s">
        <v>39</v>
      </c>
      <c r="J324" s="1">
        <f t="array" ref="J324">xlookup(I324,Sheet2!A:A,Sheet2!B:B)</f>
        <v>20</v>
      </c>
      <c r="K324" s="3" t="s">
        <v>604</v>
      </c>
      <c r="L324" s="3" t="s">
        <v>74</v>
      </c>
      <c r="M324" s="1">
        <f t="array" ref="M324">xlookup(L324,Sheet2!A:A,Sheet2!B:B)</f>
        <v>50</v>
      </c>
      <c r="N324" s="3" t="s">
        <v>604</v>
      </c>
      <c r="O324" s="4" t="str">
        <f t="shared" si="1"/>
        <v>196553 : [22,20,50],</v>
      </c>
      <c r="P324" s="4" t="str">
        <f t="shared" si="2"/>
        <v>196553 : 0,</v>
      </c>
    </row>
    <row r="325">
      <c r="A325" s="3" t="s">
        <v>605</v>
      </c>
      <c r="B325" s="5">
        <v>138198.0</v>
      </c>
      <c r="C325" s="3" t="s">
        <v>459</v>
      </c>
      <c r="D325" s="1">
        <f t="array" ref="D325">xlookup(C325,Sheet3!A:A,Sheet3!B:B)</f>
        <v>0</v>
      </c>
      <c r="E325" s="3" t="s">
        <v>18</v>
      </c>
      <c r="F325" s="1">
        <f t="array" ref="F325">xlookup(E325,Sheet2!A:A,Sheet2!B:B)</f>
        <v>22</v>
      </c>
      <c r="G325" s="3" t="s">
        <v>606</v>
      </c>
      <c r="H325" s="3" t="str">
        <f t="array" ref="H325">JOIN("", SORT(MID(LOWER(G325), SEQUENCE(LEN(G325)), 1)))</f>
        <v>     ,,aaaaaaaaefhhhiimnnnorrsssssttttuuuy</v>
      </c>
      <c r="I325" s="3" t="s">
        <v>39</v>
      </c>
      <c r="J325" s="1">
        <f t="array" ref="J325">xlookup(I325,Sheet2!A:A,Sheet2!B:B)</f>
        <v>20</v>
      </c>
      <c r="K325" s="3" t="s">
        <v>606</v>
      </c>
      <c r="L325" s="3" t="s">
        <v>74</v>
      </c>
      <c r="M325" s="1">
        <f t="array" ref="M325">xlookup(L325,Sheet2!A:A,Sheet2!B:B)</f>
        <v>50</v>
      </c>
      <c r="N325" s="3" t="s">
        <v>606</v>
      </c>
      <c r="O325" s="4" t="str">
        <f t="shared" si="1"/>
        <v>138198 : [22,20,50],</v>
      </c>
      <c r="P325" s="4" t="str">
        <f t="shared" si="2"/>
        <v>138198 : 0,</v>
      </c>
    </row>
    <row r="326">
      <c r="A326" s="1" t="s">
        <v>607</v>
      </c>
      <c r="B326" s="2">
        <v>320623.0</v>
      </c>
      <c r="C326" s="1" t="s">
        <v>459</v>
      </c>
      <c r="D326" s="1">
        <f t="array" ref="D326">xlookup(C326,Sheet3!A:A,Sheet3!B:B)</f>
        <v>0</v>
      </c>
      <c r="E326" s="1" t="s">
        <v>64</v>
      </c>
      <c r="F326" s="1">
        <f t="array" ref="F326">xlookup(E326,Sheet2!A:A,Sheet2!B:B)</f>
        <v>30</v>
      </c>
      <c r="G326" s="1" t="s">
        <v>608</v>
      </c>
      <c r="H326" s="3" t="str">
        <f t="array" ref="H326">JOIN("", SORT(MID(LOWER(G326), SEQUENCE(LEN(G326)), 1)))</f>
        <v>           ,,,,,aaaaaaaaabbbbbbceeeeeeeeehhhhiiimmmmmmmnnorrrrrrsssssssty</v>
      </c>
      <c r="I326" s="1" t="s">
        <v>63</v>
      </c>
      <c r="J326" s="1">
        <f t="array" ref="J326">xlookup(I326,Sheet2!A:A,Sheet2!B:B)</f>
        <v>29</v>
      </c>
      <c r="K326" s="1" t="s">
        <v>608</v>
      </c>
      <c r="L326" s="1" t="s">
        <v>61</v>
      </c>
      <c r="M326" s="1">
        <f t="array" ref="M326">xlookup(L326,Sheet2!A:A,Sheet2!B:B)</f>
        <v>31</v>
      </c>
      <c r="N326" s="1" t="s">
        <v>608</v>
      </c>
      <c r="O326" s="4" t="str">
        <f t="shared" si="1"/>
        <v>320623 : [30,29,31],</v>
      </c>
      <c r="P326" s="4" t="str">
        <f t="shared" si="2"/>
        <v>320623 : 0,</v>
      </c>
    </row>
    <row r="327">
      <c r="A327" s="3" t="s">
        <v>609</v>
      </c>
      <c r="B327" s="5">
        <v>192335.0</v>
      </c>
      <c r="C327" s="3" t="s">
        <v>459</v>
      </c>
      <c r="D327" s="1">
        <f t="array" ref="D327">xlookup(C327,Sheet3!A:A,Sheet3!B:B)</f>
        <v>0</v>
      </c>
      <c r="E327" s="3" t="s">
        <v>76</v>
      </c>
      <c r="F327" s="1">
        <f t="array" ref="F327">xlookup(E327,Sheet2!A:A,Sheet2!B:B)</f>
        <v>24</v>
      </c>
      <c r="G327" s="3" t="s">
        <v>610</v>
      </c>
      <c r="H327" s="3" t="str">
        <f t="array" ref="H327">JOIN("", SORT(MID(LOWER(G327), SEQUENCE(LEN(G327)), 1)))</f>
        <v>    ,aaaaaaahhiiiikkklmmnnprsssuy</v>
      </c>
      <c r="I327" s="3" t="s">
        <v>7</v>
      </c>
      <c r="J327" s="1">
        <f t="array" ref="J327">xlookup(I327,Sheet2!A:A,Sheet2!B:B)</f>
        <v>15</v>
      </c>
      <c r="K327" s="3" t="s">
        <v>610</v>
      </c>
      <c r="L327" s="3" t="s">
        <v>72</v>
      </c>
      <c r="M327" s="1">
        <f t="array" ref="M327">xlookup(L327,Sheet2!A:A,Sheet2!B:B)</f>
        <v>34</v>
      </c>
      <c r="N327" s="3" t="s">
        <v>610</v>
      </c>
      <c r="O327" s="4" t="str">
        <f t="shared" si="1"/>
        <v>192335 : [24,15,34],</v>
      </c>
      <c r="P327" s="4" t="str">
        <f t="shared" si="2"/>
        <v>192335 : 0,</v>
      </c>
    </row>
    <row r="328">
      <c r="A328" s="1" t="s">
        <v>611</v>
      </c>
      <c r="B328" s="2">
        <v>304949.0</v>
      </c>
      <c r="C328" s="1" t="s">
        <v>459</v>
      </c>
      <c r="D328" s="1">
        <f t="array" ref="D328">xlookup(C328,Sheet3!A:A,Sheet3!B:B)</f>
        <v>0</v>
      </c>
      <c r="E328" s="1" t="s">
        <v>238</v>
      </c>
      <c r="F328" s="1">
        <f t="array" ref="F328">xlookup(E328,Sheet2!A:A,Sheet2!B:B)</f>
        <v>37</v>
      </c>
      <c r="G328" s="1" t="s">
        <v>3</v>
      </c>
      <c r="H328" s="3" t="str">
        <f t="array" ref="H328">JOIN("", SORT(MID(LOWER(G328), SEQUENCE(LEN(G328)), 1)))</f>
        <v>an</v>
      </c>
      <c r="I328" s="1" t="s">
        <v>465</v>
      </c>
      <c r="J328" s="1">
        <f t="array" ref="J328">xlookup(I328,Sheet2!A:A,Sheet2!B:B)</f>
        <v>36</v>
      </c>
      <c r="K328" s="1" t="s">
        <v>3</v>
      </c>
      <c r="L328" s="1" t="s">
        <v>309</v>
      </c>
      <c r="M328" s="1">
        <f t="array" ref="M328">xlookup(L328,Sheet2!A:A,Sheet2!B:B)</f>
        <v>40</v>
      </c>
      <c r="N328" s="1" t="s">
        <v>3</v>
      </c>
      <c r="O328" s="4" t="str">
        <f t="shared" si="1"/>
        <v>304949 : [37,36,40],</v>
      </c>
      <c r="P328" s="4" t="str">
        <f t="shared" si="2"/>
        <v>304949 : 0,</v>
      </c>
    </row>
    <row r="329">
      <c r="A329" s="3" t="s">
        <v>612</v>
      </c>
      <c r="B329" s="5">
        <v>301453.0</v>
      </c>
      <c r="C329" s="3" t="s">
        <v>459</v>
      </c>
      <c r="D329" s="1">
        <f t="array" ref="D329">xlookup(C329,Sheet3!A:A,Sheet3!B:B)</f>
        <v>0</v>
      </c>
      <c r="E329" s="3" t="s">
        <v>20</v>
      </c>
      <c r="F329" s="1">
        <f t="array" ref="F329">xlookup(E329,Sheet2!A:A,Sheet2!B:B)</f>
        <v>48</v>
      </c>
      <c r="G329" s="3" t="s">
        <v>613</v>
      </c>
      <c r="H329" s="3" t="str">
        <f t="array" ref="H329">JOIN("", SORT(MID(LOWER(G329), SEQUENCE(LEN(G329)), 1)))</f>
        <v>     ,,aaaaaaaaabbddghhiiilnnrrrsstyy</v>
      </c>
      <c r="I329" s="3" t="s">
        <v>4</v>
      </c>
      <c r="J329" s="1">
        <f t="array" ref="J329">xlookup(I329,Sheet2!A:A,Sheet2!B:B)</f>
        <v>23</v>
      </c>
      <c r="K329" s="3" t="s">
        <v>3</v>
      </c>
      <c r="L329" s="3" t="s">
        <v>309</v>
      </c>
      <c r="M329" s="1">
        <f t="array" ref="M329">xlookup(L329,Sheet2!A:A,Sheet2!B:B)</f>
        <v>40</v>
      </c>
      <c r="N329" s="3" t="s">
        <v>3</v>
      </c>
      <c r="O329" s="4" t="str">
        <f t="shared" si="1"/>
        <v>301453 : [48,23,40],</v>
      </c>
      <c r="P329" s="4" t="str">
        <f t="shared" si="2"/>
        <v>301453 : 0,</v>
      </c>
    </row>
    <row r="330">
      <c r="A330" s="1" t="s">
        <v>614</v>
      </c>
      <c r="B330" s="2">
        <v>136296.0</v>
      </c>
      <c r="C330" s="1" t="s">
        <v>459</v>
      </c>
      <c r="D330" s="1">
        <f t="array" ref="D330">xlookup(C330,Sheet3!A:A,Sheet3!B:B)</f>
        <v>0</v>
      </c>
      <c r="E330" s="1" t="s">
        <v>74</v>
      </c>
      <c r="F330" s="1">
        <f t="array" ref="F330">xlookup(E330,Sheet2!A:A,Sheet2!B:B)</f>
        <v>50</v>
      </c>
      <c r="G330" s="1" t="s">
        <v>615</v>
      </c>
      <c r="H330" s="3" t="str">
        <f t="array" ref="H330">JOIN("", SORT(MID(LOWER(G330), SEQUENCE(LEN(G330)), 1)))</f>
        <v>   ,aacddeehijnoorstvyy</v>
      </c>
      <c r="I330" s="1" t="s">
        <v>7</v>
      </c>
      <c r="J330" s="1">
        <f t="array" ref="J330">xlookup(I330,Sheet2!A:A,Sheet2!B:B)</f>
        <v>15</v>
      </c>
      <c r="K330" s="1" t="s">
        <v>616</v>
      </c>
      <c r="L330" s="1" t="s">
        <v>72</v>
      </c>
      <c r="M330" s="1">
        <f t="array" ref="M330">xlookup(L330,Sheet2!A:A,Sheet2!B:B)</f>
        <v>34</v>
      </c>
      <c r="N330" s="1" t="s">
        <v>616</v>
      </c>
      <c r="O330" s="4" t="str">
        <f t="shared" si="1"/>
        <v>136296 : [50,15,34],</v>
      </c>
      <c r="P330" s="4" t="str">
        <f t="shared" si="2"/>
        <v>136296 : 0,</v>
      </c>
    </row>
    <row r="331">
      <c r="A331" s="3" t="s">
        <v>617</v>
      </c>
      <c r="B331" s="5">
        <v>150327.0</v>
      </c>
      <c r="C331" s="3" t="s">
        <v>459</v>
      </c>
      <c r="D331" s="1">
        <f t="array" ref="D331">xlookup(C331,Sheet3!A:A,Sheet3!B:B)</f>
        <v>0</v>
      </c>
      <c r="E331" s="3" t="s">
        <v>7</v>
      </c>
      <c r="F331" s="1">
        <f t="array" ref="F331">xlookup(E331,Sheet2!A:A,Sheet2!B:B)</f>
        <v>15</v>
      </c>
      <c r="G331" s="3" t="s">
        <v>618</v>
      </c>
      <c r="H331" s="3" t="str">
        <f t="array" ref="H331">JOIN("", SORT(MID(LOWER(G331), SEQUENCE(LEN(G331)), 1)))</f>
        <v>    ,aaaaeiillmmssxy</v>
      </c>
      <c r="I331" s="3" t="s">
        <v>125</v>
      </c>
      <c r="J331" s="1">
        <f t="array" ref="J331">xlookup(I331,Sheet2!A:A,Sheet2!B:B)</f>
        <v>19</v>
      </c>
      <c r="K331" s="3" t="s">
        <v>619</v>
      </c>
      <c r="L331" s="3" t="s">
        <v>9</v>
      </c>
      <c r="M331" s="1">
        <f t="array" ref="M331">xlookup(L331,Sheet2!A:A,Sheet2!B:B)</f>
        <v>5</v>
      </c>
      <c r="N331" s="3" t="s">
        <v>619</v>
      </c>
      <c r="O331" s="4" t="str">
        <f t="shared" si="1"/>
        <v>150327 : [15,19,5],</v>
      </c>
      <c r="P331" s="4" t="str">
        <f t="shared" si="2"/>
        <v>150327 : 0,</v>
      </c>
    </row>
    <row r="332">
      <c r="A332" s="1" t="s">
        <v>620</v>
      </c>
      <c r="B332" s="2">
        <v>127437.0</v>
      </c>
      <c r="C332" s="1" t="s">
        <v>459</v>
      </c>
      <c r="D332" s="1">
        <f t="array" ref="D332">xlookup(C332,Sheet3!A:A,Sheet3!B:B)</f>
        <v>0</v>
      </c>
      <c r="E332" s="1" t="s">
        <v>18</v>
      </c>
      <c r="F332" s="1">
        <f t="array" ref="F332">xlookup(E332,Sheet2!A:A,Sheet2!B:B)</f>
        <v>22</v>
      </c>
      <c r="G332" s="1" t="s">
        <v>621</v>
      </c>
      <c r="H332" s="3" t="str">
        <f t="array" ref="H332">JOIN("", SORT(MID(LOWER(G332), SEQUENCE(LEN(G332)), 1)))</f>
        <v>      ,,aaaaaaaaadefhiiiiklllmnnnoprrsssyy</v>
      </c>
      <c r="I332" s="1" t="s">
        <v>21</v>
      </c>
      <c r="J332" s="1">
        <f t="array" ref="J332">xlookup(I332,Sheet2!A:A,Sheet2!B:B)</f>
        <v>10</v>
      </c>
      <c r="K332" s="1" t="s">
        <v>621</v>
      </c>
      <c r="L332" s="1" t="s">
        <v>42</v>
      </c>
      <c r="M332" s="1">
        <f t="array" ref="M332">xlookup(L332,Sheet2!A:A,Sheet2!B:B)</f>
        <v>14</v>
      </c>
      <c r="N332" s="1" t="s">
        <v>621</v>
      </c>
      <c r="O332" s="4" t="str">
        <f t="shared" si="1"/>
        <v>127437 : [22,10,14],</v>
      </c>
      <c r="P332" s="4" t="str">
        <f t="shared" si="2"/>
        <v>127437 : 0,</v>
      </c>
    </row>
    <row r="333">
      <c r="A333" s="1" t="s">
        <v>622</v>
      </c>
      <c r="B333" s="2">
        <v>119813.0</v>
      </c>
      <c r="C333" s="1" t="s">
        <v>459</v>
      </c>
      <c r="D333" s="1">
        <f t="array" ref="D333">xlookup(C333,Sheet3!A:A,Sheet3!B:B)</f>
        <v>0</v>
      </c>
      <c r="E333" s="1" t="s">
        <v>18</v>
      </c>
      <c r="F333" s="1">
        <f t="array" ref="F333">xlookup(E333,Sheet2!A:A,Sheet2!B:B)</f>
        <v>22</v>
      </c>
      <c r="G333" s="1" t="s">
        <v>623</v>
      </c>
      <c r="H333" s="3" t="str">
        <f t="array" ref="H333">JOIN("", SORT(MID(LOWER(G333), SEQUENCE(LEN(G333)), 1)))</f>
        <v>     ,,aaaaaaaaadefhiiiiklllmnnnoprrsssyy</v>
      </c>
      <c r="I333" s="1" t="s">
        <v>21</v>
      </c>
      <c r="J333" s="1">
        <f t="array" ref="J333">xlookup(I333,Sheet2!A:A,Sheet2!B:B)</f>
        <v>10</v>
      </c>
      <c r="K333" s="1" t="s">
        <v>624</v>
      </c>
      <c r="L333" s="1" t="s">
        <v>42</v>
      </c>
      <c r="M333" s="1">
        <f t="array" ref="M333">xlookup(L333,Sheet2!A:A,Sheet2!B:B)</f>
        <v>14</v>
      </c>
      <c r="N333" s="1" t="s">
        <v>623</v>
      </c>
      <c r="O333" s="4" t="str">
        <f t="shared" si="1"/>
        <v>119813 : [22,10,14],</v>
      </c>
      <c r="P333" s="4" t="str">
        <f t="shared" si="2"/>
        <v>119813 : 0,</v>
      </c>
    </row>
    <row r="334">
      <c r="A334" s="1" t="s">
        <v>625</v>
      </c>
      <c r="B334" s="2">
        <v>171928.0</v>
      </c>
      <c r="C334" s="1" t="s">
        <v>459</v>
      </c>
      <c r="D334" s="1">
        <f t="array" ref="D334">xlookup(C334,Sheet3!A:A,Sheet3!B:B)</f>
        <v>0</v>
      </c>
      <c r="E334" s="1" t="s">
        <v>238</v>
      </c>
      <c r="F334" s="1">
        <f t="array" ref="F334">xlookup(E334,Sheet2!A:A,Sheet2!B:B)</f>
        <v>37</v>
      </c>
      <c r="G334" s="1" t="s">
        <v>3</v>
      </c>
      <c r="H334" s="3" t="str">
        <f t="array" ref="H334">JOIN("", SORT(MID(LOWER(G334), SEQUENCE(LEN(G334)), 1)))</f>
        <v>an</v>
      </c>
      <c r="I334" s="1" t="s">
        <v>76</v>
      </c>
      <c r="J334" s="1">
        <f t="array" ref="J334">xlookup(I334,Sheet2!A:A,Sheet2!B:B)</f>
        <v>24</v>
      </c>
      <c r="K334" s="1" t="s">
        <v>3</v>
      </c>
      <c r="L334" s="1" t="s">
        <v>191</v>
      </c>
      <c r="M334" s="1">
        <f t="array" ref="M334">xlookup(L334,Sheet2!A:A,Sheet2!B:B)</f>
        <v>39</v>
      </c>
      <c r="N334" s="1" t="s">
        <v>3</v>
      </c>
      <c r="O334" s="4" t="str">
        <f t="shared" si="1"/>
        <v>171928 : [37,24,39],</v>
      </c>
      <c r="P334" s="4" t="str">
        <f t="shared" si="2"/>
        <v>171928 : 0,</v>
      </c>
    </row>
    <row r="335">
      <c r="A335" s="1" t="s">
        <v>626</v>
      </c>
      <c r="B335" s="2">
        <v>173955.0</v>
      </c>
      <c r="C335" s="1" t="s">
        <v>459</v>
      </c>
      <c r="D335" s="1">
        <f t="array" ref="D335">xlookup(C335,Sheet3!A:A,Sheet3!B:B)</f>
        <v>0</v>
      </c>
      <c r="E335" s="1" t="s">
        <v>401</v>
      </c>
      <c r="F335" s="1">
        <f t="array" ref="F335">xlookup(E335,Sheet2!A:A,Sheet2!B:B)</f>
        <v>38</v>
      </c>
      <c r="G335" s="1" t="s">
        <v>455</v>
      </c>
      <c r="H335" s="3" t="str">
        <f t="array" ref="H335">JOIN("", SORT(MID(LOWER(G335), SEQUENCE(LEN(G335)), 1)))</f>
        <v>an</v>
      </c>
      <c r="I335" s="1" t="s">
        <v>238</v>
      </c>
      <c r="J335" s="1">
        <f t="array" ref="J335">xlookup(I335,Sheet2!A:A,Sheet2!B:B)</f>
        <v>37</v>
      </c>
      <c r="K335" s="1" t="s">
        <v>455</v>
      </c>
      <c r="L335" s="1" t="s">
        <v>309</v>
      </c>
      <c r="M335" s="1">
        <f t="array" ref="M335">xlookup(L335,Sheet2!A:A,Sheet2!B:B)</f>
        <v>40</v>
      </c>
      <c r="N335" s="1" t="s">
        <v>455</v>
      </c>
      <c r="O335" s="4" t="str">
        <f t="shared" si="1"/>
        <v>173955 : [38,37,40],</v>
      </c>
      <c r="P335" s="4" t="str">
        <f t="shared" si="2"/>
        <v>173955 : 0,</v>
      </c>
    </row>
    <row r="336">
      <c r="A336" s="3" t="s">
        <v>627</v>
      </c>
      <c r="B336" s="5">
        <v>304150.0</v>
      </c>
      <c r="C336" s="3" t="s">
        <v>459</v>
      </c>
      <c r="D336" s="1">
        <f t="array" ref="D336">xlookup(C336,Sheet3!A:A,Sheet3!B:B)</f>
        <v>0</v>
      </c>
      <c r="E336" s="3" t="s">
        <v>76</v>
      </c>
      <c r="F336" s="1">
        <f t="array" ref="F336">xlookup(E336,Sheet2!A:A,Sheet2!B:B)</f>
        <v>24</v>
      </c>
      <c r="G336" s="3" t="s">
        <v>628</v>
      </c>
      <c r="H336" s="3" t="str">
        <f t="array" ref="H336">JOIN("", SORT(MID(LOWER(G336), SEQUENCE(LEN(G336)), 1)))</f>
        <v>    ,aadeegghhjlllmmnnnnooosyy</v>
      </c>
      <c r="I336" s="3" t="s">
        <v>74</v>
      </c>
      <c r="J336" s="1">
        <f t="array" ref="J336">xlookup(I336,Sheet2!A:A,Sheet2!B:B)</f>
        <v>50</v>
      </c>
      <c r="K336" s="3" t="s">
        <v>629</v>
      </c>
      <c r="L336" s="3" t="s">
        <v>10</v>
      </c>
      <c r="M336" s="1">
        <f t="array" ref="M336">xlookup(L336,Sheet2!A:A,Sheet2!B:B)</f>
        <v>9</v>
      </c>
      <c r="N336" s="3" t="s">
        <v>629</v>
      </c>
      <c r="O336" s="4" t="str">
        <f t="shared" si="1"/>
        <v>304150 : [24,50,9],</v>
      </c>
      <c r="P336" s="4" t="str">
        <f t="shared" si="2"/>
        <v>304150 : 0,</v>
      </c>
    </row>
    <row r="337">
      <c r="A337" s="3" t="s">
        <v>630</v>
      </c>
      <c r="B337" s="5">
        <v>149804.0</v>
      </c>
      <c r="C337" s="3" t="s">
        <v>459</v>
      </c>
      <c r="D337" s="1">
        <f t="array" ref="D337">xlookup(C337,Sheet3!A:A,Sheet3!B:B)</f>
        <v>0</v>
      </c>
      <c r="E337" s="3" t="s">
        <v>7</v>
      </c>
      <c r="F337" s="1">
        <f t="array" ref="F337">xlookup(E337,Sheet2!A:A,Sheet2!B:B)</f>
        <v>15</v>
      </c>
      <c r="G337" s="3" t="s">
        <v>631</v>
      </c>
      <c r="H337" s="3" t="str">
        <f t="array" ref="H337">JOIN("", SORT(MID(LOWER(G337), SEQUENCE(LEN(G337)), 1)))</f>
        <v>   ,aaaaeiillmmssxy</v>
      </c>
      <c r="I337" s="3" t="s">
        <v>125</v>
      </c>
      <c r="J337" s="1">
        <f t="array" ref="J337">xlookup(I337,Sheet2!A:A,Sheet2!B:B)</f>
        <v>19</v>
      </c>
      <c r="K337" s="3" t="s">
        <v>632</v>
      </c>
      <c r="L337" s="3" t="s">
        <v>9</v>
      </c>
      <c r="M337" s="1">
        <f t="array" ref="M337">xlookup(L337,Sheet2!A:A,Sheet2!B:B)</f>
        <v>5</v>
      </c>
      <c r="N337" s="3" t="s">
        <v>632</v>
      </c>
      <c r="O337" s="4" t="str">
        <f t="shared" si="1"/>
        <v>149804 : [15,19,5],</v>
      </c>
      <c r="P337" s="4" t="str">
        <f t="shared" si="2"/>
        <v>149804 : 0,</v>
      </c>
    </row>
    <row r="338">
      <c r="A338" s="1" t="s">
        <v>633</v>
      </c>
      <c r="B338" s="2">
        <v>114084.0</v>
      </c>
      <c r="C338" s="1" t="s">
        <v>459</v>
      </c>
      <c r="D338" s="1">
        <f t="array" ref="D338">xlookup(C338,Sheet3!A:A,Sheet3!B:B)</f>
        <v>0</v>
      </c>
      <c r="E338" s="1" t="s">
        <v>72</v>
      </c>
      <c r="F338" s="1">
        <f t="array" ref="F338">xlookup(E338,Sheet2!A:A,Sheet2!B:B)</f>
        <v>34</v>
      </c>
      <c r="G338" s="1" t="s">
        <v>298</v>
      </c>
      <c r="H338" s="3" t="str">
        <f t="array" ref="H338">JOIN("", SORT(MID(LOWER(G338), SEQUENCE(LEN(G338)), 1)))</f>
        <v>   ,aaccdeeeeeeeiillllmqrrssssy</v>
      </c>
      <c r="I338" s="1" t="s">
        <v>74</v>
      </c>
      <c r="J338" s="1">
        <f t="array" ref="J338">xlookup(I338,Sheet2!A:A,Sheet2!B:B)</f>
        <v>50</v>
      </c>
      <c r="K338" s="1" t="s">
        <v>634</v>
      </c>
      <c r="L338" s="1" t="s">
        <v>9</v>
      </c>
      <c r="M338" s="1">
        <f t="array" ref="M338">xlookup(L338,Sheet2!A:A,Sheet2!B:B)</f>
        <v>5</v>
      </c>
      <c r="N338" s="1" t="s">
        <v>298</v>
      </c>
      <c r="O338" s="4" t="str">
        <f t="shared" si="1"/>
        <v>114084 : [34,50,5],</v>
      </c>
      <c r="P338" s="4" t="str">
        <f t="shared" si="2"/>
        <v>114084 : 0,</v>
      </c>
    </row>
    <row r="339">
      <c r="A339" s="3" t="s">
        <v>635</v>
      </c>
      <c r="B339" s="5">
        <v>311055.0</v>
      </c>
      <c r="C339" s="3" t="s">
        <v>459</v>
      </c>
      <c r="D339" s="1">
        <f t="array" ref="D339">xlookup(C339,Sheet3!A:A,Sheet3!B:B)</f>
        <v>0</v>
      </c>
      <c r="E339" s="3" t="s">
        <v>7</v>
      </c>
      <c r="F339" s="1">
        <f t="array" ref="F339">xlookup(E339,Sheet2!A:A,Sheet2!B:B)</f>
        <v>15</v>
      </c>
      <c r="G339" s="3" t="s">
        <v>636</v>
      </c>
      <c r="H339" s="3" t="str">
        <f t="array" ref="H339">JOIN("", SORT(MID(LOWER(G339), SEQUENCE(LEN(G339)), 1)))</f>
        <v>   ,aaaadeeejllmnprtxy</v>
      </c>
      <c r="I339" s="3" t="s">
        <v>238</v>
      </c>
      <c r="J339" s="1">
        <f t="array" ref="J339">xlookup(I339,Sheet2!A:A,Sheet2!B:B)</f>
        <v>37</v>
      </c>
      <c r="K339" s="3" t="s">
        <v>3</v>
      </c>
      <c r="L339" s="3" t="s">
        <v>465</v>
      </c>
      <c r="M339" s="1">
        <f t="array" ref="M339">xlookup(L339,Sheet2!A:A,Sheet2!B:B)</f>
        <v>36</v>
      </c>
      <c r="N339" s="3" t="s">
        <v>3</v>
      </c>
      <c r="O339" s="4" t="str">
        <f t="shared" si="1"/>
        <v>311055 : [15,37,36],</v>
      </c>
      <c r="P339" s="4" t="str">
        <f t="shared" si="2"/>
        <v>311055 : 0,</v>
      </c>
    </row>
    <row r="340">
      <c r="A340" s="3" t="s">
        <v>637</v>
      </c>
      <c r="B340" s="5">
        <v>179858.0</v>
      </c>
      <c r="C340" s="3" t="s">
        <v>459</v>
      </c>
      <c r="D340" s="1">
        <f t="array" ref="D340">xlookup(C340,Sheet3!A:A,Sheet3!B:B)</f>
        <v>0</v>
      </c>
      <c r="E340" s="3" t="s">
        <v>109</v>
      </c>
      <c r="F340" s="1">
        <f t="array" ref="F340">xlookup(E340,Sheet2!A:A,Sheet2!B:B)</f>
        <v>49</v>
      </c>
      <c r="G340" s="3" t="s">
        <v>638</v>
      </c>
      <c r="H340" s="3" t="str">
        <f t="array" ref="H340">JOIN("", SORT(MID(LOWER(G340), SEQUENCE(LEN(G340)), 1)))</f>
        <v>     ,,aaaaaaaaabddeeggghhiiijkllmnnnnnorrrrsstuy</v>
      </c>
      <c r="I340" s="3" t="s">
        <v>184</v>
      </c>
      <c r="J340" s="1">
        <f t="array" ref="J340">xlookup(I340,Sheet2!A:A,Sheet2!B:B)</f>
        <v>4</v>
      </c>
      <c r="K340" s="3" t="s">
        <v>639</v>
      </c>
      <c r="L340" s="3" t="s">
        <v>63</v>
      </c>
      <c r="M340" s="1">
        <f t="array" ref="M340">xlookup(L340,Sheet2!A:A,Sheet2!B:B)</f>
        <v>29</v>
      </c>
      <c r="N340" s="3" t="s">
        <v>640</v>
      </c>
      <c r="O340" s="4" t="str">
        <f t="shared" si="1"/>
        <v>179858 : [49,4,29],</v>
      </c>
      <c r="P340" s="4" t="str">
        <f t="shared" si="2"/>
        <v>179858 : 0,</v>
      </c>
    </row>
    <row r="341">
      <c r="A341" s="3" t="s">
        <v>641</v>
      </c>
      <c r="B341" s="5">
        <v>203347.0</v>
      </c>
      <c r="C341" s="3" t="s">
        <v>459</v>
      </c>
      <c r="D341" s="1">
        <f t="array" ref="D341">xlookup(C341,Sheet3!A:A,Sheet3!B:B)</f>
        <v>0</v>
      </c>
      <c r="E341" s="3" t="s">
        <v>34</v>
      </c>
      <c r="F341" s="1">
        <f t="array" ref="F341">xlookup(E341,Sheet2!A:A,Sheet2!B:B)</f>
        <v>8</v>
      </c>
      <c r="G341" s="3" t="s">
        <v>642</v>
      </c>
      <c r="H341" s="3" t="str">
        <f t="array" ref="H341">JOIN("", SORT(MID(LOWER(G341), SEQUENCE(LEN(G341)), 1)))</f>
        <v>   ,aaaagghhiillnnnoquuy</v>
      </c>
      <c r="I341" s="3" t="s">
        <v>72</v>
      </c>
      <c r="J341" s="1">
        <f t="array" ref="J341">xlookup(I341,Sheet2!A:A,Sheet2!B:B)</f>
        <v>34</v>
      </c>
      <c r="K341" s="3" t="s">
        <v>642</v>
      </c>
      <c r="L341" s="3" t="s">
        <v>96</v>
      </c>
      <c r="M341" s="1">
        <f t="array" ref="M341">xlookup(L341,Sheet2!A:A,Sheet2!B:B)</f>
        <v>47</v>
      </c>
      <c r="N341" s="3" t="s">
        <v>642</v>
      </c>
      <c r="O341" s="4" t="str">
        <f t="shared" si="1"/>
        <v>203347 : [8,34,47],</v>
      </c>
      <c r="P341" s="4" t="str">
        <f t="shared" si="2"/>
        <v>203347 : 0,</v>
      </c>
    </row>
    <row r="342">
      <c r="A342" s="1" t="s">
        <v>643</v>
      </c>
      <c r="B342" s="2">
        <v>150429.0</v>
      </c>
      <c r="C342" s="1" t="s">
        <v>459</v>
      </c>
      <c r="D342" s="1">
        <f t="array" ref="D342">xlookup(C342,Sheet3!A:A,Sheet3!B:B)</f>
        <v>0</v>
      </c>
      <c r="E342" s="1" t="s">
        <v>20</v>
      </c>
      <c r="F342" s="1">
        <f t="array" ref="F342">xlookup(E342,Sheet2!A:A,Sheet2!B:B)</f>
        <v>48</v>
      </c>
      <c r="G342" s="1" t="s">
        <v>644</v>
      </c>
      <c r="H342" s="3" t="str">
        <f t="array" ref="H342">JOIN("", SORT(MID(LOWER(G342), SEQUENCE(LEN(G342)), 1)))</f>
        <v>     ,,aaaaaaaaaaaaaccdeeehiijkklmnnnnnnorrrxy</v>
      </c>
      <c r="I342" s="1" t="s">
        <v>170</v>
      </c>
      <c r="J342" s="1">
        <f t="array" ref="J342">xlookup(I342,Sheet2!A:A,Sheet2!B:B)</f>
        <v>16</v>
      </c>
      <c r="K342" s="1" t="s">
        <v>644</v>
      </c>
      <c r="L342" s="1" t="s">
        <v>25</v>
      </c>
      <c r="M342" s="1">
        <f t="array" ref="M342">xlookup(L342,Sheet2!A:A,Sheet2!B:B)</f>
        <v>18</v>
      </c>
      <c r="N342" s="1" t="s">
        <v>644</v>
      </c>
      <c r="O342" s="4" t="str">
        <f t="shared" si="1"/>
        <v>150429 : [48,16,18],</v>
      </c>
      <c r="P342" s="4" t="str">
        <f t="shared" si="2"/>
        <v>150429 : 0,</v>
      </c>
    </row>
    <row r="343">
      <c r="A343" s="3" t="s">
        <v>645</v>
      </c>
      <c r="B343" s="5">
        <v>148270.0</v>
      </c>
      <c r="C343" s="3" t="s">
        <v>459</v>
      </c>
      <c r="D343" s="1">
        <f t="array" ref="D343">xlookup(C343,Sheet3!A:A,Sheet3!B:B)</f>
        <v>0</v>
      </c>
      <c r="E343" s="3" t="s">
        <v>18</v>
      </c>
      <c r="F343" s="1">
        <f t="array" ref="F343">xlookup(E343,Sheet2!A:A,Sheet2!B:B)</f>
        <v>22</v>
      </c>
      <c r="G343" s="3" t="s">
        <v>646</v>
      </c>
      <c r="H343" s="3" t="str">
        <f t="array" ref="H343">JOIN("", SORT(MID(LOWER(G343), SEQUENCE(LEN(G343)), 1)))</f>
        <v>   ,aaaaabbdeegiiillnnoopqrrsuu</v>
      </c>
      <c r="I343" s="3" t="s">
        <v>74</v>
      </c>
      <c r="J343" s="1">
        <f t="array" ref="J343">xlookup(I343,Sheet2!A:A,Sheet2!B:B)</f>
        <v>50</v>
      </c>
      <c r="K343" s="3" t="s">
        <v>646</v>
      </c>
      <c r="L343" s="3" t="s">
        <v>76</v>
      </c>
      <c r="M343" s="1">
        <f t="array" ref="M343">xlookup(L343,Sheet2!A:A,Sheet2!B:B)</f>
        <v>24</v>
      </c>
      <c r="N343" s="3" t="s">
        <v>646</v>
      </c>
      <c r="O343" s="4" t="str">
        <f t="shared" si="1"/>
        <v>148270 : [22,50,24],</v>
      </c>
      <c r="P343" s="4" t="str">
        <f t="shared" si="2"/>
        <v>148270 : 0,</v>
      </c>
    </row>
    <row r="344">
      <c r="A344" s="3" t="s">
        <v>647</v>
      </c>
      <c r="B344" s="5">
        <v>189122.0</v>
      </c>
      <c r="C344" s="3" t="s">
        <v>459</v>
      </c>
      <c r="D344" s="1">
        <f t="array" ref="D344">xlookup(C344,Sheet3!A:A,Sheet3!B:B)</f>
        <v>0</v>
      </c>
      <c r="E344" s="3" t="s">
        <v>64</v>
      </c>
      <c r="F344" s="1">
        <f t="array" ref="F344">xlookup(E344,Sheet2!A:A,Sheet2!B:B)</f>
        <v>30</v>
      </c>
      <c r="G344" s="3" t="s">
        <v>648</v>
      </c>
      <c r="H344" s="3" t="str">
        <f t="array" ref="H344">JOIN("", SORT(MID(LOWER(G344), SEQUENCE(LEN(G344)), 1)))</f>
        <v>   ,aaaaaddeeiiklmnnprrruvvwy</v>
      </c>
      <c r="I344" s="3" t="s">
        <v>111</v>
      </c>
      <c r="J344" s="1">
        <f t="array" ref="J344">xlookup(I344,Sheet2!A:A,Sheet2!B:B)</f>
        <v>28</v>
      </c>
      <c r="K344" s="3" t="s">
        <v>648</v>
      </c>
      <c r="L344" s="3" t="s">
        <v>47</v>
      </c>
      <c r="M344" s="1">
        <f t="array" ref="M344">xlookup(L344,Sheet2!A:A,Sheet2!B:B)</f>
        <v>27</v>
      </c>
      <c r="N344" s="3" t="s">
        <v>649</v>
      </c>
      <c r="O344" s="4" t="str">
        <f t="shared" si="1"/>
        <v>189122 : [30,28,27],</v>
      </c>
      <c r="P344" s="4" t="str">
        <f t="shared" si="2"/>
        <v>189122 : 0,</v>
      </c>
    </row>
    <row r="345">
      <c r="A345" s="3" t="s">
        <v>650</v>
      </c>
      <c r="B345" s="5">
        <v>318753.0</v>
      </c>
      <c r="C345" s="3" t="s">
        <v>459</v>
      </c>
      <c r="D345" s="1">
        <f t="array" ref="D345">xlookup(C345,Sheet3!A:A,Sheet3!B:B)</f>
        <v>0</v>
      </c>
      <c r="E345" s="3" t="s">
        <v>64</v>
      </c>
      <c r="F345" s="1">
        <f t="array" ref="F345">xlookup(E345,Sheet2!A:A,Sheet2!B:B)</f>
        <v>30</v>
      </c>
      <c r="G345" s="3" t="s">
        <v>651</v>
      </c>
      <c r="H345" s="3" t="str">
        <f t="array" ref="H345">JOIN("", SORT(MID(LOWER(G345), SEQUENCE(LEN(G345)), 1)))</f>
        <v>    ,aaaaaddddeeeiiklmnnprrrruvvwyy</v>
      </c>
      <c r="I345" s="3" t="s">
        <v>111</v>
      </c>
      <c r="J345" s="1">
        <f t="array" ref="J345">xlookup(I345,Sheet2!A:A,Sheet2!B:B)</f>
        <v>28</v>
      </c>
      <c r="K345" s="3" t="s">
        <v>651</v>
      </c>
      <c r="L345" s="3" t="s">
        <v>47</v>
      </c>
      <c r="M345" s="1">
        <f t="array" ref="M345">xlookup(L345,Sheet2!A:A,Sheet2!B:B)</f>
        <v>27</v>
      </c>
      <c r="N345" s="3" t="s">
        <v>651</v>
      </c>
      <c r="O345" s="4" t="str">
        <f t="shared" si="1"/>
        <v>318753 : [30,28,27],</v>
      </c>
      <c r="P345" s="4" t="str">
        <f t="shared" si="2"/>
        <v>318753 : 0,</v>
      </c>
    </row>
    <row r="346">
      <c r="A346" s="3" t="s">
        <v>652</v>
      </c>
      <c r="B346" s="5">
        <v>151566.0</v>
      </c>
      <c r="C346" s="3" t="s">
        <v>459</v>
      </c>
      <c r="D346" s="1">
        <f t="array" ref="D346">xlookup(C346,Sheet3!A:A,Sheet3!B:B)</f>
        <v>0</v>
      </c>
      <c r="E346" s="3" t="s">
        <v>18</v>
      </c>
      <c r="F346" s="1">
        <f t="array" ref="F346">xlookup(E346,Sheet2!A:A,Sheet2!B:B)</f>
        <v>22</v>
      </c>
      <c r="G346" s="3" t="s">
        <v>653</v>
      </c>
      <c r="H346" s="3" t="str">
        <f t="array" ref="H346">JOIN("", SORT(MID(LOWER(G346), SEQUENCE(LEN(G346)), 1)))</f>
        <v>     ,,aaaaaaaadggghhhhiikmnnnnoqrrstu</v>
      </c>
      <c r="I346" s="3" t="s">
        <v>64</v>
      </c>
      <c r="J346" s="1">
        <f t="array" ref="J346">xlookup(I346,Sheet2!A:A,Sheet2!B:B)</f>
        <v>30</v>
      </c>
      <c r="K346" s="3" t="s">
        <v>653</v>
      </c>
      <c r="L346" s="3" t="s">
        <v>61</v>
      </c>
      <c r="M346" s="1">
        <f t="array" ref="M346">xlookup(L346,Sheet2!A:A,Sheet2!B:B)</f>
        <v>31</v>
      </c>
      <c r="N346" s="3" t="s">
        <v>653</v>
      </c>
      <c r="O346" s="4" t="str">
        <f t="shared" si="1"/>
        <v>151566 : [22,30,31],</v>
      </c>
      <c r="P346" s="4" t="str">
        <f t="shared" si="2"/>
        <v>151566 : 0,</v>
      </c>
    </row>
    <row r="347">
      <c r="A347" s="3" t="s">
        <v>654</v>
      </c>
      <c r="B347" s="5">
        <v>151825.0</v>
      </c>
      <c r="C347" s="3" t="s">
        <v>459</v>
      </c>
      <c r="D347" s="1">
        <f t="array" ref="D347">xlookup(C347,Sheet3!A:A,Sheet3!B:B)</f>
        <v>0</v>
      </c>
      <c r="E347" s="3" t="s">
        <v>18</v>
      </c>
      <c r="F347" s="1">
        <f t="array" ref="F347">xlookup(E347,Sheet2!A:A,Sheet2!B:B)</f>
        <v>22</v>
      </c>
      <c r="G347" s="3" t="s">
        <v>655</v>
      </c>
      <c r="H347" s="3" t="str">
        <f t="array" ref="H347">JOIN("", SORT(MID(LOWER(G347), SEQUENCE(LEN(G347)), 1)))</f>
        <v>     ,,aaaaaaaadggghhhhiikmnnnnoqrrstu</v>
      </c>
      <c r="I347" s="3" t="s">
        <v>64</v>
      </c>
      <c r="J347" s="1">
        <f t="array" ref="J347">xlookup(I347,Sheet2!A:A,Sheet2!B:B)</f>
        <v>30</v>
      </c>
      <c r="K347" s="3" t="s">
        <v>655</v>
      </c>
      <c r="L347" s="3" t="s">
        <v>61</v>
      </c>
      <c r="M347" s="1">
        <f t="array" ref="M347">xlookup(L347,Sheet2!A:A,Sheet2!B:B)</f>
        <v>31</v>
      </c>
      <c r="N347" s="3" t="s">
        <v>655</v>
      </c>
      <c r="O347" s="4" t="str">
        <f t="shared" si="1"/>
        <v>151825 : [22,30,31],</v>
      </c>
      <c r="P347" s="4" t="str">
        <f t="shared" si="2"/>
        <v>151825 : 0,</v>
      </c>
    </row>
    <row r="348">
      <c r="A348" s="3" t="s">
        <v>656</v>
      </c>
      <c r="B348" s="5">
        <v>161592.0</v>
      </c>
      <c r="C348" s="3" t="s">
        <v>459</v>
      </c>
      <c r="D348" s="1">
        <f t="array" ref="D348">xlookup(C348,Sheet3!A:A,Sheet3!B:B)</f>
        <v>0</v>
      </c>
      <c r="E348" s="3" t="s">
        <v>18</v>
      </c>
      <c r="F348" s="1">
        <f t="array" ref="F348">xlookup(E348,Sheet2!A:A,Sheet2!B:B)</f>
        <v>22</v>
      </c>
      <c r="G348" s="3" t="s">
        <v>655</v>
      </c>
      <c r="H348" s="3" t="str">
        <f t="array" ref="H348">JOIN("", SORT(MID(LOWER(G348), SEQUENCE(LEN(G348)), 1)))</f>
        <v>     ,,aaaaaaaadggghhhhiikmnnnnoqrrstu</v>
      </c>
      <c r="I348" s="3" t="s">
        <v>64</v>
      </c>
      <c r="J348" s="1">
        <f t="array" ref="J348">xlookup(I348,Sheet2!A:A,Sheet2!B:B)</f>
        <v>30</v>
      </c>
      <c r="K348" s="3" t="s">
        <v>655</v>
      </c>
      <c r="L348" s="3" t="s">
        <v>61</v>
      </c>
      <c r="M348" s="1">
        <f t="array" ref="M348">xlookup(L348,Sheet2!A:A,Sheet2!B:B)</f>
        <v>31</v>
      </c>
      <c r="N348" s="3" t="s">
        <v>655</v>
      </c>
      <c r="O348" s="4" t="str">
        <f t="shared" si="1"/>
        <v>161592 : [22,30,31],</v>
      </c>
      <c r="P348" s="4" t="str">
        <f t="shared" si="2"/>
        <v>161592 : 0,</v>
      </c>
    </row>
    <row r="349">
      <c r="A349" s="1" t="s">
        <v>657</v>
      </c>
      <c r="B349" s="2">
        <v>150671.0</v>
      </c>
      <c r="C349" s="1" t="s">
        <v>459</v>
      </c>
      <c r="D349" s="1">
        <f t="array" ref="D349">xlookup(C349,Sheet3!A:A,Sheet3!B:B)</f>
        <v>0</v>
      </c>
      <c r="E349" s="1" t="s">
        <v>401</v>
      </c>
      <c r="F349" s="1">
        <f t="array" ref="F349">xlookup(E349,Sheet2!A:A,Sheet2!B:B)</f>
        <v>38</v>
      </c>
      <c r="G349" s="1" t="s">
        <v>3</v>
      </c>
      <c r="H349" s="3" t="str">
        <f t="array" ref="H349">JOIN("", SORT(MID(LOWER(G349), SEQUENCE(LEN(G349)), 1)))</f>
        <v>an</v>
      </c>
      <c r="I349" s="1" t="s">
        <v>465</v>
      </c>
      <c r="J349" s="1">
        <f t="array" ref="J349">xlookup(I349,Sheet2!A:A,Sheet2!B:B)</f>
        <v>36</v>
      </c>
      <c r="K349" s="1" t="s">
        <v>3</v>
      </c>
      <c r="L349" s="1" t="s">
        <v>5</v>
      </c>
      <c r="M349" s="1">
        <f t="array" ref="M349">xlookup(L349,Sheet2!A:A,Sheet2!B:B)</f>
        <v>35</v>
      </c>
      <c r="N349" s="1" t="s">
        <v>3</v>
      </c>
      <c r="O349" s="4" t="str">
        <f t="shared" si="1"/>
        <v>150671 : [38,36,35],</v>
      </c>
      <c r="P349" s="4" t="str">
        <f t="shared" si="2"/>
        <v>150671 : 0,</v>
      </c>
    </row>
    <row r="350">
      <c r="A350" s="3" t="s">
        <v>658</v>
      </c>
      <c r="B350" s="5">
        <v>118487.0</v>
      </c>
      <c r="C350" s="3" t="s">
        <v>459</v>
      </c>
      <c r="D350" s="1">
        <f t="array" ref="D350">xlookup(C350,Sheet3!A:A,Sheet3!B:B)</f>
        <v>0</v>
      </c>
      <c r="E350" s="3" t="s">
        <v>18</v>
      </c>
      <c r="F350" s="1">
        <f t="array" ref="F350">xlookup(E350,Sheet2!A:A,Sheet2!B:B)</f>
        <v>22</v>
      </c>
      <c r="G350" s="3" t="s">
        <v>659</v>
      </c>
      <c r="H350" s="3" t="str">
        <f t="array" ref="H350">JOIN("", SORT(MID(LOWER(G350), SEQUENCE(LEN(G350)), 1)))</f>
        <v>   ,aaaaabbdeegiiillnnoopqrrsuu</v>
      </c>
      <c r="I350" s="3" t="s">
        <v>74</v>
      </c>
      <c r="J350" s="1">
        <f t="array" ref="J350">xlookup(I350,Sheet2!A:A,Sheet2!B:B)</f>
        <v>50</v>
      </c>
      <c r="K350" s="3" t="s">
        <v>659</v>
      </c>
      <c r="L350" s="3" t="s">
        <v>76</v>
      </c>
      <c r="M350" s="1">
        <f t="array" ref="M350">xlookup(L350,Sheet2!A:A,Sheet2!B:B)</f>
        <v>24</v>
      </c>
      <c r="N350" s="3" t="s">
        <v>659</v>
      </c>
      <c r="O350" s="4" t="str">
        <f t="shared" si="1"/>
        <v>118487 : [22,50,24],</v>
      </c>
      <c r="P350" s="4" t="str">
        <f t="shared" si="2"/>
        <v>118487 : 0,</v>
      </c>
    </row>
    <row r="351">
      <c r="A351" s="3" t="s">
        <v>660</v>
      </c>
      <c r="B351" s="5">
        <v>310859.0</v>
      </c>
      <c r="C351" s="3" t="s">
        <v>459</v>
      </c>
      <c r="D351" s="1">
        <f t="array" ref="D351">xlookup(C351,Sheet3!A:A,Sheet3!B:B)</f>
        <v>0</v>
      </c>
      <c r="E351" s="3" t="s">
        <v>7</v>
      </c>
      <c r="F351" s="1">
        <f t="array" ref="F351">xlookup(E351,Sheet2!A:A,Sheet2!B:B)</f>
        <v>15</v>
      </c>
      <c r="G351" s="3" t="s">
        <v>661</v>
      </c>
      <c r="H351" s="3" t="str">
        <f t="array" ref="H351">JOIN("", SORT(MID(LOWER(G351), SEQUENCE(LEN(G351)), 1)))</f>
        <v>   ,aaaaaaaaaeeehhijkllmnnprrss</v>
      </c>
      <c r="I351" s="3" t="s">
        <v>10</v>
      </c>
      <c r="J351" s="1">
        <f t="array" ref="J351">xlookup(I351,Sheet2!A:A,Sheet2!B:B)</f>
        <v>9</v>
      </c>
      <c r="K351" s="3" t="s">
        <v>661</v>
      </c>
      <c r="L351" s="3" t="s">
        <v>28</v>
      </c>
      <c r="M351" s="1">
        <f t="array" ref="M351">xlookup(L351,Sheet2!A:A,Sheet2!B:B)</f>
        <v>32</v>
      </c>
      <c r="N351" s="3" t="s">
        <v>661</v>
      </c>
      <c r="O351" s="4" t="str">
        <f t="shared" si="1"/>
        <v>310859 : [15,9,32],</v>
      </c>
      <c r="P351" s="4" t="str">
        <f t="shared" si="2"/>
        <v>310859 : 0,</v>
      </c>
    </row>
    <row r="352">
      <c r="A352" s="3" t="s">
        <v>662</v>
      </c>
      <c r="B352" s="5">
        <v>153365.0</v>
      </c>
      <c r="C352" s="3" t="s">
        <v>459</v>
      </c>
      <c r="D352" s="1">
        <f t="array" ref="D352">xlookup(C352,Sheet3!A:A,Sheet3!B:B)</f>
        <v>0</v>
      </c>
      <c r="E352" s="3" t="s">
        <v>7</v>
      </c>
      <c r="F352" s="1">
        <f t="array" ref="F352">xlookup(E352,Sheet2!A:A,Sheet2!B:B)</f>
        <v>15</v>
      </c>
      <c r="G352" s="3" t="s">
        <v>663</v>
      </c>
      <c r="H352" s="3" t="str">
        <f t="array" ref="H352">JOIN("", SORT(MID(LOWER(G352), SEQUENCE(LEN(G352)), 1)))</f>
        <v>   ,aaaaaaaaaeeehhijkllmnnprrss</v>
      </c>
      <c r="I352" s="3" t="s">
        <v>10</v>
      </c>
      <c r="J352" s="1">
        <f t="array" ref="J352">xlookup(I352,Sheet2!A:A,Sheet2!B:B)</f>
        <v>9</v>
      </c>
      <c r="K352" s="3" t="s">
        <v>663</v>
      </c>
      <c r="L352" s="3" t="s">
        <v>28</v>
      </c>
      <c r="M352" s="1">
        <f t="array" ref="M352">xlookup(L352,Sheet2!A:A,Sheet2!B:B)</f>
        <v>32</v>
      </c>
      <c r="N352" s="3" t="s">
        <v>663</v>
      </c>
      <c r="O352" s="4" t="str">
        <f t="shared" si="1"/>
        <v>153365 : [15,9,32],</v>
      </c>
      <c r="P352" s="4" t="str">
        <f t="shared" si="2"/>
        <v>153365 : 0,</v>
      </c>
    </row>
    <row r="353">
      <c r="A353" s="3" t="s">
        <v>664</v>
      </c>
      <c r="B353" s="5">
        <v>306014.0</v>
      </c>
      <c r="C353" s="3" t="s">
        <v>459</v>
      </c>
      <c r="D353" s="1">
        <f t="array" ref="D353">xlookup(C353,Sheet3!A:A,Sheet3!B:B)</f>
        <v>0</v>
      </c>
      <c r="E353" s="3" t="s">
        <v>7</v>
      </c>
      <c r="F353" s="1">
        <f t="array" ref="F353">xlookup(E353,Sheet2!A:A,Sheet2!B:B)</f>
        <v>15</v>
      </c>
      <c r="G353" s="3" t="s">
        <v>3</v>
      </c>
      <c r="H353" s="3" t="str">
        <f t="array" ref="H353">JOIN("", SORT(MID(LOWER(G353), SEQUENCE(LEN(G353)), 1)))</f>
        <v>an</v>
      </c>
      <c r="I353" s="3" t="s">
        <v>16</v>
      </c>
      <c r="J353" s="1">
        <f t="array" ref="J353">xlookup(I353,Sheet2!A:A,Sheet2!B:B)</f>
        <v>3</v>
      </c>
      <c r="K353" s="3" t="s">
        <v>3</v>
      </c>
      <c r="L353" s="3" t="s">
        <v>9</v>
      </c>
      <c r="M353" s="1">
        <f t="array" ref="M353">xlookup(L353,Sheet2!A:A,Sheet2!B:B)</f>
        <v>5</v>
      </c>
      <c r="N353" s="3" t="s">
        <v>3</v>
      </c>
      <c r="O353" s="4" t="str">
        <f t="shared" si="1"/>
        <v>306014 : [15,3,5],</v>
      </c>
      <c r="P353" s="4" t="str">
        <f t="shared" si="2"/>
        <v>306014 : 0,</v>
      </c>
    </row>
    <row r="354">
      <c r="A354" s="3" t="s">
        <v>665</v>
      </c>
      <c r="B354" s="5">
        <v>150645.0</v>
      </c>
      <c r="C354" s="3" t="s">
        <v>459</v>
      </c>
      <c r="D354" s="1">
        <f t="array" ref="D354">xlookup(C354,Sheet3!A:A,Sheet3!B:B)</f>
        <v>0</v>
      </c>
      <c r="E354" s="3" t="s">
        <v>21</v>
      </c>
      <c r="F354" s="1">
        <f t="array" ref="F354">xlookup(E354,Sheet2!A:A,Sheet2!B:B)</f>
        <v>10</v>
      </c>
      <c r="G354" s="3" t="s">
        <v>3</v>
      </c>
      <c r="H354" s="3" t="str">
        <f t="array" ref="H354">JOIN("", SORT(MID(LOWER(G354), SEQUENCE(LEN(G354)), 1)))</f>
        <v>an</v>
      </c>
      <c r="I354" s="3" t="s">
        <v>465</v>
      </c>
      <c r="J354" s="1">
        <f t="array" ref="J354">xlookup(I354,Sheet2!A:A,Sheet2!B:B)</f>
        <v>36</v>
      </c>
      <c r="K354" s="3" t="s">
        <v>3</v>
      </c>
      <c r="L354" s="3" t="s">
        <v>26</v>
      </c>
      <c r="M354" s="1">
        <f t="array" ref="M354">xlookup(L354,Sheet2!A:A,Sheet2!B:B)</f>
        <v>7</v>
      </c>
      <c r="N354" s="3" t="s">
        <v>3</v>
      </c>
      <c r="O354" s="4" t="str">
        <f t="shared" si="1"/>
        <v>150645 : [10,36,7],</v>
      </c>
      <c r="P354" s="4" t="str">
        <f t="shared" si="2"/>
        <v>150645 : 0,</v>
      </c>
    </row>
    <row r="355">
      <c r="A355" s="3" t="s">
        <v>666</v>
      </c>
      <c r="B355" s="5">
        <v>177631.0</v>
      </c>
      <c r="C355" s="3" t="s">
        <v>459</v>
      </c>
      <c r="D355" s="1">
        <f t="array" ref="D355">xlookup(C355,Sheet3!A:A,Sheet3!B:B)</f>
        <v>0</v>
      </c>
      <c r="E355" s="3" t="s">
        <v>465</v>
      </c>
      <c r="F355" s="1">
        <f t="array" ref="F355">xlookup(E355,Sheet2!A:A,Sheet2!B:B)</f>
        <v>36</v>
      </c>
      <c r="G355" s="3" t="s">
        <v>3</v>
      </c>
      <c r="H355" s="3" t="str">
        <f t="array" ref="H355">JOIN("", SORT(MID(LOWER(G355), SEQUENCE(LEN(G355)), 1)))</f>
        <v>an</v>
      </c>
      <c r="I355" s="3" t="s">
        <v>105</v>
      </c>
      <c r="J355" s="1">
        <f t="array" ref="J355">xlookup(I355,Sheet2!A:A,Sheet2!B:B)</f>
        <v>26</v>
      </c>
      <c r="K355" s="3" t="s">
        <v>3</v>
      </c>
      <c r="L355" s="3" t="s">
        <v>5</v>
      </c>
      <c r="M355" s="1">
        <f t="array" ref="M355">xlookup(L355,Sheet2!A:A,Sheet2!B:B)</f>
        <v>35</v>
      </c>
      <c r="N355" s="3" t="s">
        <v>3</v>
      </c>
      <c r="O355" s="4" t="str">
        <f t="shared" si="1"/>
        <v>177631 : [36,26,35],</v>
      </c>
      <c r="P355" s="4" t="str">
        <f t="shared" si="2"/>
        <v>177631 : 0,</v>
      </c>
    </row>
    <row r="356">
      <c r="A356" s="3" t="s">
        <v>667</v>
      </c>
      <c r="B356" s="5">
        <v>150437.0</v>
      </c>
      <c r="C356" s="3" t="s">
        <v>459</v>
      </c>
      <c r="D356" s="1">
        <f t="array" ref="D356">xlookup(C356,Sheet3!A:A,Sheet3!B:B)</f>
        <v>0</v>
      </c>
      <c r="E356" s="3" t="s">
        <v>30</v>
      </c>
      <c r="F356" s="1">
        <f t="array" ref="F356">xlookup(E356,Sheet2!A:A,Sheet2!B:B)</f>
        <v>13</v>
      </c>
      <c r="G356" s="3" t="s">
        <v>668</v>
      </c>
      <c r="H356" s="3" t="str">
        <f t="array" ref="H356">JOIN("", SORT(MID(LOWER(G356), SEQUENCE(LEN(G356)), 1)))</f>
        <v>   ,aaaaaaabccddhhiiiijklllmmnnrrssuw</v>
      </c>
      <c r="I356" s="3" t="s">
        <v>114</v>
      </c>
      <c r="J356" s="1">
        <f t="array" ref="J356">xlookup(I356,Sheet2!A:A,Sheet2!B:B)</f>
        <v>12</v>
      </c>
      <c r="K356" s="3" t="s">
        <v>668</v>
      </c>
      <c r="L356" s="3" t="s">
        <v>10</v>
      </c>
      <c r="M356" s="1">
        <f t="array" ref="M356">xlookup(L356,Sheet2!A:A,Sheet2!B:B)</f>
        <v>9</v>
      </c>
      <c r="N356" s="3" t="s">
        <v>668</v>
      </c>
      <c r="O356" s="4" t="str">
        <f t="shared" si="1"/>
        <v>150437 : [13,12,9],</v>
      </c>
      <c r="P356" s="4" t="str">
        <f t="shared" si="2"/>
        <v>150437 : 0,</v>
      </c>
    </row>
    <row r="357">
      <c r="A357" s="3" t="s">
        <v>669</v>
      </c>
      <c r="B357" s="5">
        <v>151002.0</v>
      </c>
      <c r="C357" s="3" t="s">
        <v>459</v>
      </c>
      <c r="D357" s="1">
        <f t="array" ref="D357">xlookup(C357,Sheet3!A:A,Sheet3!B:B)</f>
        <v>0</v>
      </c>
      <c r="E357" s="3" t="s">
        <v>30</v>
      </c>
      <c r="F357" s="1">
        <f t="array" ref="F357">xlookup(E357,Sheet2!A:A,Sheet2!B:B)</f>
        <v>13</v>
      </c>
      <c r="G357" s="3" t="s">
        <v>670</v>
      </c>
      <c r="H357" s="3" t="str">
        <f t="array" ref="H357">JOIN("", SORT(MID(LOWER(G357), SEQUENCE(LEN(G357)), 1)))</f>
        <v>   ,aaaaaaabccddhhiiiijklllmmnnrrssuw</v>
      </c>
      <c r="I357" s="3" t="s">
        <v>114</v>
      </c>
      <c r="J357" s="1">
        <f t="array" ref="J357">xlookup(I357,Sheet2!A:A,Sheet2!B:B)</f>
        <v>12</v>
      </c>
      <c r="K357" s="3" t="s">
        <v>670</v>
      </c>
      <c r="L357" s="3" t="s">
        <v>10</v>
      </c>
      <c r="M357" s="1">
        <f t="array" ref="M357">xlookup(L357,Sheet2!A:A,Sheet2!B:B)</f>
        <v>9</v>
      </c>
      <c r="N357" s="3" t="s">
        <v>670</v>
      </c>
      <c r="O357" s="4" t="str">
        <f t="shared" si="1"/>
        <v>151002 : [13,12,9],</v>
      </c>
      <c r="P357" s="4" t="str">
        <f t="shared" si="2"/>
        <v>151002 : 0,</v>
      </c>
    </row>
    <row r="358">
      <c r="A358" s="3" t="s">
        <v>671</v>
      </c>
      <c r="B358" s="5">
        <v>137911.0</v>
      </c>
      <c r="C358" s="3" t="s">
        <v>459</v>
      </c>
      <c r="D358" s="1">
        <f t="array" ref="D358">xlookup(C358,Sheet3!A:A,Sheet3!B:B)</f>
        <v>0</v>
      </c>
      <c r="E358" s="3" t="s">
        <v>465</v>
      </c>
      <c r="F358" s="1">
        <f t="array" ref="F358">xlookup(E358,Sheet2!A:A,Sheet2!B:B)</f>
        <v>36</v>
      </c>
      <c r="G358" s="3" t="s">
        <v>3</v>
      </c>
      <c r="H358" s="3" t="str">
        <f t="array" ref="H358">JOIN("", SORT(MID(LOWER(G358), SEQUENCE(LEN(G358)), 1)))</f>
        <v>an</v>
      </c>
      <c r="I358" s="3" t="s">
        <v>309</v>
      </c>
      <c r="J358" s="1">
        <f t="array" ref="J358">xlookup(I358,Sheet2!A:A,Sheet2!B:B)</f>
        <v>40</v>
      </c>
      <c r="K358" s="3" t="s">
        <v>3</v>
      </c>
      <c r="L358" s="3" t="s">
        <v>401</v>
      </c>
      <c r="M358" s="1">
        <f t="array" ref="M358">xlookup(L358,Sheet2!A:A,Sheet2!B:B)</f>
        <v>38</v>
      </c>
      <c r="N358" s="3" t="s">
        <v>3</v>
      </c>
      <c r="O358" s="4" t="str">
        <f t="shared" si="1"/>
        <v>137911 : [36,40,38],</v>
      </c>
      <c r="P358" s="4" t="str">
        <f t="shared" si="2"/>
        <v>137911 : 0,</v>
      </c>
    </row>
    <row r="359">
      <c r="A359" s="3" t="s">
        <v>672</v>
      </c>
      <c r="B359" s="5">
        <v>178492.0</v>
      </c>
      <c r="C359" s="3" t="s">
        <v>459</v>
      </c>
      <c r="D359" s="1">
        <f t="array" ref="D359">xlookup(C359,Sheet3!A:A,Sheet3!B:B)</f>
        <v>0</v>
      </c>
      <c r="E359" s="3" t="s">
        <v>109</v>
      </c>
      <c r="F359" s="1">
        <f t="array" ref="F359">xlookup(E359,Sheet2!A:A,Sheet2!B:B)</f>
        <v>49</v>
      </c>
      <c r="G359" s="3" t="s">
        <v>673</v>
      </c>
      <c r="H359" s="3" t="str">
        <f t="array" ref="H359">JOIN("", SORT(MID(LOWER(G359), SEQUENCE(LEN(G359)), 1)))</f>
        <v>     ,,aaabcdeeeffgghiilmnnnnrrsssuuvw</v>
      </c>
      <c r="I359" s="3" t="s">
        <v>28</v>
      </c>
      <c r="J359" s="1">
        <f t="array" ref="J359">xlookup(I359,Sheet2!A:A,Sheet2!B:B)</f>
        <v>32</v>
      </c>
      <c r="K359" s="3" t="s">
        <v>673</v>
      </c>
      <c r="L359" s="3" t="s">
        <v>35</v>
      </c>
      <c r="M359" s="1">
        <f t="array" ref="M359">xlookup(L359,Sheet2!A:A,Sheet2!B:B)</f>
        <v>45</v>
      </c>
      <c r="N359" s="3" t="s">
        <v>673</v>
      </c>
      <c r="O359" s="4" t="str">
        <f t="shared" si="1"/>
        <v>178492 : [49,32,45],</v>
      </c>
      <c r="P359" s="4" t="str">
        <f t="shared" si="2"/>
        <v>178492 : 0,</v>
      </c>
    </row>
    <row r="360">
      <c r="A360" s="3" t="s">
        <v>674</v>
      </c>
      <c r="B360" s="5">
        <v>150153.0</v>
      </c>
      <c r="C360" s="3" t="s">
        <v>459</v>
      </c>
      <c r="D360" s="1">
        <f t="array" ref="D360">xlookup(C360,Sheet3!A:A,Sheet3!B:B)</f>
        <v>0</v>
      </c>
      <c r="E360" s="3" t="s">
        <v>109</v>
      </c>
      <c r="F360" s="1">
        <f t="array" ref="F360">xlookup(E360,Sheet2!A:A,Sheet2!B:B)</f>
        <v>49</v>
      </c>
      <c r="G360" s="3" t="s">
        <v>675</v>
      </c>
      <c r="H360" s="3" t="str">
        <f t="array" ref="H360">JOIN("", SORT(MID(LOWER(G360), SEQUENCE(LEN(G360)), 1)))</f>
        <v>     ,,aaabcdeeeffgghiilmnnnnrrsssuuvw</v>
      </c>
      <c r="I360" s="3" t="s">
        <v>28</v>
      </c>
      <c r="J360" s="1">
        <f t="array" ref="J360">xlookup(I360,Sheet2!A:A,Sheet2!B:B)</f>
        <v>32</v>
      </c>
      <c r="K360" s="3" t="s">
        <v>675</v>
      </c>
      <c r="L360" s="3" t="s">
        <v>35</v>
      </c>
      <c r="M360" s="1">
        <f t="array" ref="M360">xlookup(L360,Sheet2!A:A,Sheet2!B:B)</f>
        <v>45</v>
      </c>
      <c r="N360" s="3" t="s">
        <v>675</v>
      </c>
      <c r="O360" s="4" t="str">
        <f t="shared" si="1"/>
        <v>150153 : [49,32,45],</v>
      </c>
      <c r="P360" s="4" t="str">
        <f t="shared" si="2"/>
        <v>150153 : 0,</v>
      </c>
    </row>
    <row r="361">
      <c r="A361" s="3" t="s">
        <v>676</v>
      </c>
      <c r="B361" s="5">
        <v>151917.0</v>
      </c>
      <c r="C361" s="3" t="s">
        <v>459</v>
      </c>
      <c r="D361" s="1">
        <f t="array" ref="D361">xlookup(C361,Sheet3!A:A,Sheet3!B:B)</f>
        <v>0</v>
      </c>
      <c r="E361" s="3" t="s">
        <v>109</v>
      </c>
      <c r="F361" s="1">
        <f t="array" ref="F361">xlookup(E361,Sheet2!A:A,Sheet2!B:B)</f>
        <v>49</v>
      </c>
      <c r="G361" s="3" t="s">
        <v>677</v>
      </c>
      <c r="H361" s="3" t="str">
        <f t="array" ref="H361">JOIN("", SORT(MID(LOWER(G361), SEQUENCE(LEN(G361)), 1)))</f>
        <v>     ,,aaabcdeeeffgghiilmnnnnrrsssuuvw</v>
      </c>
      <c r="I361" s="3" t="s">
        <v>28</v>
      </c>
      <c r="J361" s="1">
        <f t="array" ref="J361">xlookup(I361,Sheet2!A:A,Sheet2!B:B)</f>
        <v>32</v>
      </c>
      <c r="K361" s="3" t="s">
        <v>677</v>
      </c>
      <c r="L361" s="3" t="s">
        <v>35</v>
      </c>
      <c r="M361" s="1">
        <f t="array" ref="M361">xlookup(L361,Sheet2!A:A,Sheet2!B:B)</f>
        <v>45</v>
      </c>
      <c r="N361" s="3" t="s">
        <v>677</v>
      </c>
      <c r="O361" s="4" t="str">
        <f t="shared" si="1"/>
        <v>151917 : [49,32,45],</v>
      </c>
      <c r="P361" s="4" t="str">
        <f t="shared" si="2"/>
        <v>151917 : 0,</v>
      </c>
    </row>
    <row r="362">
      <c r="A362" s="3" t="s">
        <v>678</v>
      </c>
      <c r="B362" s="5">
        <v>151672.0</v>
      </c>
      <c r="C362" s="3" t="s">
        <v>459</v>
      </c>
      <c r="D362" s="1">
        <f t="array" ref="D362">xlookup(C362,Sheet3!A:A,Sheet3!B:B)</f>
        <v>0</v>
      </c>
      <c r="E362" s="3" t="s">
        <v>96</v>
      </c>
      <c r="F362" s="1">
        <f t="array" ref="F362">xlookup(E362,Sheet2!A:A,Sheet2!B:B)</f>
        <v>47</v>
      </c>
      <c r="G362" s="3" t="s">
        <v>679</v>
      </c>
      <c r="H362" s="3" t="str">
        <f t="array" ref="H362">JOIN("", SORT(MID(LOWER(G362), SEQUENCE(LEN(G362)), 1)))</f>
        <v>   ,()adeeeeikmnnnoprrtw</v>
      </c>
      <c r="I362" s="3" t="s">
        <v>124</v>
      </c>
      <c r="J362" s="1">
        <f t="array" ref="J362">xlookup(I362,Sheet2!A:A,Sheet2!B:B)</f>
        <v>46</v>
      </c>
      <c r="K362" s="3" t="s">
        <v>679</v>
      </c>
      <c r="L362" s="3" t="s">
        <v>39</v>
      </c>
      <c r="M362" s="1">
        <f t="array" ref="M362">xlookup(L362,Sheet2!A:A,Sheet2!B:B)</f>
        <v>20</v>
      </c>
      <c r="N362" s="3" t="s">
        <v>679</v>
      </c>
      <c r="O362" s="4" t="str">
        <f t="shared" si="1"/>
        <v>151672 : [47,46,20],</v>
      </c>
      <c r="P362" s="4" t="str">
        <f t="shared" si="2"/>
        <v>151672 : 0,</v>
      </c>
    </row>
    <row r="363">
      <c r="A363" s="1" t="s">
        <v>411</v>
      </c>
      <c r="B363" s="2">
        <v>148487.0</v>
      </c>
      <c r="C363" s="1" t="s">
        <v>459</v>
      </c>
      <c r="D363" s="1">
        <f t="array" ref="D363">xlookup(C363,Sheet3!A:A,Sheet3!B:B)</f>
        <v>0</v>
      </c>
      <c r="E363" s="1" t="s">
        <v>72</v>
      </c>
      <c r="F363" s="1">
        <f t="array" ref="F363">xlookup(E363,Sheet2!A:A,Sheet2!B:B)</f>
        <v>34</v>
      </c>
      <c r="G363" s="1" t="s">
        <v>410</v>
      </c>
      <c r="H363" s="3" t="str">
        <f t="array" ref="H363">JOIN("", SORT(MID(LOWER(G363), SEQUENCE(LEN(G363)), 1)))</f>
        <v>   ,abbcdeeghiiijnnnnnorrsty</v>
      </c>
      <c r="I363" s="1" t="s">
        <v>7</v>
      </c>
      <c r="J363" s="1">
        <f t="array" ref="J363">xlookup(I363,Sheet2!A:A,Sheet2!B:B)</f>
        <v>15</v>
      </c>
      <c r="K363" s="1" t="s">
        <v>410</v>
      </c>
      <c r="L363" s="1" t="s">
        <v>10</v>
      </c>
      <c r="M363" s="1">
        <f t="array" ref="M363">xlookup(L363,Sheet2!A:A,Sheet2!B:B)</f>
        <v>9</v>
      </c>
      <c r="N363" s="1" t="s">
        <v>410</v>
      </c>
      <c r="O363" s="4" t="str">
        <f t="shared" si="1"/>
        <v>148487 : [34,15,9],</v>
      </c>
      <c r="P363" s="4" t="str">
        <f t="shared" si="2"/>
        <v>148487 : 0,</v>
      </c>
    </row>
    <row r="364">
      <c r="A364" s="3" t="s">
        <v>680</v>
      </c>
      <c r="B364" s="5">
        <v>180390.0</v>
      </c>
      <c r="C364" s="3" t="s">
        <v>459</v>
      </c>
      <c r="D364" s="1">
        <f t="array" ref="D364">xlookup(C364,Sheet3!A:A,Sheet3!B:B)</f>
        <v>0</v>
      </c>
      <c r="E364" s="3" t="s">
        <v>7</v>
      </c>
      <c r="F364" s="1">
        <f t="array" ref="F364">xlookup(E364,Sheet2!A:A,Sheet2!B:B)</f>
        <v>15</v>
      </c>
      <c r="G364" s="3" t="s">
        <v>681</v>
      </c>
      <c r="H364" s="3" t="str">
        <f t="array" ref="H364">JOIN("", SORT(MID(LOWER(G364), SEQUENCE(LEN(G364)), 1)))</f>
        <v>    ,aacccdeeegillnnoorttuy</v>
      </c>
      <c r="I364" s="3" t="s">
        <v>4</v>
      </c>
      <c r="J364" s="1">
        <f t="array" ref="J364">xlookup(I364,Sheet2!A:A,Sheet2!B:B)</f>
        <v>23</v>
      </c>
      <c r="K364" s="3" t="s">
        <v>3</v>
      </c>
      <c r="L364" s="3" t="s">
        <v>42</v>
      </c>
      <c r="M364" s="1">
        <f t="array" ref="M364">xlookup(L364,Sheet2!A:A,Sheet2!B:B)</f>
        <v>14</v>
      </c>
      <c r="N364" s="3" t="s">
        <v>3</v>
      </c>
      <c r="O364" s="4" t="str">
        <f t="shared" si="1"/>
        <v>180390 : [15,23,14],</v>
      </c>
      <c r="P364" s="4" t="str">
        <f t="shared" si="2"/>
        <v>180390 : 0,</v>
      </c>
    </row>
    <row r="365">
      <c r="A365" s="3" t="s">
        <v>682</v>
      </c>
      <c r="B365" s="5">
        <v>171656.0</v>
      </c>
      <c r="C365" s="3" t="s">
        <v>459</v>
      </c>
      <c r="D365" s="1">
        <f t="array" ref="D365">xlookup(C365,Sheet3!A:A,Sheet3!B:B)</f>
        <v>0</v>
      </c>
      <c r="E365" s="3" t="s">
        <v>20</v>
      </c>
      <c r="F365" s="1">
        <f t="array" ref="F365">xlookup(E365,Sheet2!A:A,Sheet2!B:B)</f>
        <v>48</v>
      </c>
      <c r="G365" s="3" t="s">
        <v>3</v>
      </c>
      <c r="H365" s="3" t="str">
        <f t="array" ref="H365">JOIN("", SORT(MID(LOWER(G365), SEQUENCE(LEN(G365)), 1)))</f>
        <v>an</v>
      </c>
      <c r="I365" s="3" t="s">
        <v>109</v>
      </c>
      <c r="J365" s="1">
        <f t="array" ref="J365">xlookup(I365,Sheet2!A:A,Sheet2!B:B)</f>
        <v>49</v>
      </c>
      <c r="K365" s="3" t="s">
        <v>3</v>
      </c>
      <c r="L365" s="3" t="s">
        <v>7</v>
      </c>
      <c r="M365" s="1">
        <f t="array" ref="M365">xlookup(L365,Sheet2!A:A,Sheet2!B:B)</f>
        <v>15</v>
      </c>
      <c r="N365" s="3" t="s">
        <v>455</v>
      </c>
      <c r="O365" s="4" t="str">
        <f t="shared" si="1"/>
        <v>171656 : [48,49,15],</v>
      </c>
      <c r="P365" s="4" t="str">
        <f t="shared" si="2"/>
        <v>171656 : 0,</v>
      </c>
    </row>
    <row r="366">
      <c r="A366" s="3" t="s">
        <v>683</v>
      </c>
      <c r="B366" s="5">
        <v>137855.0</v>
      </c>
      <c r="C366" s="3" t="s">
        <v>459</v>
      </c>
      <c r="D366" s="1">
        <f t="array" ref="D366">xlookup(C366,Sheet3!A:A,Sheet3!B:B)</f>
        <v>0</v>
      </c>
      <c r="E366" s="3" t="s">
        <v>9</v>
      </c>
      <c r="F366" s="1">
        <f t="array" ref="F366">xlookup(E366,Sheet2!A:A,Sheet2!B:B)</f>
        <v>5</v>
      </c>
      <c r="G366" s="3" t="s">
        <v>413</v>
      </c>
      <c r="H366" s="3" t="str">
        <f t="array" ref="H366">JOIN("", SORT(MID(LOWER(G366), SEQUENCE(LEN(G366)), 1)))</f>
        <v>    ,aaaaabbceehiiiimmnnorssuy</v>
      </c>
      <c r="I366" s="3" t="s">
        <v>76</v>
      </c>
      <c r="J366" s="1">
        <f t="array" ref="J366">xlookup(I366,Sheet2!A:A,Sheet2!B:B)</f>
        <v>24</v>
      </c>
      <c r="K366" s="3" t="s">
        <v>684</v>
      </c>
      <c r="L366" s="3" t="s">
        <v>7</v>
      </c>
      <c r="M366" s="1">
        <f t="array" ref="M366">xlookup(L366,Sheet2!A:A,Sheet2!B:B)</f>
        <v>15</v>
      </c>
      <c r="N366" s="3" t="s">
        <v>685</v>
      </c>
      <c r="O366" s="4" t="str">
        <f t="shared" si="1"/>
        <v>137855 : [5,24,15],</v>
      </c>
      <c r="P366" s="4" t="str">
        <f t="shared" si="2"/>
        <v>137855 : 0,</v>
      </c>
    </row>
    <row r="367">
      <c r="A367" s="3" t="s">
        <v>686</v>
      </c>
      <c r="B367" s="5">
        <v>323044.0</v>
      </c>
      <c r="C367" s="3" t="s">
        <v>459</v>
      </c>
      <c r="D367" s="1">
        <f t="array" ref="D367">xlookup(C367,Sheet3!A:A,Sheet3!B:B)</f>
        <v>0</v>
      </c>
      <c r="E367" s="3" t="s">
        <v>35</v>
      </c>
      <c r="F367" s="1">
        <f t="array" ref="F367">xlookup(E367,Sheet2!A:A,Sheet2!B:B)</f>
        <v>45</v>
      </c>
      <c r="G367" s="3" t="s">
        <v>687</v>
      </c>
      <c r="H367" s="3" t="str">
        <f t="array" ref="H367">JOIN("", SORT(MID(LOWER(G367), SEQUENCE(LEN(G367)), 1)))</f>
        <v>     ,,aaaaaaaaaaccdhhhhiiiiiikkklmnprrrrsstttuw</v>
      </c>
      <c r="I367" s="3" t="s">
        <v>111</v>
      </c>
      <c r="J367" s="1">
        <f t="array" ref="J367">xlookup(I367,Sheet2!A:A,Sheet2!B:B)</f>
        <v>28</v>
      </c>
      <c r="K367" s="3" t="s">
        <v>687</v>
      </c>
      <c r="L367" s="3" t="s">
        <v>114</v>
      </c>
      <c r="M367" s="1">
        <f t="array" ref="M367">xlookup(L367,Sheet2!A:A,Sheet2!B:B)</f>
        <v>12</v>
      </c>
      <c r="N367" s="3" t="s">
        <v>687</v>
      </c>
      <c r="O367" s="4" t="str">
        <f t="shared" si="1"/>
        <v>323044 : [45,28,12],</v>
      </c>
      <c r="P367" s="4" t="str">
        <f t="shared" si="2"/>
        <v>323044 : 0,</v>
      </c>
    </row>
    <row r="368">
      <c r="A368" s="3" t="s">
        <v>688</v>
      </c>
      <c r="B368" s="5">
        <v>192465.0</v>
      </c>
      <c r="C368" s="3" t="s">
        <v>459</v>
      </c>
      <c r="D368" s="1">
        <f t="array" ref="D368">xlookup(C368,Sheet3!A:A,Sheet3!B:B)</f>
        <v>0</v>
      </c>
      <c r="E368" s="3" t="s">
        <v>35</v>
      </c>
      <c r="F368" s="1">
        <f t="array" ref="F368">xlookup(E368,Sheet2!A:A,Sheet2!B:B)</f>
        <v>45</v>
      </c>
      <c r="G368" s="3" t="s">
        <v>689</v>
      </c>
      <c r="H368" s="3" t="str">
        <f t="array" ref="H368">JOIN("", SORT(MID(LOWER(G368), SEQUENCE(LEN(G368)), 1)))</f>
        <v>     ,,aaaaaaaaaaccdhhhhiiiiiikklmnprrrrrsstttuw</v>
      </c>
      <c r="I368" s="3" t="s">
        <v>111</v>
      </c>
      <c r="J368" s="1">
        <f t="array" ref="J368">xlookup(I368,Sheet2!A:A,Sheet2!B:B)</f>
        <v>28</v>
      </c>
      <c r="K368" s="3" t="s">
        <v>689</v>
      </c>
      <c r="L368" s="3" t="s">
        <v>114</v>
      </c>
      <c r="M368" s="1">
        <f t="array" ref="M368">xlookup(L368,Sheet2!A:A,Sheet2!B:B)</f>
        <v>12</v>
      </c>
      <c r="N368" s="3" t="s">
        <v>689</v>
      </c>
      <c r="O368" s="4" t="str">
        <f t="shared" si="1"/>
        <v>192465 : [45,28,12],</v>
      </c>
      <c r="P368" s="4" t="str">
        <f t="shared" si="2"/>
        <v>192465 : 0,</v>
      </c>
    </row>
    <row r="369">
      <c r="A369" s="3" t="s">
        <v>690</v>
      </c>
      <c r="B369" s="5">
        <v>110366.0</v>
      </c>
      <c r="C369" s="3" t="s">
        <v>459</v>
      </c>
      <c r="D369" s="1">
        <f t="array" ref="D369">xlookup(C369,Sheet3!A:A,Sheet3!B:B)</f>
        <v>0</v>
      </c>
      <c r="E369" s="3" t="s">
        <v>74</v>
      </c>
      <c r="F369" s="1">
        <f t="array" ref="F369">xlookup(E369,Sheet2!A:A,Sheet2!B:B)</f>
        <v>50</v>
      </c>
      <c r="G369" s="3" t="s">
        <v>691</v>
      </c>
      <c r="H369" s="3" t="str">
        <f t="array" ref="H369">JOIN("", SORT(MID(LOWER(G369), SEQUENCE(LEN(G369)), 1)))</f>
        <v>   ,aaaaaacehhillmnnnorsuy</v>
      </c>
      <c r="I369" s="3" t="s">
        <v>76</v>
      </c>
      <c r="J369" s="1">
        <f t="array" ref="J369">xlookup(I369,Sheet2!A:A,Sheet2!B:B)</f>
        <v>24</v>
      </c>
      <c r="K369" s="3" t="s">
        <v>691</v>
      </c>
      <c r="L369" s="3" t="s">
        <v>9</v>
      </c>
      <c r="M369" s="1">
        <f t="array" ref="M369">xlookup(L369,Sheet2!A:A,Sheet2!B:B)</f>
        <v>5</v>
      </c>
      <c r="N369" s="3" t="s">
        <v>691</v>
      </c>
      <c r="O369" s="4" t="str">
        <f t="shared" si="1"/>
        <v>110366 : [50,24,5],</v>
      </c>
      <c r="P369" s="4" t="str">
        <f t="shared" si="2"/>
        <v>110366 : 0,</v>
      </c>
    </row>
    <row r="370">
      <c r="A370" s="3" t="s">
        <v>692</v>
      </c>
      <c r="B370" s="5">
        <v>206812.0</v>
      </c>
      <c r="C370" s="3" t="s">
        <v>459</v>
      </c>
      <c r="D370" s="1">
        <f t="array" ref="D370">xlookup(C370,Sheet3!A:A,Sheet3!B:B)</f>
        <v>0</v>
      </c>
      <c r="E370" s="3" t="s">
        <v>28</v>
      </c>
      <c r="F370" s="1">
        <f t="array" ref="F370">xlookup(E370,Sheet2!A:A,Sheet2!B:B)</f>
        <v>32</v>
      </c>
      <c r="G370" s="3" t="s">
        <v>3</v>
      </c>
      <c r="H370" s="3" t="str">
        <f t="array" ref="H370">JOIN("", SORT(MID(LOWER(G370), SEQUENCE(LEN(G370)), 1)))</f>
        <v>an</v>
      </c>
      <c r="I370" s="3" t="s">
        <v>34</v>
      </c>
      <c r="J370" s="1">
        <f t="array" ref="J370">xlookup(I370,Sheet2!A:A,Sheet2!B:B)</f>
        <v>8</v>
      </c>
      <c r="K370" s="3" t="s">
        <v>3</v>
      </c>
      <c r="L370" s="3" t="s">
        <v>109</v>
      </c>
      <c r="M370" s="1">
        <f t="array" ref="M370">xlookup(L370,Sheet2!A:A,Sheet2!B:B)</f>
        <v>49</v>
      </c>
      <c r="N370" s="3" t="s">
        <v>3</v>
      </c>
      <c r="O370" s="4" t="str">
        <f t="shared" si="1"/>
        <v>206812 : [32,8,49],</v>
      </c>
      <c r="P370" s="4" t="str">
        <f t="shared" si="2"/>
        <v>206812 : 0,</v>
      </c>
    </row>
    <row r="371">
      <c r="A371" s="3" t="s">
        <v>693</v>
      </c>
      <c r="B371" s="5">
        <v>203326.0</v>
      </c>
      <c r="C371" s="3" t="s">
        <v>459</v>
      </c>
      <c r="D371" s="1">
        <f t="array" ref="D371">xlookup(C371,Sheet3!A:A,Sheet3!B:B)</f>
        <v>0</v>
      </c>
      <c r="E371" s="3" t="s">
        <v>9</v>
      </c>
      <c r="F371" s="1">
        <f t="array" ref="F371">xlookup(E371,Sheet2!A:A,Sheet2!B:B)</f>
        <v>5</v>
      </c>
      <c r="G371" s="3" t="s">
        <v>694</v>
      </c>
      <c r="H371" s="3" t="str">
        <f t="array" ref="H371">JOIN("", SORT(MID(LOWER(G371), SEQUENCE(LEN(G371)), 1)))</f>
        <v>   ,aaaaaaaacdghhhhiiiikllmnnnnnrtuvy</v>
      </c>
      <c r="I371" s="3" t="s">
        <v>74</v>
      </c>
      <c r="J371" s="1">
        <f t="array" ref="J371">xlookup(I371,Sheet2!A:A,Sheet2!B:B)</f>
        <v>50</v>
      </c>
      <c r="K371" s="3" t="s">
        <v>694</v>
      </c>
      <c r="L371" s="3" t="s">
        <v>10</v>
      </c>
      <c r="M371" s="1">
        <f t="array" ref="M371">xlookup(L371,Sheet2!A:A,Sheet2!B:B)</f>
        <v>9</v>
      </c>
      <c r="N371" s="3" t="s">
        <v>694</v>
      </c>
      <c r="O371" s="4" t="str">
        <f t="shared" si="1"/>
        <v>203326 : [5,50,9],</v>
      </c>
      <c r="P371" s="4" t="str">
        <f t="shared" si="2"/>
        <v>203326 : 0,</v>
      </c>
    </row>
    <row r="372">
      <c r="A372" s="3" t="s">
        <v>695</v>
      </c>
      <c r="B372" s="5">
        <v>197831.0</v>
      </c>
      <c r="C372" s="3" t="s">
        <v>459</v>
      </c>
      <c r="D372" s="1">
        <f t="array" ref="D372">xlookup(C372,Sheet3!A:A,Sheet3!B:B)</f>
        <v>0</v>
      </c>
      <c r="E372" s="3" t="s">
        <v>9</v>
      </c>
      <c r="F372" s="1">
        <f t="array" ref="F372">xlookup(E372,Sheet2!A:A,Sheet2!B:B)</f>
        <v>5</v>
      </c>
      <c r="G372" s="3" t="s">
        <v>696</v>
      </c>
      <c r="H372" s="3" t="str">
        <f t="array" ref="H372">JOIN("", SORT(MID(LOWER(G372), SEQUENCE(LEN(G372)), 1)))</f>
        <v>   ,aaaaaaaacdghhhhiiiikllmnnnnnrtuvy</v>
      </c>
      <c r="I372" s="3" t="s">
        <v>74</v>
      </c>
      <c r="J372" s="1">
        <f t="array" ref="J372">xlookup(I372,Sheet2!A:A,Sheet2!B:B)</f>
        <v>50</v>
      </c>
      <c r="K372" s="3" t="s">
        <v>696</v>
      </c>
      <c r="L372" s="3" t="s">
        <v>21</v>
      </c>
      <c r="M372" s="1">
        <f t="array" ref="M372">xlookup(L372,Sheet2!A:A,Sheet2!B:B)</f>
        <v>10</v>
      </c>
      <c r="N372" s="3" t="s">
        <v>696</v>
      </c>
      <c r="O372" s="4" t="str">
        <f t="shared" si="1"/>
        <v>197831 : [5,50,10],</v>
      </c>
      <c r="P372" s="4" t="str">
        <f t="shared" si="2"/>
        <v>197831 : 0,</v>
      </c>
    </row>
    <row r="373">
      <c r="A373" s="3" t="s">
        <v>697</v>
      </c>
      <c r="B373" s="5">
        <v>150390.0</v>
      </c>
      <c r="C373" s="3" t="s">
        <v>459</v>
      </c>
      <c r="D373" s="1">
        <f t="array" ref="D373">xlookup(C373,Sheet3!A:A,Sheet3!B:B)</f>
        <v>0</v>
      </c>
      <c r="E373" s="3" t="s">
        <v>12</v>
      </c>
      <c r="F373" s="1">
        <f t="array" ref="F373">xlookup(E373,Sheet2!A:A,Sheet2!B:B)</f>
        <v>41</v>
      </c>
      <c r="G373" s="3" t="s">
        <v>3</v>
      </c>
      <c r="H373" s="3" t="str">
        <f t="array" ref="H373">JOIN("", SORT(MID(LOWER(G373), SEQUENCE(LEN(G373)), 1)))</f>
        <v>an</v>
      </c>
      <c r="I373" s="3" t="s">
        <v>184</v>
      </c>
      <c r="J373" s="1">
        <f t="array" ref="J373">xlookup(I373,Sheet2!A:A,Sheet2!B:B)</f>
        <v>4</v>
      </c>
      <c r="K373" s="3" t="s">
        <v>3</v>
      </c>
      <c r="L373" s="3" t="s">
        <v>139</v>
      </c>
      <c r="M373" s="1">
        <f t="array" ref="M373">xlookup(L373,Sheet2!A:A,Sheet2!B:B)</f>
        <v>21</v>
      </c>
      <c r="N373" s="3" t="s">
        <v>3</v>
      </c>
      <c r="O373" s="4" t="str">
        <f t="shared" si="1"/>
        <v>150390 : [41,4,21],</v>
      </c>
      <c r="P373" s="4" t="str">
        <f t="shared" si="2"/>
        <v>150390 : 0,</v>
      </c>
    </row>
    <row r="374">
      <c r="A374" s="3" t="s">
        <v>698</v>
      </c>
      <c r="B374" s="5">
        <v>301529.0</v>
      </c>
      <c r="C374" s="3" t="s">
        <v>459</v>
      </c>
      <c r="D374" s="1">
        <f t="array" ref="D374">xlookup(C374,Sheet3!A:A,Sheet3!B:B)</f>
        <v>0</v>
      </c>
      <c r="E374" s="3" t="s">
        <v>47</v>
      </c>
      <c r="F374" s="1">
        <f t="array" ref="F374">xlookup(E374,Sheet2!A:A,Sheet2!B:B)</f>
        <v>27</v>
      </c>
      <c r="G374" s="3" t="s">
        <v>3</v>
      </c>
      <c r="H374" s="3" t="str">
        <f t="array" ref="H374">JOIN("", SORT(MID(LOWER(G374), SEQUENCE(LEN(G374)), 1)))</f>
        <v>an</v>
      </c>
      <c r="I374" s="3" t="s">
        <v>111</v>
      </c>
      <c r="J374" s="1">
        <f t="array" ref="J374">xlookup(I374,Sheet2!A:A,Sheet2!B:B)</f>
        <v>28</v>
      </c>
      <c r="K374" s="3" t="s">
        <v>3</v>
      </c>
      <c r="L374" s="3" t="s">
        <v>28</v>
      </c>
      <c r="M374" s="1">
        <f t="array" ref="M374">xlookup(L374,Sheet2!A:A,Sheet2!B:B)</f>
        <v>32</v>
      </c>
      <c r="N374" s="3" t="s">
        <v>3</v>
      </c>
      <c r="O374" s="4" t="str">
        <f t="shared" si="1"/>
        <v>301529 : [27,28,32],</v>
      </c>
      <c r="P374" s="4" t="str">
        <f t="shared" si="2"/>
        <v>301529 : 0,</v>
      </c>
    </row>
    <row r="375">
      <c r="A375" s="3" t="s">
        <v>699</v>
      </c>
      <c r="B375" s="5">
        <v>149907.0</v>
      </c>
      <c r="C375" s="3" t="s">
        <v>459</v>
      </c>
      <c r="D375" s="1">
        <f t="array" ref="D375">xlookup(C375,Sheet3!A:A,Sheet3!B:B)</f>
        <v>0</v>
      </c>
      <c r="E375" s="3" t="s">
        <v>74</v>
      </c>
      <c r="F375" s="1">
        <f t="array" ref="F375">xlookup(E375,Sheet2!A:A,Sheet2!B:B)</f>
        <v>50</v>
      </c>
      <c r="G375" s="3" t="s">
        <v>700</v>
      </c>
      <c r="H375" s="3" t="str">
        <f t="array" ref="H375">JOIN("", SORT(MID(LOWER(G375), SEQUENCE(LEN(G375)), 1)))</f>
        <v>   ,aaaaaaaeehhkklnprtttuy</v>
      </c>
      <c r="I375" s="3" t="s">
        <v>76</v>
      </c>
      <c r="J375" s="1">
        <f t="array" ref="J375">xlookup(I375,Sheet2!A:A,Sheet2!B:B)</f>
        <v>24</v>
      </c>
      <c r="K375" s="3" t="s">
        <v>700</v>
      </c>
      <c r="L375" s="3" t="s">
        <v>7</v>
      </c>
      <c r="M375" s="1">
        <f t="array" ref="M375">xlookup(L375,Sheet2!A:A,Sheet2!B:B)</f>
        <v>15</v>
      </c>
      <c r="N375" s="3" t="s">
        <v>700</v>
      </c>
      <c r="O375" s="4" t="str">
        <f t="shared" si="1"/>
        <v>149907 : [50,24,15],</v>
      </c>
      <c r="P375" s="4" t="str">
        <f t="shared" si="2"/>
        <v>149907 : 0,</v>
      </c>
    </row>
    <row r="376">
      <c r="A376" s="3" t="s">
        <v>701</v>
      </c>
      <c r="B376" s="5">
        <v>150418.0</v>
      </c>
      <c r="C376" s="3" t="s">
        <v>459</v>
      </c>
      <c r="D376" s="1">
        <f t="array" ref="D376">xlookup(C376,Sheet3!A:A,Sheet3!B:B)</f>
        <v>0</v>
      </c>
      <c r="E376" s="3" t="s">
        <v>74</v>
      </c>
      <c r="F376" s="1">
        <f t="array" ref="F376">xlookup(E376,Sheet2!A:A,Sheet2!B:B)</f>
        <v>50</v>
      </c>
      <c r="G376" s="3" t="s">
        <v>700</v>
      </c>
      <c r="H376" s="3" t="str">
        <f t="array" ref="H376">JOIN("", SORT(MID(LOWER(G376), SEQUENCE(LEN(G376)), 1)))</f>
        <v>   ,aaaaaaaeehhkklnprtttuy</v>
      </c>
      <c r="I376" s="3" t="s">
        <v>76</v>
      </c>
      <c r="J376" s="1">
        <f t="array" ref="J376">xlookup(I376,Sheet2!A:A,Sheet2!B:B)</f>
        <v>24</v>
      </c>
      <c r="K376" s="3" t="s">
        <v>700</v>
      </c>
      <c r="L376" s="3" t="s">
        <v>7</v>
      </c>
      <c r="M376" s="1">
        <f t="array" ref="M376">xlookup(L376,Sheet2!A:A,Sheet2!B:B)</f>
        <v>15</v>
      </c>
      <c r="N376" s="3" t="s">
        <v>700</v>
      </c>
      <c r="O376" s="4" t="str">
        <f t="shared" si="1"/>
        <v>150418 : [50,24,15],</v>
      </c>
      <c r="P376" s="4" t="str">
        <f t="shared" si="2"/>
        <v>150418 : 0,</v>
      </c>
    </row>
    <row r="377">
      <c r="A377" s="3" t="s">
        <v>702</v>
      </c>
      <c r="B377" s="5">
        <v>182956.0</v>
      </c>
      <c r="C377" s="3" t="s">
        <v>459</v>
      </c>
      <c r="D377" s="1">
        <f t="array" ref="D377">xlookup(C377,Sheet3!A:A,Sheet3!B:B)</f>
        <v>0</v>
      </c>
      <c r="E377" s="3" t="s">
        <v>309</v>
      </c>
      <c r="F377" s="1">
        <f t="array" ref="F377">xlookup(E377,Sheet2!A:A,Sheet2!B:B)</f>
        <v>40</v>
      </c>
      <c r="G377" s="3" t="s">
        <v>3</v>
      </c>
      <c r="H377" s="3" t="str">
        <f t="array" ref="H377">JOIN("", SORT(MID(LOWER(G377), SEQUENCE(LEN(G377)), 1)))</f>
        <v>an</v>
      </c>
      <c r="I377" s="3" t="s">
        <v>191</v>
      </c>
      <c r="J377" s="1">
        <f t="array" ref="J377">xlookup(I377,Sheet2!A:A,Sheet2!B:B)</f>
        <v>39</v>
      </c>
      <c r="K377" s="3" t="s">
        <v>3</v>
      </c>
      <c r="L377" s="3" t="s">
        <v>465</v>
      </c>
      <c r="M377" s="1">
        <f t="array" ref="M377">xlookup(L377,Sheet2!A:A,Sheet2!B:B)</f>
        <v>36</v>
      </c>
      <c r="N377" s="3" t="s">
        <v>3</v>
      </c>
      <c r="O377" s="4" t="str">
        <f t="shared" si="1"/>
        <v>182956 : [40,39,36],</v>
      </c>
      <c r="P377" s="4" t="str">
        <f t="shared" si="2"/>
        <v>182956 : 0,</v>
      </c>
    </row>
    <row r="378">
      <c r="A378" s="3" t="s">
        <v>703</v>
      </c>
      <c r="B378" s="5">
        <v>152785.0</v>
      </c>
      <c r="C378" s="3" t="s">
        <v>459</v>
      </c>
      <c r="D378" s="1">
        <f t="array" ref="D378">xlookup(C378,Sheet3!A:A,Sheet3!B:B)</f>
        <v>0</v>
      </c>
      <c r="E378" s="3" t="s">
        <v>20</v>
      </c>
      <c r="F378" s="1">
        <f t="array" ref="F378">xlookup(E378,Sheet2!A:A,Sheet2!B:B)</f>
        <v>48</v>
      </c>
      <c r="G378" s="3" t="s">
        <v>704</v>
      </c>
      <c r="H378" s="3" t="str">
        <f t="array" ref="H378">JOIN("", SORT(MID(LOWER(G378), SEQUENCE(LEN(G378)), 1)))</f>
        <v>     ,,aaaaaaaaabbddghhiiilnnrrrsstyy</v>
      </c>
      <c r="I378" s="3" t="s">
        <v>465</v>
      </c>
      <c r="J378" s="1">
        <f t="array" ref="J378">xlookup(I378,Sheet2!A:A,Sheet2!B:B)</f>
        <v>36</v>
      </c>
      <c r="K378" s="3" t="s">
        <v>3</v>
      </c>
      <c r="L378" s="3" t="s">
        <v>238</v>
      </c>
      <c r="M378" s="1">
        <f t="array" ref="M378">xlookup(L378,Sheet2!A:A,Sheet2!B:B)</f>
        <v>37</v>
      </c>
      <c r="N378" s="3" t="s">
        <v>3</v>
      </c>
      <c r="O378" s="4" t="str">
        <f t="shared" si="1"/>
        <v>152785 : [48,36,37],</v>
      </c>
      <c r="P378" s="4" t="str">
        <f t="shared" si="2"/>
        <v>152785 : 0,</v>
      </c>
    </row>
    <row r="379">
      <c r="A379" s="3" t="s">
        <v>705</v>
      </c>
      <c r="B379" s="5">
        <v>311782.0</v>
      </c>
      <c r="C379" s="3" t="s">
        <v>459</v>
      </c>
      <c r="D379" s="1">
        <f t="array" ref="D379">xlookup(C379,Sheet3!A:A,Sheet3!B:B)</f>
        <v>0</v>
      </c>
      <c r="E379" s="3" t="s">
        <v>184</v>
      </c>
      <c r="F379" s="1">
        <f t="array" ref="F379">xlookup(E379,Sheet2!A:A,Sheet2!B:B)</f>
        <v>4</v>
      </c>
      <c r="G379" s="3" t="s">
        <v>706</v>
      </c>
      <c r="H379" s="3" t="str">
        <f t="array" ref="H379">JOIN("", SORT(MID(LOWER(G379), SEQUENCE(LEN(G379)), 1)))</f>
        <v>      ,,aaaaaabbeeehhiijmmnnnnorrtttt</v>
      </c>
      <c r="I379" s="3" t="s">
        <v>64</v>
      </c>
      <c r="J379" s="1">
        <f t="array" ref="J379">xlookup(I379,Sheet2!A:A,Sheet2!B:B)</f>
        <v>30</v>
      </c>
      <c r="K379" s="3" t="s">
        <v>706</v>
      </c>
      <c r="L379" s="3" t="s">
        <v>111</v>
      </c>
      <c r="M379" s="1">
        <f t="array" ref="M379">xlookup(L379,Sheet2!A:A,Sheet2!B:B)</f>
        <v>28</v>
      </c>
      <c r="N379" s="3" t="s">
        <v>706</v>
      </c>
      <c r="O379" s="4" t="str">
        <f t="shared" si="1"/>
        <v>311782 : [4,30,28],</v>
      </c>
      <c r="P379" s="4" t="str">
        <f t="shared" si="2"/>
        <v>311782 : 0,</v>
      </c>
    </row>
    <row r="380">
      <c r="A380" s="3" t="s">
        <v>707</v>
      </c>
      <c r="B380" s="5">
        <v>197551.0</v>
      </c>
      <c r="C380" s="3" t="s">
        <v>459</v>
      </c>
      <c r="D380" s="1">
        <f t="array" ref="D380">xlookup(C380,Sheet3!A:A,Sheet3!B:B)</f>
        <v>0</v>
      </c>
      <c r="E380" s="3" t="s">
        <v>184</v>
      </c>
      <c r="F380" s="1">
        <f t="array" ref="F380">xlookup(E380,Sheet2!A:A,Sheet2!B:B)</f>
        <v>4</v>
      </c>
      <c r="G380" s="3" t="s">
        <v>708</v>
      </c>
      <c r="H380" s="3" t="str">
        <f t="array" ref="H380">JOIN("", SORT(MID(LOWER(G380), SEQUENCE(LEN(G380)), 1)))</f>
        <v>      ,,aaaaaabbeeehhiijmmnnnnorrtttt</v>
      </c>
      <c r="I380" s="3" t="s">
        <v>64</v>
      </c>
      <c r="J380" s="1">
        <f t="array" ref="J380">xlookup(I380,Sheet2!A:A,Sheet2!B:B)</f>
        <v>30</v>
      </c>
      <c r="K380" s="3" t="s">
        <v>708</v>
      </c>
      <c r="L380" s="3" t="s">
        <v>111</v>
      </c>
      <c r="M380" s="1">
        <f t="array" ref="M380">xlookup(L380,Sheet2!A:A,Sheet2!B:B)</f>
        <v>28</v>
      </c>
      <c r="N380" s="3" t="s">
        <v>708</v>
      </c>
      <c r="O380" s="4" t="str">
        <f t="shared" si="1"/>
        <v>197551 : [4,30,28],</v>
      </c>
      <c r="P380" s="4" t="str">
        <f t="shared" si="2"/>
        <v>197551 : 0,</v>
      </c>
    </row>
    <row r="381">
      <c r="A381" s="3" t="s">
        <v>709</v>
      </c>
      <c r="B381" s="5">
        <v>191634.0</v>
      </c>
      <c r="C381" s="3" t="s">
        <v>459</v>
      </c>
      <c r="D381" s="1">
        <f t="array" ref="D381">xlookup(C381,Sheet3!A:A,Sheet3!B:B)</f>
        <v>0</v>
      </c>
      <c r="E381" s="3" t="s">
        <v>184</v>
      </c>
      <c r="F381" s="1">
        <f t="array" ref="F381">xlookup(E381,Sheet2!A:A,Sheet2!B:B)</f>
        <v>4</v>
      </c>
      <c r="G381" s="3" t="s">
        <v>710</v>
      </c>
      <c r="H381" s="3" t="str">
        <f t="array" ref="H381">JOIN("", SORT(MID(LOWER(G381), SEQUENCE(LEN(G381)), 1)))</f>
        <v>      ,,aaaaaabbeeehhiijmmnnnnorrtttt</v>
      </c>
      <c r="I381" s="3" t="s">
        <v>64</v>
      </c>
      <c r="J381" s="1">
        <f t="array" ref="J381">xlookup(I381,Sheet2!A:A,Sheet2!B:B)</f>
        <v>30</v>
      </c>
      <c r="K381" s="3" t="s">
        <v>710</v>
      </c>
      <c r="L381" s="3" t="s">
        <v>111</v>
      </c>
      <c r="M381" s="1">
        <f t="array" ref="M381">xlookup(L381,Sheet2!A:A,Sheet2!B:B)</f>
        <v>28</v>
      </c>
      <c r="N381" s="3" t="s">
        <v>710</v>
      </c>
      <c r="O381" s="4" t="str">
        <f t="shared" si="1"/>
        <v>191634 : [4,30,28],</v>
      </c>
      <c r="P381" s="4" t="str">
        <f t="shared" si="2"/>
        <v>191634 : 0,</v>
      </c>
    </row>
    <row r="382">
      <c r="A382" s="3" t="s">
        <v>711</v>
      </c>
      <c r="B382" s="5">
        <v>186129.0</v>
      </c>
      <c r="C382" s="3" t="s">
        <v>459</v>
      </c>
      <c r="D382" s="1">
        <f t="array" ref="D382">xlookup(C382,Sheet3!A:A,Sheet3!B:B)</f>
        <v>0</v>
      </c>
      <c r="E382" s="3" t="s">
        <v>13</v>
      </c>
      <c r="F382" s="1">
        <f t="array" ref="F382">xlookup(E382,Sheet2!A:A,Sheet2!B:B)</f>
        <v>17</v>
      </c>
      <c r="G382" s="3" t="s">
        <v>3</v>
      </c>
      <c r="H382" s="3" t="str">
        <f t="array" ref="H382">JOIN("", SORT(MID(LOWER(G382), SEQUENCE(LEN(G382)), 1)))</f>
        <v>an</v>
      </c>
      <c r="I382" s="3" t="s">
        <v>401</v>
      </c>
      <c r="J382" s="1">
        <f t="array" ref="J382">xlookup(I382,Sheet2!A:A,Sheet2!B:B)</f>
        <v>38</v>
      </c>
      <c r="K382" s="3" t="s">
        <v>3</v>
      </c>
      <c r="L382" s="3" t="s">
        <v>5</v>
      </c>
      <c r="M382" s="1">
        <f t="array" ref="M382">xlookup(L382,Sheet2!A:A,Sheet2!B:B)</f>
        <v>35</v>
      </c>
      <c r="N382" s="3" t="s">
        <v>3</v>
      </c>
      <c r="O382" s="4" t="str">
        <f t="shared" si="1"/>
        <v>186129 : [17,38,35],</v>
      </c>
      <c r="P382" s="4" t="str">
        <f t="shared" si="2"/>
        <v>186129 : 0,</v>
      </c>
    </row>
    <row r="383">
      <c r="A383" s="3" t="s">
        <v>712</v>
      </c>
      <c r="B383" s="5">
        <v>155451.0</v>
      </c>
      <c r="C383" s="3" t="s">
        <v>459</v>
      </c>
      <c r="D383" s="1">
        <f t="array" ref="D383">xlookup(C383,Sheet3!A:A,Sheet3!B:B)</f>
        <v>0</v>
      </c>
      <c r="E383" s="3" t="s">
        <v>191</v>
      </c>
      <c r="F383" s="1">
        <f t="array" ref="F383">xlookup(E383,Sheet2!A:A,Sheet2!B:B)</f>
        <v>39</v>
      </c>
      <c r="G383" s="3" t="s">
        <v>3</v>
      </c>
      <c r="H383" s="3" t="str">
        <f t="array" ref="H383">JOIN("", SORT(MID(LOWER(G383), SEQUENCE(LEN(G383)), 1)))</f>
        <v>an</v>
      </c>
      <c r="I383" s="3" t="s">
        <v>465</v>
      </c>
      <c r="J383" s="1">
        <f t="array" ref="J383">xlookup(I383,Sheet2!A:A,Sheet2!B:B)</f>
        <v>36</v>
      </c>
      <c r="K383" s="3" t="s">
        <v>3</v>
      </c>
      <c r="L383" s="3" t="s">
        <v>309</v>
      </c>
      <c r="M383" s="1">
        <f t="array" ref="M383">xlookup(L383,Sheet2!A:A,Sheet2!B:B)</f>
        <v>40</v>
      </c>
      <c r="N383" s="3" t="s">
        <v>3</v>
      </c>
      <c r="O383" s="4" t="str">
        <f t="shared" si="1"/>
        <v>155451 : [39,36,40],</v>
      </c>
      <c r="P383" s="4" t="str">
        <f t="shared" si="2"/>
        <v>155451 : 0,</v>
      </c>
    </row>
    <row r="384">
      <c r="A384" s="3" t="s">
        <v>713</v>
      </c>
      <c r="B384" s="5">
        <v>152330.0</v>
      </c>
      <c r="C384" s="3" t="s">
        <v>459</v>
      </c>
      <c r="D384" s="1">
        <f t="array" ref="D384">xlookup(C384,Sheet3!A:A,Sheet3!B:B)</f>
        <v>0</v>
      </c>
      <c r="E384" s="3" t="s">
        <v>20</v>
      </c>
      <c r="F384" s="1">
        <f t="array" ref="F384">xlookup(E384,Sheet2!A:A,Sheet2!B:B)</f>
        <v>48</v>
      </c>
      <c r="G384" s="3" t="s">
        <v>714</v>
      </c>
      <c r="H384" s="3" t="str">
        <f t="array" ref="H384">JOIN("", SORT(MID(LOWER(G384), SEQUENCE(LEN(G384)), 1)))</f>
        <v>     ,,aaaaaaaaaaaaabcdghhiiiikkllnnnnnprrrstuuvvy</v>
      </c>
      <c r="I384" s="3" t="s">
        <v>25</v>
      </c>
      <c r="J384" s="1">
        <f t="array" ref="J384">xlookup(I384,Sheet2!A:A,Sheet2!B:B)</f>
        <v>18</v>
      </c>
      <c r="K384" s="3" t="s">
        <v>714</v>
      </c>
      <c r="L384" s="3" t="s">
        <v>34</v>
      </c>
      <c r="M384" s="1">
        <f t="array" ref="M384">xlookup(L384,Sheet2!A:A,Sheet2!B:B)</f>
        <v>8</v>
      </c>
      <c r="N384" s="3" t="s">
        <v>714</v>
      </c>
      <c r="O384" s="4" t="str">
        <f t="shared" si="1"/>
        <v>152330 : [48,18,8],</v>
      </c>
      <c r="P384" s="4" t="str">
        <f t="shared" si="2"/>
        <v>152330 : 0,</v>
      </c>
    </row>
    <row r="385">
      <c r="A385" s="3" t="s">
        <v>715</v>
      </c>
      <c r="B385" s="5">
        <v>150960.0</v>
      </c>
      <c r="C385" s="3" t="s">
        <v>459</v>
      </c>
      <c r="D385" s="1">
        <f t="array" ref="D385">xlookup(C385,Sheet3!A:A,Sheet3!B:B)</f>
        <v>0</v>
      </c>
      <c r="E385" s="3" t="s">
        <v>34</v>
      </c>
      <c r="F385" s="1">
        <f t="array" ref="F385">xlookup(E385,Sheet2!A:A,Sheet2!B:B)</f>
        <v>8</v>
      </c>
      <c r="G385" s="3" t="s">
        <v>716</v>
      </c>
      <c r="H385" s="3" t="str">
        <f t="array" ref="H385">JOIN("", SORT(MID(LOWER(G385), SEQUENCE(LEN(G385)), 1)))</f>
        <v>     ,,aaaceeeeghiklllnnnssuuvxyy</v>
      </c>
      <c r="I385" s="3" t="s">
        <v>28</v>
      </c>
      <c r="J385" s="1">
        <f t="array" ref="J385">xlookup(I385,Sheet2!A:A,Sheet2!B:B)</f>
        <v>32</v>
      </c>
      <c r="K385" s="3" t="s">
        <v>716</v>
      </c>
      <c r="L385" s="3" t="s">
        <v>401</v>
      </c>
      <c r="M385" s="1">
        <f t="array" ref="M385">xlookup(L385,Sheet2!A:A,Sheet2!B:B)</f>
        <v>38</v>
      </c>
      <c r="N385" s="3" t="s">
        <v>716</v>
      </c>
      <c r="O385" s="4" t="str">
        <f t="shared" si="1"/>
        <v>150960 : [8,32,38],</v>
      </c>
      <c r="P385" s="4" t="str">
        <f t="shared" si="2"/>
        <v>150960 : 0,</v>
      </c>
    </row>
    <row r="386">
      <c r="A386" s="3" t="s">
        <v>717</v>
      </c>
      <c r="B386" s="5">
        <v>316391.0</v>
      </c>
      <c r="C386" s="3" t="s">
        <v>459</v>
      </c>
      <c r="D386" s="1">
        <f t="array" ref="D386">xlookup(C386,Sheet3!A:A,Sheet3!B:B)</f>
        <v>0</v>
      </c>
      <c r="E386" s="3" t="s">
        <v>20</v>
      </c>
      <c r="F386" s="1">
        <f t="array" ref="F386">xlookup(E386,Sheet2!A:A,Sheet2!B:B)</f>
        <v>48</v>
      </c>
      <c r="G386" s="3" t="s">
        <v>718</v>
      </c>
      <c r="H386" s="3" t="str">
        <f t="array" ref="H386">JOIN("", SORT(MID(LOWER(G386), SEQUENCE(LEN(G386)), 1)))</f>
        <v>     ,,aaaaaaaaaaaaabcdghhiiiikkllnnnnnprrrstuuvvy</v>
      </c>
      <c r="I386" s="3" t="s">
        <v>25</v>
      </c>
      <c r="J386" s="1">
        <f t="array" ref="J386">xlookup(I386,Sheet2!A:A,Sheet2!B:B)</f>
        <v>18</v>
      </c>
      <c r="K386" s="3" t="s">
        <v>718</v>
      </c>
      <c r="L386" s="3" t="s">
        <v>34</v>
      </c>
      <c r="M386" s="1">
        <f t="array" ref="M386">xlookup(L386,Sheet2!A:A,Sheet2!B:B)</f>
        <v>8</v>
      </c>
      <c r="N386" s="3" t="s">
        <v>718</v>
      </c>
      <c r="O386" s="4" t="str">
        <f t="shared" si="1"/>
        <v>316391 : [48,18,8],</v>
      </c>
      <c r="P386" s="4" t="str">
        <f t="shared" si="2"/>
        <v>316391 : 0,</v>
      </c>
    </row>
    <row r="387">
      <c r="A387" s="3" t="s">
        <v>719</v>
      </c>
      <c r="B387" s="5">
        <v>152069.0</v>
      </c>
      <c r="C387" s="3" t="s">
        <v>459</v>
      </c>
      <c r="D387" s="1">
        <f t="array" ref="D387">xlookup(C387,Sheet3!A:A,Sheet3!B:B)</f>
        <v>0</v>
      </c>
      <c r="E387" s="3" t="s">
        <v>21</v>
      </c>
      <c r="F387" s="1">
        <f t="array" ref="F387">xlookup(E387,Sheet2!A:A,Sheet2!B:B)</f>
        <v>10</v>
      </c>
      <c r="G387" s="3" t="s">
        <v>720</v>
      </c>
      <c r="H387" s="3" t="str">
        <f t="array" ref="H387">JOIN("", SORT(MID(LOWER(G387), SEQUENCE(LEN(G387)), 1)))</f>
        <v>     ,,aaaaaaaadiiiijjklllmnnprrrrstuuuvy</v>
      </c>
      <c r="I387" s="3" t="s">
        <v>114</v>
      </c>
      <c r="J387" s="1">
        <f t="array" ref="J387">xlookup(I387,Sheet2!A:A,Sheet2!B:B)</f>
        <v>12</v>
      </c>
      <c r="K387" s="3" t="s">
        <v>720</v>
      </c>
      <c r="L387" s="3" t="s">
        <v>30</v>
      </c>
      <c r="M387" s="1">
        <f t="array" ref="M387">xlookup(L387,Sheet2!A:A,Sheet2!B:B)</f>
        <v>13</v>
      </c>
      <c r="N387" s="3" t="s">
        <v>720</v>
      </c>
      <c r="O387" s="4" t="str">
        <f t="shared" si="1"/>
        <v>152069 : [10,12,13],</v>
      </c>
      <c r="P387" s="4" t="str">
        <f t="shared" si="2"/>
        <v>152069 : 0,</v>
      </c>
    </row>
    <row r="388">
      <c r="A388" s="3" t="s">
        <v>721</v>
      </c>
      <c r="B388" s="5">
        <v>152235.0</v>
      </c>
      <c r="C388" s="3" t="s">
        <v>459</v>
      </c>
      <c r="D388" s="1">
        <f t="array" ref="D388">xlookup(C388,Sheet3!A:A,Sheet3!B:B)</f>
        <v>0</v>
      </c>
      <c r="E388" s="3" t="s">
        <v>21</v>
      </c>
      <c r="F388" s="1">
        <f t="array" ref="F388">xlookup(E388,Sheet2!A:A,Sheet2!B:B)</f>
        <v>10</v>
      </c>
      <c r="G388" s="3" t="s">
        <v>722</v>
      </c>
      <c r="H388" s="3" t="str">
        <f t="array" ref="H388">JOIN("", SORT(MID(LOWER(G388), SEQUENCE(LEN(G388)), 1)))</f>
        <v>     ,,aaaaaaaadiiiijjklllmnnprrrrstuuuvy</v>
      </c>
      <c r="I388" s="3" t="s">
        <v>114</v>
      </c>
      <c r="J388" s="1">
        <f t="array" ref="J388">xlookup(I388,Sheet2!A:A,Sheet2!B:B)</f>
        <v>12</v>
      </c>
      <c r="K388" s="3" t="s">
        <v>723</v>
      </c>
      <c r="L388" s="3" t="s">
        <v>30</v>
      </c>
      <c r="M388" s="1">
        <f t="array" ref="M388">xlookup(L388,Sheet2!A:A,Sheet2!B:B)</f>
        <v>13</v>
      </c>
      <c r="N388" s="3" t="s">
        <v>723</v>
      </c>
      <c r="O388" s="4" t="str">
        <f t="shared" si="1"/>
        <v>152235 : [10,12,13],</v>
      </c>
      <c r="P388" s="4" t="str">
        <f t="shared" si="2"/>
        <v>152235 : 0,</v>
      </c>
    </row>
    <row r="389">
      <c r="A389" s="3" t="s">
        <v>724</v>
      </c>
      <c r="B389" s="5">
        <v>183088.0</v>
      </c>
      <c r="C389" s="3" t="s">
        <v>459</v>
      </c>
      <c r="D389" s="1">
        <f t="array" ref="D389">xlookup(C389,Sheet3!A:A,Sheet3!B:B)</f>
        <v>0</v>
      </c>
      <c r="E389" s="3" t="s">
        <v>35</v>
      </c>
      <c r="F389" s="1">
        <f t="array" ref="F389">xlookup(E389,Sheet2!A:A,Sheet2!B:B)</f>
        <v>45</v>
      </c>
      <c r="G389" s="3" t="s">
        <v>725</v>
      </c>
      <c r="H389" s="3" t="str">
        <f t="array" ref="H389">JOIN("", SORT(MID(LOWER(G389), SEQUENCE(LEN(G389)), 1)))</f>
        <v>     ,,aaaaaaaaaaccdhhhhiiiiiikklmnprrrrrsstttuw</v>
      </c>
      <c r="I389" s="3" t="s">
        <v>111</v>
      </c>
      <c r="J389" s="1">
        <f t="array" ref="J389">xlookup(I389,Sheet2!A:A,Sheet2!B:B)</f>
        <v>28</v>
      </c>
      <c r="K389" s="3" t="s">
        <v>725</v>
      </c>
      <c r="L389" s="3" t="s">
        <v>114</v>
      </c>
      <c r="M389" s="1">
        <f t="array" ref="M389">xlookup(L389,Sheet2!A:A,Sheet2!B:B)</f>
        <v>12</v>
      </c>
      <c r="N389" s="3" t="s">
        <v>725</v>
      </c>
      <c r="O389" s="4" t="str">
        <f t="shared" si="1"/>
        <v>183088 : [45,28,12],</v>
      </c>
      <c r="P389" s="4" t="str">
        <f t="shared" si="2"/>
        <v>183088 : 0,</v>
      </c>
    </row>
    <row r="390">
      <c r="A390" s="3" t="s">
        <v>726</v>
      </c>
      <c r="B390" s="5">
        <v>190022.0</v>
      </c>
      <c r="C390" s="3" t="s">
        <v>459</v>
      </c>
      <c r="D390" s="1">
        <f t="array" ref="D390">xlookup(C390,Sheet3!A:A,Sheet3!B:B)</f>
        <v>0</v>
      </c>
      <c r="E390" s="3" t="s">
        <v>96</v>
      </c>
      <c r="F390" s="1">
        <f t="array" ref="F390">xlookup(E390,Sheet2!A:A,Sheet2!B:B)</f>
        <v>47</v>
      </c>
      <c r="G390" s="3" t="s">
        <v>714</v>
      </c>
      <c r="H390" s="3" t="str">
        <f t="array" ref="H390">JOIN("", SORT(MID(LOWER(G390), SEQUENCE(LEN(G390)), 1)))</f>
        <v>     ,,aaaaaaaaaaaaabcdghhiiiikkllnnnnnprrrstuuvvy</v>
      </c>
      <c r="I390" s="3" t="s">
        <v>25</v>
      </c>
      <c r="J390" s="1">
        <f t="array" ref="J390">xlookup(I390,Sheet2!A:A,Sheet2!B:B)</f>
        <v>18</v>
      </c>
      <c r="K390" s="3" t="s">
        <v>714</v>
      </c>
      <c r="L390" s="3" t="s">
        <v>34</v>
      </c>
      <c r="M390" s="1">
        <f t="array" ref="M390">xlookup(L390,Sheet2!A:A,Sheet2!B:B)</f>
        <v>8</v>
      </c>
      <c r="N390" s="3" t="s">
        <v>714</v>
      </c>
      <c r="O390" s="4" t="str">
        <f t="shared" si="1"/>
        <v>190022 : [47,18,8],</v>
      </c>
      <c r="P390" s="4" t="str">
        <f t="shared" si="2"/>
        <v>190022 : 0,</v>
      </c>
    </row>
    <row r="391">
      <c r="A391" s="3" t="s">
        <v>727</v>
      </c>
      <c r="B391" s="5">
        <v>118719.0</v>
      </c>
      <c r="C391" s="3" t="s">
        <v>459</v>
      </c>
      <c r="D391" s="1">
        <f t="array" ref="D391">xlookup(C391,Sheet3!A:A,Sheet3!B:B)</f>
        <v>0</v>
      </c>
      <c r="E391" s="3" t="s">
        <v>124</v>
      </c>
      <c r="F391" s="1">
        <f t="array" ref="F391">xlookup(E391,Sheet2!A:A,Sheet2!B:B)</f>
        <v>46</v>
      </c>
      <c r="G391" s="3" t="s">
        <v>3</v>
      </c>
      <c r="H391" s="3" t="str">
        <f t="array" ref="H391">JOIN("", SORT(MID(LOWER(G391), SEQUENCE(LEN(G391)), 1)))</f>
        <v>an</v>
      </c>
      <c r="I391" s="3" t="s">
        <v>309</v>
      </c>
      <c r="J391" s="1">
        <f t="array" ref="J391">xlookup(I391,Sheet2!A:A,Sheet2!B:B)</f>
        <v>40</v>
      </c>
      <c r="K391" s="3" t="s">
        <v>3</v>
      </c>
      <c r="L391" s="3" t="s">
        <v>465</v>
      </c>
      <c r="M391" s="1">
        <f t="array" ref="M391">xlookup(L391,Sheet2!A:A,Sheet2!B:B)</f>
        <v>36</v>
      </c>
      <c r="N391" s="3" t="s">
        <v>3</v>
      </c>
      <c r="O391" s="4" t="str">
        <f t="shared" si="1"/>
        <v>118719 : [46,40,36],</v>
      </c>
      <c r="P391" s="4" t="str">
        <f t="shared" si="2"/>
        <v>118719 : 0,</v>
      </c>
    </row>
    <row r="392">
      <c r="A392" s="3" t="s">
        <v>728</v>
      </c>
      <c r="B392" s="5">
        <v>150726.0</v>
      </c>
      <c r="C392" s="3" t="s">
        <v>459</v>
      </c>
      <c r="D392" s="1">
        <f t="array" ref="D392">xlookup(C392,Sheet3!A:A,Sheet3!B:B)</f>
        <v>0</v>
      </c>
      <c r="E392" s="3" t="s">
        <v>7</v>
      </c>
      <c r="F392" s="1">
        <f t="array" ref="F392">xlookup(E392,Sheet2!A:A,Sheet2!B:B)</f>
        <v>15</v>
      </c>
      <c r="G392" s="3" t="s">
        <v>729</v>
      </c>
      <c r="H392" s="3" t="str">
        <f t="array" ref="H392">JOIN("", SORT(MID(LOWER(G392), SEQUENCE(LEN(G392)), 1)))</f>
        <v>   -,aaacccdeeegiillmnnnoorrttuy</v>
      </c>
      <c r="I392" s="3" t="s">
        <v>309</v>
      </c>
      <c r="J392" s="1">
        <f t="array" ref="J392">xlookup(I392,Sheet2!A:A,Sheet2!B:B)</f>
        <v>40</v>
      </c>
      <c r="K392" s="3" t="s">
        <v>3</v>
      </c>
      <c r="L392" s="3" t="s">
        <v>21</v>
      </c>
      <c r="M392" s="1">
        <f t="array" ref="M392">xlookup(L392,Sheet2!A:A,Sheet2!B:B)</f>
        <v>10</v>
      </c>
      <c r="N392" s="3" t="s">
        <v>455</v>
      </c>
      <c r="O392" s="4" t="str">
        <f t="shared" si="1"/>
        <v>150726 : [15,40,10],</v>
      </c>
      <c r="P392" s="4" t="str">
        <f t="shared" si="2"/>
        <v>150726 : 0,</v>
      </c>
    </row>
    <row r="393">
      <c r="A393" s="3" t="s">
        <v>730</v>
      </c>
      <c r="B393" s="5">
        <v>326007.0</v>
      </c>
      <c r="C393" s="3" t="s">
        <v>459</v>
      </c>
      <c r="D393" s="1">
        <f t="array" ref="D393">xlookup(C393,Sheet3!A:A,Sheet3!B:B)</f>
        <v>0</v>
      </c>
      <c r="E393" s="3" t="s">
        <v>465</v>
      </c>
      <c r="F393" s="1">
        <f t="array" ref="F393">xlookup(E393,Sheet2!A:A,Sheet2!B:B)</f>
        <v>36</v>
      </c>
      <c r="G393" s="3" t="s">
        <v>3</v>
      </c>
      <c r="H393" s="3" t="str">
        <f t="array" ref="H393">JOIN("", SORT(MID(LOWER(G393), SEQUENCE(LEN(G393)), 1)))</f>
        <v>an</v>
      </c>
      <c r="I393" s="3" t="s">
        <v>309</v>
      </c>
      <c r="J393" s="1">
        <f t="array" ref="J393">xlookup(I393,Sheet2!A:A,Sheet2!B:B)</f>
        <v>40</v>
      </c>
      <c r="K393" s="3" t="s">
        <v>3</v>
      </c>
      <c r="L393" s="3" t="s">
        <v>401</v>
      </c>
      <c r="M393" s="1">
        <f t="array" ref="M393">xlookup(L393,Sheet2!A:A,Sheet2!B:B)</f>
        <v>38</v>
      </c>
      <c r="N393" s="3" t="s">
        <v>3</v>
      </c>
      <c r="O393" s="4" t="str">
        <f t="shared" si="1"/>
        <v>326007 : [36,40,38],</v>
      </c>
      <c r="P393" s="4" t="str">
        <f t="shared" si="2"/>
        <v>326007 : 0,</v>
      </c>
    </row>
    <row r="394">
      <c r="A394" s="3" t="s">
        <v>731</v>
      </c>
      <c r="B394" s="5">
        <v>306546.0</v>
      </c>
      <c r="C394" s="3" t="s">
        <v>459</v>
      </c>
      <c r="D394" s="1">
        <f t="array" ref="D394">xlookup(C394,Sheet3!A:A,Sheet3!B:B)</f>
        <v>0</v>
      </c>
      <c r="E394" s="3" t="s">
        <v>9</v>
      </c>
      <c r="F394" s="1">
        <f t="array" ref="F394">xlookup(E394,Sheet2!A:A,Sheet2!B:B)</f>
        <v>5</v>
      </c>
      <c r="G394" s="3" t="s">
        <v>732</v>
      </c>
      <c r="H394" s="3" t="str">
        <f t="array" ref="H394">JOIN("", SORT(MID(LOWER(G394), SEQUENCE(LEN(G394)), 1)))</f>
        <v>   ,aaaaaabbdeehijjmnnnnoorrrsssuu</v>
      </c>
      <c r="I394" s="3" t="s">
        <v>7</v>
      </c>
      <c r="J394" s="1">
        <f t="array" ref="J394">xlookup(I394,Sheet2!A:A,Sheet2!B:B)</f>
        <v>15</v>
      </c>
      <c r="K394" s="3" t="s">
        <v>732</v>
      </c>
      <c r="L394" s="3" t="s">
        <v>5</v>
      </c>
      <c r="M394" s="1">
        <f t="array" ref="M394">xlookup(L394,Sheet2!A:A,Sheet2!B:B)</f>
        <v>35</v>
      </c>
      <c r="N394" s="3" t="s">
        <v>3</v>
      </c>
      <c r="O394" s="4" t="str">
        <f t="shared" si="1"/>
        <v>306546 : [5,15,35],</v>
      </c>
      <c r="P394" s="4" t="str">
        <f t="shared" si="2"/>
        <v>306546 : 0,</v>
      </c>
    </row>
    <row r="395">
      <c r="A395" s="3" t="s">
        <v>733</v>
      </c>
      <c r="B395" s="5">
        <v>149693.0</v>
      </c>
      <c r="C395" s="3" t="s">
        <v>459</v>
      </c>
      <c r="D395" s="1">
        <f t="array" ref="D395">xlookup(C395,Sheet3!A:A,Sheet3!B:B)</f>
        <v>0</v>
      </c>
      <c r="E395" s="3" t="s">
        <v>401</v>
      </c>
      <c r="F395" s="1">
        <f t="array" ref="F395">xlookup(E395,Sheet2!A:A,Sheet2!B:B)</f>
        <v>38</v>
      </c>
      <c r="G395" s="3" t="s">
        <v>3</v>
      </c>
      <c r="H395" s="3" t="str">
        <f t="array" ref="H395">JOIN("", SORT(MID(LOWER(G395), SEQUENCE(LEN(G395)), 1)))</f>
        <v>an</v>
      </c>
      <c r="I395" s="3" t="s">
        <v>465</v>
      </c>
      <c r="J395" s="1">
        <f t="array" ref="J395">xlookup(I395,Sheet2!A:A,Sheet2!B:B)</f>
        <v>36</v>
      </c>
      <c r="K395" s="3" t="s">
        <v>3</v>
      </c>
      <c r="L395" s="3" t="s">
        <v>96</v>
      </c>
      <c r="M395" s="1">
        <f t="array" ref="M395">xlookup(L395,Sheet2!A:A,Sheet2!B:B)</f>
        <v>47</v>
      </c>
      <c r="N395" s="3" t="s">
        <v>734</v>
      </c>
      <c r="O395" s="4" t="str">
        <f t="shared" si="1"/>
        <v>149693 : [38,36,47],</v>
      </c>
      <c r="P395" s="4" t="str">
        <f t="shared" si="2"/>
        <v>149693 : 0,</v>
      </c>
    </row>
    <row r="396">
      <c r="A396" s="3" t="s">
        <v>735</v>
      </c>
      <c r="B396" s="5">
        <v>209153.0</v>
      </c>
      <c r="C396" s="3" t="s">
        <v>459</v>
      </c>
      <c r="D396" s="1">
        <f t="array" ref="D396">xlookup(C396,Sheet3!A:A,Sheet3!B:B)</f>
        <v>0</v>
      </c>
      <c r="E396" s="3" t="s">
        <v>124</v>
      </c>
      <c r="F396" s="1">
        <f t="array" ref="F396">xlookup(E396,Sheet2!A:A,Sheet2!B:B)</f>
        <v>46</v>
      </c>
      <c r="G396" s="3" t="s">
        <v>3</v>
      </c>
      <c r="H396" s="3" t="str">
        <f t="array" ref="H396">JOIN("", SORT(MID(LOWER(G396), SEQUENCE(LEN(G396)), 1)))</f>
        <v>an</v>
      </c>
      <c r="I396" s="3" t="s">
        <v>9</v>
      </c>
      <c r="J396" s="1">
        <f t="array" ref="J396">xlookup(I396,Sheet2!A:A,Sheet2!B:B)</f>
        <v>5</v>
      </c>
      <c r="K396" s="3" t="s">
        <v>3</v>
      </c>
      <c r="L396" s="3" t="s">
        <v>20</v>
      </c>
      <c r="M396" s="1">
        <f t="array" ref="M396">xlookup(L396,Sheet2!A:A,Sheet2!B:B)</f>
        <v>48</v>
      </c>
      <c r="N396" s="3" t="s">
        <v>3</v>
      </c>
      <c r="O396" s="4" t="str">
        <f t="shared" si="1"/>
        <v>209153 : [46,5,48],</v>
      </c>
      <c r="P396" s="4" t="str">
        <f t="shared" si="2"/>
        <v>209153 : 0,</v>
      </c>
    </row>
    <row r="397">
      <c r="A397" s="3" t="s">
        <v>736</v>
      </c>
      <c r="B397" s="5">
        <v>151773.0</v>
      </c>
      <c r="C397" s="3" t="s">
        <v>459</v>
      </c>
      <c r="D397" s="1">
        <f t="array" ref="D397">xlookup(C397,Sheet3!A:A,Sheet3!B:B)</f>
        <v>0</v>
      </c>
      <c r="E397" s="3" t="s">
        <v>72</v>
      </c>
      <c r="F397" s="1">
        <f t="array" ref="F397">xlookup(E397,Sheet2!A:A,Sheet2!B:B)</f>
        <v>34</v>
      </c>
      <c r="G397" s="3" t="s">
        <v>737</v>
      </c>
      <c r="H397" s="3" t="str">
        <f t="array" ref="H397">JOIN("", SORT(MID(LOWER(G397), SEQUENCE(LEN(G397)), 1)))</f>
        <v>     ,,aaabceeillmnnnorrstuuuxxy</v>
      </c>
      <c r="I397" s="3" t="s">
        <v>12</v>
      </c>
      <c r="J397" s="1">
        <f t="array" ref="J397">xlookup(I397,Sheet2!A:A,Sheet2!B:B)</f>
        <v>41</v>
      </c>
      <c r="K397" s="3" t="s">
        <v>3</v>
      </c>
      <c r="L397" s="3" t="s">
        <v>96</v>
      </c>
      <c r="M397" s="1">
        <f t="array" ref="M397">xlookup(L397,Sheet2!A:A,Sheet2!B:B)</f>
        <v>47</v>
      </c>
      <c r="N397" s="3" t="s">
        <v>3</v>
      </c>
      <c r="O397" s="4" t="str">
        <f t="shared" si="1"/>
        <v>151773 : [34,41,47],</v>
      </c>
      <c r="P397" s="4" t="str">
        <f t="shared" si="2"/>
        <v>151773 : 0,</v>
      </c>
    </row>
    <row r="398">
      <c r="A398" s="3" t="s">
        <v>738</v>
      </c>
      <c r="B398" s="5">
        <v>190963.0</v>
      </c>
      <c r="C398" s="3" t="s">
        <v>459</v>
      </c>
      <c r="D398" s="1">
        <f t="array" ref="D398">xlookup(C398,Sheet3!A:A,Sheet3!B:B)</f>
        <v>0</v>
      </c>
      <c r="E398" s="3" t="s">
        <v>184</v>
      </c>
      <c r="F398" s="1">
        <f t="array" ref="F398">xlookup(E398,Sheet2!A:A,Sheet2!B:B)</f>
        <v>4</v>
      </c>
      <c r="G398" s="3" t="s">
        <v>3</v>
      </c>
      <c r="H398" s="3" t="str">
        <f t="array" ref="H398">JOIN("", SORT(MID(LOWER(G398), SEQUENCE(LEN(G398)), 1)))</f>
        <v>an</v>
      </c>
      <c r="I398" s="3" t="s">
        <v>34</v>
      </c>
      <c r="J398" s="1">
        <f t="array" ref="J398">xlookup(I398,Sheet2!A:A,Sheet2!B:B)</f>
        <v>8</v>
      </c>
      <c r="K398" s="3" t="s">
        <v>3</v>
      </c>
      <c r="L398" s="3" t="s">
        <v>16</v>
      </c>
      <c r="M398" s="1">
        <f t="array" ref="M398">xlookup(L398,Sheet2!A:A,Sheet2!B:B)</f>
        <v>3</v>
      </c>
      <c r="N398" s="3" t="s">
        <v>3</v>
      </c>
      <c r="O398" s="4" t="str">
        <f t="shared" si="1"/>
        <v>190963 : [4,8,3],</v>
      </c>
      <c r="P398" s="4" t="str">
        <f t="shared" si="2"/>
        <v>190963 : 0,</v>
      </c>
    </row>
    <row r="399">
      <c r="A399" s="3" t="s">
        <v>739</v>
      </c>
      <c r="B399" s="5">
        <v>317882.0</v>
      </c>
      <c r="C399" s="3" t="s">
        <v>459</v>
      </c>
      <c r="D399" s="1">
        <f t="array" ref="D399">xlookup(C399,Sheet3!A:A,Sheet3!B:B)</f>
        <v>0</v>
      </c>
      <c r="E399" s="3" t="s">
        <v>34</v>
      </c>
      <c r="F399" s="1">
        <f t="array" ref="F399">xlookup(E399,Sheet2!A:A,Sheet2!B:B)</f>
        <v>8</v>
      </c>
      <c r="G399" s="3" t="s">
        <v>740</v>
      </c>
      <c r="H399" s="3" t="str">
        <f t="array" ref="H399">JOIN("", SORT(MID(LOWER(G399), SEQUENCE(LEN(G399)), 1)))</f>
        <v>   ,aaaagghhiillnnnoquuy</v>
      </c>
      <c r="I399" s="3" t="s">
        <v>72</v>
      </c>
      <c r="J399" s="1">
        <f t="array" ref="J399">xlookup(I399,Sheet2!A:A,Sheet2!B:B)</f>
        <v>34</v>
      </c>
      <c r="K399" s="3" t="s">
        <v>740</v>
      </c>
      <c r="L399" s="3" t="s">
        <v>96</v>
      </c>
      <c r="M399" s="1">
        <f t="array" ref="M399">xlookup(L399,Sheet2!A:A,Sheet2!B:B)</f>
        <v>47</v>
      </c>
      <c r="N399" s="3" t="s">
        <v>740</v>
      </c>
      <c r="O399" s="4" t="str">
        <f t="shared" si="1"/>
        <v>317882 : [8,34,47],</v>
      </c>
      <c r="P399" s="4" t="str">
        <f t="shared" si="2"/>
        <v>317882 : 0,</v>
      </c>
    </row>
    <row r="400">
      <c r="A400" s="3" t="s">
        <v>741</v>
      </c>
      <c r="B400" s="5">
        <v>124385.0</v>
      </c>
      <c r="C400" s="3" t="s">
        <v>459</v>
      </c>
      <c r="D400" s="1">
        <f t="array" ref="D400">xlookup(C400,Sheet3!A:A,Sheet3!B:B)</f>
        <v>0</v>
      </c>
      <c r="E400" s="3" t="s">
        <v>309</v>
      </c>
      <c r="F400" s="1">
        <f t="array" ref="F400">xlookup(E400,Sheet2!A:A,Sheet2!B:B)</f>
        <v>40</v>
      </c>
      <c r="G400" s="10" t="s">
        <v>3</v>
      </c>
      <c r="H400" s="3" t="str">
        <f t="array" ref="H400">JOIN("", SORT(MID(LOWER(G400), SEQUENCE(LEN(G400)), 1)))</f>
        <v>an</v>
      </c>
      <c r="I400" s="3" t="s">
        <v>191</v>
      </c>
      <c r="J400" s="1">
        <f t="array" ref="J400">xlookup(I400,Sheet2!A:A,Sheet2!B:B)</f>
        <v>39</v>
      </c>
      <c r="K400" s="10" t="s">
        <v>3</v>
      </c>
      <c r="L400" s="3" t="s">
        <v>465</v>
      </c>
      <c r="M400" s="1">
        <f t="array" ref="M400">xlookup(L400,Sheet2!A:A,Sheet2!B:B)</f>
        <v>36</v>
      </c>
      <c r="N400" s="10" t="s">
        <v>3</v>
      </c>
      <c r="O400" s="4" t="str">
        <f t="shared" si="1"/>
        <v>124385 : [40,39,36],</v>
      </c>
      <c r="P400" s="4" t="str">
        <f t="shared" si="2"/>
        <v>124385 : 0,</v>
      </c>
    </row>
    <row r="401">
      <c r="A401" s="3" t="s">
        <v>742</v>
      </c>
      <c r="B401" s="5">
        <v>188888.0</v>
      </c>
      <c r="C401" s="3" t="s">
        <v>459</v>
      </c>
      <c r="D401" s="1">
        <f t="array" ref="D401">xlookup(C401,Sheet3!A:A,Sheet3!B:B)</f>
        <v>0</v>
      </c>
      <c r="E401" s="3" t="s">
        <v>76</v>
      </c>
      <c r="F401" s="1">
        <f t="array" ref="F401">xlookup(E401,Sheet2!A:A,Sheet2!B:B)</f>
        <v>24</v>
      </c>
      <c r="G401" s="3" t="s">
        <v>743</v>
      </c>
      <c r="H401" s="3" t="str">
        <f t="array" ref="H401">JOIN("", SORT(MID(LOWER(G401), SEQUENCE(LEN(G401)), 1)))</f>
        <v>   ,aadeegghhjlllmmnnnnooosyy</v>
      </c>
      <c r="I401" s="3" t="s">
        <v>74</v>
      </c>
      <c r="J401" s="1">
        <f t="array" ref="J401">xlookup(I401,Sheet2!A:A,Sheet2!B:B)</f>
        <v>50</v>
      </c>
      <c r="K401" s="3" t="s">
        <v>743</v>
      </c>
      <c r="L401" s="3" t="s">
        <v>10</v>
      </c>
      <c r="M401" s="1">
        <f t="array" ref="M401">xlookup(L401,Sheet2!A:A,Sheet2!B:B)</f>
        <v>9</v>
      </c>
      <c r="N401" s="3" t="s">
        <v>743</v>
      </c>
      <c r="O401" s="4" t="str">
        <f t="shared" si="1"/>
        <v>188888 : [24,50,9],</v>
      </c>
      <c r="P401" s="4" t="str">
        <f t="shared" si="2"/>
        <v>188888 : 0,</v>
      </c>
    </row>
    <row r="402">
      <c r="A402" s="3" t="s">
        <v>744</v>
      </c>
      <c r="B402" s="5">
        <v>188232.0</v>
      </c>
      <c r="C402" s="3" t="s">
        <v>459</v>
      </c>
      <c r="D402" s="1">
        <f t="array" ref="D402">xlookup(C402,Sheet3!A:A,Sheet3!B:B)</f>
        <v>0</v>
      </c>
      <c r="E402" s="3" t="s">
        <v>21</v>
      </c>
      <c r="F402" s="1">
        <f t="array" ref="F402">xlookup(E402,Sheet2!A:A,Sheet2!B:B)</f>
        <v>10</v>
      </c>
      <c r="G402" s="3" t="s">
        <v>745</v>
      </c>
      <c r="H402" s="3" t="str">
        <f t="array" ref="H402">JOIN("", SORT(MID(LOWER(G402), SEQUENCE(LEN(G402)), 1)))</f>
        <v>     ,,aaaaaaaadiiiijjklllmnnprrrrstuuuvy</v>
      </c>
      <c r="I402" s="3" t="s">
        <v>114</v>
      </c>
      <c r="J402" s="1">
        <f t="array" ref="J402">xlookup(I402,Sheet2!A:A,Sheet2!B:B)</f>
        <v>12</v>
      </c>
      <c r="K402" s="3" t="s">
        <v>745</v>
      </c>
      <c r="L402" s="3" t="s">
        <v>30</v>
      </c>
      <c r="M402" s="1">
        <f t="array" ref="M402">xlookup(L402,Sheet2!A:A,Sheet2!B:B)</f>
        <v>13</v>
      </c>
      <c r="N402" s="3" t="s">
        <v>745</v>
      </c>
      <c r="O402" s="4" t="str">
        <f t="shared" si="1"/>
        <v>188232 : [10,12,13],</v>
      </c>
      <c r="P402" s="4" t="str">
        <f t="shared" si="2"/>
        <v>188232 : 0,</v>
      </c>
    </row>
    <row r="403">
      <c r="A403" s="3" t="s">
        <v>746</v>
      </c>
      <c r="B403" s="5">
        <v>169390.0</v>
      </c>
      <c r="C403" s="3" t="s">
        <v>459</v>
      </c>
      <c r="D403" s="1">
        <f t="array" ref="D403">xlookup(C403,Sheet3!A:A,Sheet3!B:B)</f>
        <v>0</v>
      </c>
      <c r="E403" s="3" t="s">
        <v>238</v>
      </c>
      <c r="F403" s="1">
        <f t="array" ref="F403">xlookup(E403,Sheet2!A:A,Sheet2!B:B)</f>
        <v>37</v>
      </c>
      <c r="G403" s="3" t="s">
        <v>3</v>
      </c>
      <c r="H403" s="3" t="str">
        <f t="array" ref="H403">JOIN("", SORT(MID(LOWER(G403), SEQUENCE(LEN(G403)), 1)))</f>
        <v>an</v>
      </c>
      <c r="I403" s="3" t="s">
        <v>39</v>
      </c>
      <c r="J403" s="1">
        <f t="array" ref="J403">xlookup(I403,Sheet2!A:A,Sheet2!B:B)</f>
        <v>20</v>
      </c>
      <c r="K403" s="3" t="s">
        <v>3</v>
      </c>
      <c r="L403" s="3" t="s">
        <v>20</v>
      </c>
      <c r="M403" s="1">
        <f t="array" ref="M403">xlookup(L403,Sheet2!A:A,Sheet2!B:B)</f>
        <v>48</v>
      </c>
      <c r="N403" s="3" t="s">
        <v>3</v>
      </c>
      <c r="O403" s="4" t="str">
        <f t="shared" si="1"/>
        <v>169390 : [37,20,48],</v>
      </c>
      <c r="P403" s="4" t="str">
        <f t="shared" si="2"/>
        <v>169390 : 0,</v>
      </c>
    </row>
    <row r="404">
      <c r="A404" s="3" t="s">
        <v>747</v>
      </c>
      <c r="B404" s="5">
        <v>151671.0</v>
      </c>
      <c r="C404" s="3" t="s">
        <v>459</v>
      </c>
      <c r="D404" s="1">
        <f t="array" ref="D404">xlookup(C404,Sheet3!A:A,Sheet3!B:B)</f>
        <v>0</v>
      </c>
      <c r="E404" s="3" t="s">
        <v>238</v>
      </c>
      <c r="F404" s="1">
        <f t="array" ref="F404">xlookup(E404,Sheet2!A:A,Sheet2!B:B)</f>
        <v>37</v>
      </c>
      <c r="G404" s="3" t="s">
        <v>748</v>
      </c>
      <c r="H404" s="3" t="str">
        <f t="array" ref="H404">JOIN("", SORT(MID(LOWER(G404), SEQUENCE(LEN(G404)), 1)))</f>
        <v>   ,aaaadeehkkmnpprrrttww</v>
      </c>
      <c r="I404" s="3" t="s">
        <v>7</v>
      </c>
      <c r="J404" s="1">
        <f t="array" ref="J404">xlookup(I404,Sheet2!A:A,Sheet2!B:B)</f>
        <v>15</v>
      </c>
      <c r="K404" s="3" t="s">
        <v>749</v>
      </c>
      <c r="L404" s="3" t="s">
        <v>109</v>
      </c>
      <c r="M404" s="1">
        <f t="array" ref="M404">xlookup(L404,Sheet2!A:A,Sheet2!B:B)</f>
        <v>49</v>
      </c>
      <c r="N404" s="3" t="s">
        <v>749</v>
      </c>
      <c r="O404" s="4" t="str">
        <f t="shared" si="1"/>
        <v>151671 : [37,15,49],</v>
      </c>
      <c r="P404" s="4" t="str">
        <f t="shared" si="2"/>
        <v>151671 : 0,</v>
      </c>
    </row>
    <row r="405">
      <c r="A405" s="3" t="s">
        <v>750</v>
      </c>
      <c r="B405" s="5">
        <v>118755.0</v>
      </c>
      <c r="C405" s="3" t="s">
        <v>459</v>
      </c>
      <c r="D405" s="1">
        <f t="array" ref="D405">xlookup(C405,Sheet3!A:A,Sheet3!B:B)</f>
        <v>0</v>
      </c>
      <c r="E405" s="3" t="s">
        <v>96</v>
      </c>
      <c r="F405" s="1">
        <f t="array" ref="F405">xlookup(E405,Sheet2!A:A,Sheet2!B:B)</f>
        <v>47</v>
      </c>
      <c r="G405" s="3" t="s">
        <v>751</v>
      </c>
      <c r="H405" s="3" t="str">
        <f t="array" ref="H405">JOIN("", SORT(MID(LOWER(G405), SEQUENCE(LEN(G405)), 1)))</f>
        <v>   ,aaaaceeiinnnoopprstttvwy</v>
      </c>
      <c r="I405" s="3" t="s">
        <v>9</v>
      </c>
      <c r="J405" s="1">
        <f t="array" ref="J405">xlookup(I405,Sheet2!A:A,Sheet2!B:B)</f>
        <v>5</v>
      </c>
      <c r="K405" s="3" t="s">
        <v>752</v>
      </c>
      <c r="L405" s="3" t="s">
        <v>26</v>
      </c>
      <c r="M405" s="1">
        <f t="array" ref="M405">xlookup(L405,Sheet2!A:A,Sheet2!B:B)</f>
        <v>7</v>
      </c>
      <c r="N405" s="3" t="s">
        <v>752</v>
      </c>
      <c r="O405" s="4" t="str">
        <f t="shared" si="1"/>
        <v>118755 : [47,5,7],</v>
      </c>
      <c r="P405" s="4" t="str">
        <f t="shared" si="2"/>
        <v>118755 : 0,</v>
      </c>
    </row>
    <row r="406">
      <c r="A406" s="3" t="s">
        <v>753</v>
      </c>
      <c r="B406" s="5">
        <v>205730.0</v>
      </c>
      <c r="C406" s="3" t="s">
        <v>459</v>
      </c>
      <c r="D406" s="1">
        <f t="array" ref="D406">xlookup(C406,Sheet3!A:A,Sheet3!B:B)</f>
        <v>0</v>
      </c>
      <c r="E406" s="3" t="s">
        <v>109</v>
      </c>
      <c r="F406" s="1">
        <f t="array" ref="F406">xlookup(E406,Sheet2!A:A,Sheet2!B:B)</f>
        <v>49</v>
      </c>
      <c r="G406" s="3" t="s">
        <v>754</v>
      </c>
      <c r="H406" s="3" t="str">
        <f t="array" ref="H406">JOIN("", SORT(MID(LOWER(G406), SEQUENCE(LEN(G406)), 1)))</f>
        <v>     ,,’28aaaaaaaaacddeeehhhhiiiiklmrrrsttvwyy</v>
      </c>
      <c r="I406" s="3" t="s">
        <v>47</v>
      </c>
      <c r="J406" s="1">
        <f t="array" ref="J406">xlookup(I406,Sheet2!A:A,Sheet2!B:B)</f>
        <v>27</v>
      </c>
      <c r="K406" s="3" t="s">
        <v>754</v>
      </c>
      <c r="L406" s="3" t="s">
        <v>139</v>
      </c>
      <c r="M406" s="1">
        <f t="array" ref="M406">xlookup(L406,Sheet2!A:A,Sheet2!B:B)</f>
        <v>21</v>
      </c>
      <c r="N406" s="3" t="s">
        <v>754</v>
      </c>
      <c r="O406" s="4" t="str">
        <f t="shared" si="1"/>
        <v>205730 : [49,27,21],</v>
      </c>
      <c r="P406" s="4" t="str">
        <f t="shared" si="2"/>
        <v>205730 : 0,</v>
      </c>
    </row>
    <row r="407">
      <c r="A407" s="3" t="s">
        <v>755</v>
      </c>
      <c r="B407" s="5">
        <v>317849.0</v>
      </c>
      <c r="C407" s="3" t="s">
        <v>459</v>
      </c>
      <c r="D407" s="1">
        <f t="array" ref="D407">xlookup(C407,Sheet3!A:A,Sheet3!B:B)</f>
        <v>0</v>
      </c>
      <c r="E407" s="3" t="s">
        <v>96</v>
      </c>
      <c r="F407" s="1">
        <f t="array" ref="F407">xlookup(E407,Sheet2!A:A,Sheet2!B:B)</f>
        <v>47</v>
      </c>
      <c r="G407" s="3" t="s">
        <v>756</v>
      </c>
      <c r="H407" s="3" t="str">
        <f t="array" ref="H407">JOIN("", SORT(MID(LOWER(G407), SEQUENCE(LEN(G407)), 1)))</f>
        <v>   ,.aaeeghjjkmnnooprruy</v>
      </c>
      <c r="I407" s="3" t="s">
        <v>20</v>
      </c>
      <c r="J407" s="1">
        <f t="array" ref="J407">xlookup(I407,Sheet2!A:A,Sheet2!B:B)</f>
        <v>48</v>
      </c>
      <c r="K407" s="3" t="s">
        <v>757</v>
      </c>
      <c r="L407" s="3" t="s">
        <v>12</v>
      </c>
      <c r="M407" s="1">
        <f t="array" ref="M407">xlookup(L407,Sheet2!A:A,Sheet2!B:B)</f>
        <v>41</v>
      </c>
      <c r="N407" s="3" t="s">
        <v>758</v>
      </c>
      <c r="O407" s="4" t="str">
        <f t="shared" si="1"/>
        <v>317849 : [47,48,41],</v>
      </c>
      <c r="P407" s="4" t="str">
        <f t="shared" si="2"/>
        <v>317849 : 0,</v>
      </c>
    </row>
    <row r="408">
      <c r="A408" s="3" t="s">
        <v>759</v>
      </c>
      <c r="B408" s="5">
        <v>154981.0</v>
      </c>
      <c r="C408" s="3" t="s">
        <v>459</v>
      </c>
      <c r="D408" s="1">
        <f t="array" ref="D408">xlookup(C408,Sheet3!A:A,Sheet3!B:B)</f>
        <v>0</v>
      </c>
      <c r="E408" s="3" t="s">
        <v>465</v>
      </c>
      <c r="F408" s="1">
        <f t="array" ref="F408">xlookup(E408,Sheet2!A:A,Sheet2!B:B)</f>
        <v>36</v>
      </c>
      <c r="G408" s="3" t="s">
        <v>3</v>
      </c>
      <c r="H408" s="3" t="str">
        <f t="array" ref="H408">JOIN("", SORT(MID(LOWER(G408), SEQUENCE(LEN(G408)), 1)))</f>
        <v>an</v>
      </c>
      <c r="I408" s="3" t="s">
        <v>109</v>
      </c>
      <c r="J408" s="1">
        <f t="array" ref="J408">xlookup(I408,Sheet2!A:A,Sheet2!B:B)</f>
        <v>49</v>
      </c>
      <c r="K408" s="3" t="s">
        <v>3</v>
      </c>
      <c r="L408" s="3" t="s">
        <v>35</v>
      </c>
      <c r="M408" s="1">
        <f t="array" ref="M408">xlookup(L408,Sheet2!A:A,Sheet2!B:B)</f>
        <v>45</v>
      </c>
      <c r="N408" s="3" t="s">
        <v>3</v>
      </c>
      <c r="O408" s="4" t="str">
        <f t="shared" si="1"/>
        <v>154981 : [36,49,45],</v>
      </c>
      <c r="P408" s="4" t="str">
        <f t="shared" si="2"/>
        <v>154981 : 0,</v>
      </c>
    </row>
    <row r="409">
      <c r="A409" s="3" t="s">
        <v>760</v>
      </c>
      <c r="B409" s="5">
        <v>306632.0</v>
      </c>
      <c r="C409" s="3" t="s">
        <v>459</v>
      </c>
      <c r="D409" s="1">
        <f t="array" ref="D409">xlookup(C409,Sheet3!A:A,Sheet3!B:B)</f>
        <v>0</v>
      </c>
      <c r="E409" s="3" t="s">
        <v>47</v>
      </c>
      <c r="F409" s="1">
        <f t="array" ref="F409">xlookup(E409,Sheet2!A:A,Sheet2!B:B)</f>
        <v>27</v>
      </c>
      <c r="G409" s="3" t="s">
        <v>3</v>
      </c>
      <c r="H409" s="3" t="str">
        <f t="array" ref="H409">JOIN("", SORT(MID(LOWER(G409), SEQUENCE(LEN(G409)), 1)))</f>
        <v>an</v>
      </c>
      <c r="I409" s="3" t="s">
        <v>28</v>
      </c>
      <c r="J409" s="1">
        <f t="array" ref="J409">xlookup(I409,Sheet2!A:A,Sheet2!B:B)</f>
        <v>32</v>
      </c>
      <c r="K409" s="3" t="s">
        <v>3</v>
      </c>
      <c r="L409" s="3" t="s">
        <v>109</v>
      </c>
      <c r="M409" s="1">
        <f t="array" ref="M409">xlookup(L409,Sheet2!A:A,Sheet2!B:B)</f>
        <v>49</v>
      </c>
      <c r="N409" s="3" t="s">
        <v>3</v>
      </c>
      <c r="O409" s="4" t="str">
        <f t="shared" si="1"/>
        <v>306632 : [27,32,49],</v>
      </c>
      <c r="P409" s="4" t="str">
        <f t="shared" si="2"/>
        <v>306632 : 0,</v>
      </c>
    </row>
    <row r="410">
      <c r="A410" s="3" t="s">
        <v>761</v>
      </c>
      <c r="B410" s="5">
        <v>173535.0</v>
      </c>
      <c r="C410" s="3" t="s">
        <v>459</v>
      </c>
      <c r="D410" s="1">
        <f t="array" ref="D410">xlookup(C410,Sheet3!A:A,Sheet3!B:B)</f>
        <v>0</v>
      </c>
      <c r="E410" s="3" t="s">
        <v>26</v>
      </c>
      <c r="F410" s="1">
        <f t="array" ref="F410">xlookup(E410,Sheet2!A:A,Sheet2!B:B)</f>
        <v>7</v>
      </c>
      <c r="G410" s="3" t="s">
        <v>762</v>
      </c>
      <c r="H410" s="3" t="str">
        <f t="array" ref="H410">JOIN("", SORT(MID(LOWER(G410), SEQUENCE(LEN(G410)), 1)))</f>
        <v>   ,aaaaaaabhhiiikklmnoorrsssyyz</v>
      </c>
      <c r="I410" s="3" t="s">
        <v>309</v>
      </c>
      <c r="J410" s="1">
        <f t="array" ref="J410">xlookup(I410,Sheet2!A:A,Sheet2!B:B)</f>
        <v>40</v>
      </c>
      <c r="K410" s="3" t="s">
        <v>307</v>
      </c>
      <c r="L410" s="3" t="s">
        <v>38</v>
      </c>
      <c r="M410" s="1">
        <f t="array" ref="M410">xlookup(L410,Sheet2!A:A,Sheet2!B:B)</f>
        <v>6</v>
      </c>
      <c r="N410" s="3" t="s">
        <v>763</v>
      </c>
      <c r="O410" s="4" t="str">
        <f t="shared" si="1"/>
        <v>173535 : [7,40,6],</v>
      </c>
      <c r="P410" s="4" t="str">
        <f t="shared" si="2"/>
        <v>173535 : 0,</v>
      </c>
    </row>
    <row r="411">
      <c r="A411" s="3" t="s">
        <v>764</v>
      </c>
      <c r="B411" s="5">
        <v>318933.0</v>
      </c>
      <c r="C411" s="3" t="s">
        <v>459</v>
      </c>
      <c r="D411" s="1">
        <f t="array" ref="D411">xlookup(C411,Sheet3!A:A,Sheet3!B:B)</f>
        <v>0</v>
      </c>
      <c r="E411" s="3" t="s">
        <v>238</v>
      </c>
      <c r="F411" s="1">
        <f t="array" ref="F411">xlookup(E411,Sheet2!A:A,Sheet2!B:B)</f>
        <v>37</v>
      </c>
      <c r="G411" s="3" t="s">
        <v>3</v>
      </c>
      <c r="H411" s="3" t="str">
        <f t="array" ref="H411">JOIN("", SORT(MID(LOWER(G411), SEQUENCE(LEN(G411)), 1)))</f>
        <v>an</v>
      </c>
      <c r="I411" s="3" t="s">
        <v>5</v>
      </c>
      <c r="J411" s="1">
        <f t="array" ref="J411">xlookup(I411,Sheet2!A:A,Sheet2!B:B)</f>
        <v>35</v>
      </c>
      <c r="K411" s="3" t="s">
        <v>3</v>
      </c>
      <c r="L411" s="3" t="s">
        <v>401</v>
      </c>
      <c r="M411" s="1">
        <f t="array" ref="M411">xlookup(L411,Sheet2!A:A,Sheet2!B:B)</f>
        <v>38</v>
      </c>
      <c r="N411" s="3" t="s">
        <v>3</v>
      </c>
      <c r="O411" s="4" t="str">
        <f t="shared" si="1"/>
        <v>318933 : [37,35,38],</v>
      </c>
      <c r="P411" s="4" t="str">
        <f t="shared" si="2"/>
        <v>318933 : 0,</v>
      </c>
    </row>
    <row r="412">
      <c r="A412" s="3" t="s">
        <v>765</v>
      </c>
      <c r="B412" s="5">
        <v>150359.0</v>
      </c>
      <c r="C412" s="3" t="s">
        <v>459</v>
      </c>
      <c r="D412" s="1">
        <f t="array" ref="D412">xlookup(C412,Sheet3!A:A,Sheet3!B:B)</f>
        <v>0</v>
      </c>
      <c r="E412" s="3" t="s">
        <v>20</v>
      </c>
      <c r="F412" s="1">
        <f t="array" ref="F412">xlookup(E412,Sheet2!A:A,Sheet2!B:B)</f>
        <v>48</v>
      </c>
      <c r="G412" s="3" t="s">
        <v>766</v>
      </c>
      <c r="H412" s="3" t="str">
        <f t="array" ref="H412">JOIN("", SORT(MID(LOWER(G412), SEQUENCE(LEN(G412)), 1)))</f>
        <v>     ,,aaaadeegiiijjllmnnoruuuvyyy</v>
      </c>
      <c r="I412" s="3" t="s">
        <v>35</v>
      </c>
      <c r="J412" s="1">
        <f t="array" ref="J412">xlookup(I412,Sheet2!A:A,Sheet2!B:B)</f>
        <v>45</v>
      </c>
      <c r="K412" s="3" t="s">
        <v>766</v>
      </c>
      <c r="L412" s="3" t="s">
        <v>18</v>
      </c>
      <c r="M412" s="1">
        <f t="array" ref="M412">xlookup(L412,Sheet2!A:A,Sheet2!B:B)</f>
        <v>22</v>
      </c>
      <c r="N412" s="3" t="s">
        <v>766</v>
      </c>
      <c r="O412" s="4" t="str">
        <f t="shared" si="1"/>
        <v>150359 : [48,45,22],</v>
      </c>
      <c r="P412" s="4" t="str">
        <f t="shared" si="2"/>
        <v>150359 : 0,</v>
      </c>
    </row>
    <row r="413">
      <c r="A413" s="3" t="s">
        <v>767</v>
      </c>
      <c r="B413" s="5">
        <v>151820.0</v>
      </c>
      <c r="C413" s="3" t="s">
        <v>459</v>
      </c>
      <c r="D413" s="1">
        <f t="array" ref="D413">xlookup(C413,Sheet3!A:A,Sheet3!B:B)</f>
        <v>0</v>
      </c>
      <c r="E413" s="3" t="s">
        <v>20</v>
      </c>
      <c r="F413" s="1">
        <f t="array" ref="F413">xlookup(E413,Sheet2!A:A,Sheet2!B:B)</f>
        <v>48</v>
      </c>
      <c r="G413" s="3" t="s">
        <v>768</v>
      </c>
      <c r="H413" s="3" t="str">
        <f t="array" ref="H413">JOIN("", SORT(MID(LOWER(G413), SEQUENCE(LEN(G413)), 1)))</f>
        <v>     ,,aaaadeegiiijjllmnnoruuuvyyy</v>
      </c>
      <c r="I413" s="3" t="s">
        <v>35</v>
      </c>
      <c r="J413" s="1">
        <f t="array" ref="J413">xlookup(I413,Sheet2!A:A,Sheet2!B:B)</f>
        <v>45</v>
      </c>
      <c r="K413" s="3" t="s">
        <v>768</v>
      </c>
      <c r="L413" s="3" t="s">
        <v>18</v>
      </c>
      <c r="M413" s="1">
        <f t="array" ref="M413">xlookup(L413,Sheet2!A:A,Sheet2!B:B)</f>
        <v>22</v>
      </c>
      <c r="N413" s="3" t="s">
        <v>768</v>
      </c>
      <c r="O413" s="4" t="str">
        <f t="shared" si="1"/>
        <v>151820 : [48,45,22],</v>
      </c>
      <c r="P413" s="4" t="str">
        <f t="shared" si="2"/>
        <v>151820 : 0,</v>
      </c>
    </row>
    <row r="414">
      <c r="A414" s="3" t="s">
        <v>749</v>
      </c>
      <c r="B414" s="5">
        <v>151668.0</v>
      </c>
      <c r="C414" s="3" t="s">
        <v>459</v>
      </c>
      <c r="D414" s="1">
        <f t="array" ref="D414">xlookup(C414,Sheet3!A:A,Sheet3!B:B)</f>
        <v>0</v>
      </c>
      <c r="E414" s="3" t="s">
        <v>238</v>
      </c>
      <c r="F414" s="1">
        <f t="array" ref="F414">xlookup(E414,Sheet2!A:A,Sheet2!B:B)</f>
        <v>37</v>
      </c>
      <c r="G414" s="3" t="s">
        <v>748</v>
      </c>
      <c r="H414" s="3" t="str">
        <f t="array" ref="H414">JOIN("", SORT(MID(LOWER(G414), SEQUENCE(LEN(G414)), 1)))</f>
        <v>   ,aaaadeehkkmnpprrrttww</v>
      </c>
      <c r="I414" s="3" t="s">
        <v>42</v>
      </c>
      <c r="J414" s="1">
        <f t="array" ref="J414">xlookup(I414,Sheet2!A:A,Sheet2!B:B)</f>
        <v>14</v>
      </c>
      <c r="K414" s="3" t="s">
        <v>748</v>
      </c>
      <c r="L414" s="3" t="s">
        <v>109</v>
      </c>
      <c r="M414" s="1">
        <f t="array" ref="M414">xlookup(L414,Sheet2!A:A,Sheet2!B:B)</f>
        <v>49</v>
      </c>
      <c r="N414" s="3" t="s">
        <v>748</v>
      </c>
      <c r="O414" s="4" t="str">
        <f t="shared" si="1"/>
        <v>151668 : [37,14,49],</v>
      </c>
      <c r="P414" s="4" t="str">
        <f t="shared" si="2"/>
        <v>151668 : 0,</v>
      </c>
    </row>
    <row r="415">
      <c r="A415" s="3" t="s">
        <v>769</v>
      </c>
      <c r="B415" s="5">
        <v>150361.0</v>
      </c>
      <c r="C415" s="3" t="s">
        <v>459</v>
      </c>
      <c r="D415" s="1">
        <f t="array" ref="D415">xlookup(C415,Sheet3!A:A,Sheet3!B:B)</f>
        <v>0</v>
      </c>
      <c r="E415" s="3" t="s">
        <v>191</v>
      </c>
      <c r="F415" s="1">
        <f t="array" ref="F415">xlookup(E415,Sheet2!A:A,Sheet2!B:B)</f>
        <v>39</v>
      </c>
      <c r="G415" s="3" t="s">
        <v>3</v>
      </c>
      <c r="H415" s="3" t="str">
        <f t="array" ref="H415">JOIN("", SORT(MID(LOWER(G415), SEQUENCE(LEN(G415)), 1)))</f>
        <v>an</v>
      </c>
      <c r="I415" s="3" t="s">
        <v>401</v>
      </c>
      <c r="J415" s="1">
        <f t="array" ref="J415">xlookup(I415,Sheet2!A:A,Sheet2!B:B)</f>
        <v>38</v>
      </c>
      <c r="K415" s="3" t="s">
        <v>3</v>
      </c>
      <c r="L415" s="3" t="s">
        <v>238</v>
      </c>
      <c r="M415" s="1">
        <f t="array" ref="M415">xlookup(L415,Sheet2!A:A,Sheet2!B:B)</f>
        <v>37</v>
      </c>
      <c r="N415" s="3" t="s">
        <v>3</v>
      </c>
      <c r="O415" s="4" t="str">
        <f t="shared" si="1"/>
        <v>150361 : [39,38,37],</v>
      </c>
      <c r="P415" s="4" t="str">
        <f t="shared" si="2"/>
        <v>150361 : 0,</v>
      </c>
    </row>
    <row r="416">
      <c r="A416" s="3" t="s">
        <v>770</v>
      </c>
      <c r="B416" s="5">
        <v>118943.0</v>
      </c>
      <c r="C416" s="3" t="s">
        <v>459</v>
      </c>
      <c r="D416" s="1">
        <f t="array" ref="D416">xlookup(C416,Sheet3!A:A,Sheet3!B:B)</f>
        <v>0</v>
      </c>
      <c r="E416" s="3" t="s">
        <v>111</v>
      </c>
      <c r="F416" s="1">
        <f t="array" ref="F416">xlookup(E416,Sheet2!A:A,Sheet2!B:B)</f>
        <v>28</v>
      </c>
      <c r="G416" s="3" t="s">
        <v>771</v>
      </c>
      <c r="H416" s="3" t="str">
        <f t="array" ref="H416">JOIN("", SORT(MID(LOWER(G416), SEQUENCE(LEN(G416)), 1)))</f>
        <v>    aaaaabccddeehiiikllmnnoprrsttuv</v>
      </c>
      <c r="I416" s="3" t="s">
        <v>76</v>
      </c>
      <c r="J416" s="1">
        <f t="array" ref="J416">xlookup(I416,Sheet2!A:A,Sheet2!B:B)</f>
        <v>24</v>
      </c>
      <c r="K416" s="3" t="s">
        <v>771</v>
      </c>
      <c r="L416" s="3" t="s">
        <v>114</v>
      </c>
      <c r="M416" s="1">
        <f t="array" ref="M416">xlookup(L416,Sheet2!A:A,Sheet2!B:B)</f>
        <v>12</v>
      </c>
      <c r="N416" s="3" t="s">
        <v>771</v>
      </c>
      <c r="O416" s="4" t="str">
        <f t="shared" si="1"/>
        <v>118943 : [28,24,12],</v>
      </c>
      <c r="P416" s="4" t="str">
        <f t="shared" si="2"/>
        <v>118943 : 0,</v>
      </c>
    </row>
    <row r="417">
      <c r="A417" s="3" t="s">
        <v>772</v>
      </c>
      <c r="B417" s="5">
        <v>209763.0</v>
      </c>
      <c r="C417" s="3" t="s">
        <v>459</v>
      </c>
      <c r="D417" s="1">
        <f t="array" ref="D417">xlookup(C417,Sheet3!A:A,Sheet3!B:B)</f>
        <v>0</v>
      </c>
      <c r="E417" s="3" t="s">
        <v>111</v>
      </c>
      <c r="F417" s="1">
        <f t="array" ref="F417">xlookup(E417,Sheet2!A:A,Sheet2!B:B)</f>
        <v>28</v>
      </c>
      <c r="G417" s="3" t="s">
        <v>773</v>
      </c>
      <c r="H417" s="3" t="str">
        <f t="array" ref="H417">JOIN("", SORT(MID(LOWER(G417), SEQUENCE(LEN(G417)), 1)))</f>
        <v>    aaaaabccddeehiiikllmnnoprrsttuv</v>
      </c>
      <c r="I417" s="3" t="s">
        <v>76</v>
      </c>
      <c r="J417" s="1">
        <f t="array" ref="J417">xlookup(I417,Sheet2!A:A,Sheet2!B:B)</f>
        <v>24</v>
      </c>
      <c r="K417" s="3" t="s">
        <v>773</v>
      </c>
      <c r="L417" s="3" t="s">
        <v>114</v>
      </c>
      <c r="M417" s="1">
        <f t="array" ref="M417">xlookup(L417,Sheet2!A:A,Sheet2!B:B)</f>
        <v>12</v>
      </c>
      <c r="N417" s="3" t="s">
        <v>773</v>
      </c>
      <c r="O417" s="4" t="str">
        <f t="shared" si="1"/>
        <v>209763 : [28,24,12],</v>
      </c>
      <c r="P417" s="4" t="str">
        <f t="shared" si="2"/>
        <v>209763 : 0,</v>
      </c>
    </row>
    <row r="418">
      <c r="A418" s="3" t="s">
        <v>774</v>
      </c>
      <c r="B418" s="5">
        <v>112224.0</v>
      </c>
      <c r="C418" s="3" t="s">
        <v>459</v>
      </c>
      <c r="D418" s="1">
        <f t="array" ref="D418">xlookup(C418,Sheet3!A:A,Sheet3!B:B)</f>
        <v>0</v>
      </c>
      <c r="E418" s="3" t="s">
        <v>125</v>
      </c>
      <c r="F418" s="1">
        <f t="array" ref="F418">xlookup(E418,Sheet2!A:A,Sheet2!B:B)</f>
        <v>19</v>
      </c>
      <c r="G418" s="3" t="s">
        <v>457</v>
      </c>
      <c r="H418" s="3" t="str">
        <f t="array" ref="H418">JOIN("", SORT(MID(LOWER(G418), SEQUENCE(LEN(G418)), 1)))</f>
        <v>   ,aacegghhhijnnnrrstuyz</v>
      </c>
      <c r="I418" s="3" t="s">
        <v>72</v>
      </c>
      <c r="J418" s="1">
        <f t="array" ref="J418">xlookup(I418,Sheet2!A:A,Sheet2!B:B)</f>
        <v>34</v>
      </c>
      <c r="K418" s="3" t="s">
        <v>3</v>
      </c>
      <c r="L418" s="3" t="s">
        <v>16</v>
      </c>
      <c r="M418" s="1">
        <f t="array" ref="M418">xlookup(L418,Sheet2!A:A,Sheet2!B:B)</f>
        <v>3</v>
      </c>
      <c r="N418" s="3" t="s">
        <v>3</v>
      </c>
      <c r="O418" s="4" t="str">
        <f t="shared" si="1"/>
        <v>112224 : [19,34,3],</v>
      </c>
      <c r="P418" s="4" t="str">
        <f t="shared" si="2"/>
        <v>112224 : 0,</v>
      </c>
    </row>
    <row r="419">
      <c r="A419" s="3" t="s">
        <v>775</v>
      </c>
      <c r="B419" s="5">
        <v>202086.0</v>
      </c>
      <c r="C419" s="3" t="s">
        <v>459</v>
      </c>
      <c r="D419" s="1">
        <f t="array" ref="D419">xlookup(C419,Sheet3!A:A,Sheet3!B:B)</f>
        <v>0</v>
      </c>
      <c r="E419" s="3" t="s">
        <v>212</v>
      </c>
      <c r="F419" s="1">
        <f t="array" ref="F419">xlookup(E419,Sheet2!A:A,Sheet2!B:B)</f>
        <v>2</v>
      </c>
      <c r="G419" s="3" t="s">
        <v>3</v>
      </c>
      <c r="H419" s="3" t="str">
        <f t="array" ref="H419">JOIN("", SORT(MID(LOWER(G419), SEQUENCE(LEN(G419)), 1)))</f>
        <v>an</v>
      </c>
      <c r="I419" s="3" t="s">
        <v>40</v>
      </c>
      <c r="J419" s="1">
        <f t="array" ref="J419">xlookup(I419,Sheet2!A:A,Sheet2!B:B)</f>
        <v>44</v>
      </c>
      <c r="K419" s="3" t="s">
        <v>3</v>
      </c>
      <c r="L419" s="3" t="s">
        <v>39</v>
      </c>
      <c r="M419" s="1">
        <f t="array" ref="M419">xlookup(L419,Sheet2!A:A,Sheet2!B:B)</f>
        <v>20</v>
      </c>
      <c r="N419" s="3" t="s">
        <v>3</v>
      </c>
      <c r="O419" s="4" t="str">
        <f t="shared" si="1"/>
        <v>202086 : [2,44,20],</v>
      </c>
      <c r="P419" s="4" t="str">
        <f t="shared" si="2"/>
        <v>202086 : 0,</v>
      </c>
    </row>
    <row r="420">
      <c r="A420" s="3" t="s">
        <v>776</v>
      </c>
      <c r="B420" s="5">
        <v>136461.0</v>
      </c>
      <c r="C420" s="3" t="s">
        <v>459</v>
      </c>
      <c r="D420" s="1">
        <f t="array" ref="D420">xlookup(C420,Sheet3!A:A,Sheet3!B:B)</f>
        <v>0</v>
      </c>
      <c r="E420" s="3" t="s">
        <v>96</v>
      </c>
      <c r="F420" s="1">
        <f t="array" ref="F420">xlookup(E420,Sheet2!A:A,Sheet2!B:B)</f>
        <v>47</v>
      </c>
      <c r="G420" s="3" t="s">
        <v>777</v>
      </c>
      <c r="H420" s="3" t="str">
        <f t="array" ref="H420">JOIN("", SORT(MID(LOWER(G420), SEQUENCE(LEN(G420)), 1)))</f>
        <v>    aaaaaddffghiiijllmnnnrrssstuuu</v>
      </c>
      <c r="I420" s="3" t="s">
        <v>76</v>
      </c>
      <c r="J420" s="1">
        <f t="array" ref="J420">xlookup(I420,Sheet2!A:A,Sheet2!B:B)</f>
        <v>24</v>
      </c>
      <c r="K420" s="3" t="s">
        <v>777</v>
      </c>
      <c r="L420" s="3" t="s">
        <v>74</v>
      </c>
      <c r="M420" s="1">
        <f t="array" ref="M420">xlookup(L420,Sheet2!A:A,Sheet2!B:B)</f>
        <v>50</v>
      </c>
      <c r="N420" s="3" t="s">
        <v>777</v>
      </c>
      <c r="O420" s="4" t="str">
        <f t="shared" si="1"/>
        <v>136461 : [47,24,50],</v>
      </c>
      <c r="P420" s="4" t="str">
        <f t="shared" si="2"/>
        <v>136461 : 0,</v>
      </c>
    </row>
    <row r="421">
      <c r="A421" s="3" t="s">
        <v>778</v>
      </c>
      <c r="B421" s="5">
        <v>138566.0</v>
      </c>
      <c r="C421" s="3" t="s">
        <v>459</v>
      </c>
      <c r="D421" s="1">
        <f t="array" ref="D421">xlookup(C421,Sheet3!A:A,Sheet3!B:B)</f>
        <v>0</v>
      </c>
      <c r="E421" s="3" t="s">
        <v>96</v>
      </c>
      <c r="F421" s="1">
        <f t="array" ref="F421">xlookup(E421,Sheet2!A:A,Sheet2!B:B)</f>
        <v>47</v>
      </c>
      <c r="G421" s="3" t="s">
        <v>779</v>
      </c>
      <c r="H421" s="3" t="str">
        <f t="array" ref="H421">JOIN("", SORT(MID(LOWER(G421), SEQUENCE(LEN(G421)), 1)))</f>
        <v>    aaaaaddffghiiijllmnnnrrssstuuu</v>
      </c>
      <c r="I421" s="3" t="s">
        <v>76</v>
      </c>
      <c r="J421" s="1">
        <f t="array" ref="J421">xlookup(I421,Sheet2!A:A,Sheet2!B:B)</f>
        <v>24</v>
      </c>
      <c r="K421" s="3" t="s">
        <v>779</v>
      </c>
      <c r="L421" s="3" t="s">
        <v>74</v>
      </c>
      <c r="M421" s="1">
        <f t="array" ref="M421">xlookup(L421,Sheet2!A:A,Sheet2!B:B)</f>
        <v>50</v>
      </c>
      <c r="N421" s="3" t="s">
        <v>779</v>
      </c>
      <c r="O421" s="4" t="str">
        <f t="shared" si="1"/>
        <v>138566 : [47,24,50],</v>
      </c>
      <c r="P421" s="4" t="str">
        <f t="shared" si="2"/>
        <v>138566 : 0,</v>
      </c>
    </row>
    <row r="422">
      <c r="A422" s="3" t="s">
        <v>780</v>
      </c>
      <c r="B422" s="5">
        <v>138451.0</v>
      </c>
      <c r="C422" s="3" t="s">
        <v>459</v>
      </c>
      <c r="D422" s="1">
        <f t="array" ref="D422">xlookup(C422,Sheet3!A:A,Sheet3!B:B)</f>
        <v>0</v>
      </c>
      <c r="E422" s="3" t="s">
        <v>401</v>
      </c>
      <c r="F422" s="1">
        <f t="array" ref="F422">xlookup(E422,Sheet2!A:A,Sheet2!B:B)</f>
        <v>38</v>
      </c>
      <c r="G422" s="3" t="s">
        <v>3</v>
      </c>
      <c r="H422" s="3" t="str">
        <f t="array" ref="H422">JOIN("", SORT(MID(LOWER(G422), SEQUENCE(LEN(G422)), 1)))</f>
        <v>an</v>
      </c>
      <c r="I422" s="3" t="s">
        <v>10</v>
      </c>
      <c r="J422" s="1">
        <f t="array" ref="J422">xlookup(I422,Sheet2!A:A,Sheet2!B:B)</f>
        <v>9</v>
      </c>
      <c r="K422" s="3" t="s">
        <v>3</v>
      </c>
      <c r="L422" s="3" t="s">
        <v>191</v>
      </c>
      <c r="M422" s="1">
        <f t="array" ref="M422">xlookup(L422,Sheet2!A:A,Sheet2!B:B)</f>
        <v>39</v>
      </c>
      <c r="N422" s="3" t="s">
        <v>3</v>
      </c>
      <c r="O422" s="4" t="str">
        <f t="shared" si="1"/>
        <v>138451 : [38,9,39],</v>
      </c>
      <c r="P422" s="4" t="str">
        <f t="shared" si="2"/>
        <v>138451 : 0,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/>
      <c r="C1" s="1"/>
      <c r="D1" s="1"/>
      <c r="E1" s="1"/>
      <c r="F1" s="1"/>
      <c r="G1" s="1"/>
      <c r="H1" s="3"/>
      <c r="I1" s="1"/>
      <c r="J1" s="1"/>
      <c r="K1" s="1"/>
      <c r="L1" s="1"/>
      <c r="M1" s="1"/>
      <c r="N1" s="1"/>
    </row>
    <row r="2">
      <c r="A2" s="1" t="s">
        <v>0</v>
      </c>
      <c r="B2" s="2">
        <v>124187.0</v>
      </c>
      <c r="C2" s="1" t="s">
        <v>1</v>
      </c>
      <c r="D2" s="1">
        <v>5.0</v>
      </c>
      <c r="E2" s="1" t="s">
        <v>2</v>
      </c>
      <c r="F2" s="1">
        <v>25.0</v>
      </c>
      <c r="G2" s="1" t="s">
        <v>3</v>
      </c>
      <c r="H2" s="3" t="s">
        <v>781</v>
      </c>
      <c r="I2" s="1" t="s">
        <v>4</v>
      </c>
      <c r="J2" s="1">
        <v>23.0</v>
      </c>
      <c r="K2" s="1" t="s">
        <v>3</v>
      </c>
      <c r="L2" s="1" t="s">
        <v>5</v>
      </c>
      <c r="M2" s="1">
        <v>35.0</v>
      </c>
      <c r="N2" s="1" t="s">
        <v>3</v>
      </c>
      <c r="O2" s="4" t="s">
        <v>782</v>
      </c>
      <c r="P2" s="4" t="s">
        <v>783</v>
      </c>
    </row>
    <row r="3">
      <c r="A3" s="1" t="s">
        <v>11</v>
      </c>
      <c r="B3" s="2">
        <v>118662.0</v>
      </c>
      <c r="C3" s="1" t="s">
        <v>1</v>
      </c>
      <c r="D3" s="1">
        <v>5.0</v>
      </c>
      <c r="E3" s="1" t="s">
        <v>12</v>
      </c>
      <c r="F3" s="1">
        <v>41.0</v>
      </c>
      <c r="G3" s="1" t="s">
        <v>3</v>
      </c>
      <c r="H3" s="3" t="s">
        <v>781</v>
      </c>
      <c r="I3" s="1" t="s">
        <v>4</v>
      </c>
      <c r="J3" s="1">
        <v>23.0</v>
      </c>
      <c r="K3" s="1" t="s">
        <v>3</v>
      </c>
      <c r="L3" s="1" t="s">
        <v>13</v>
      </c>
      <c r="M3" s="1">
        <v>17.0</v>
      </c>
      <c r="N3" s="1" t="s">
        <v>3</v>
      </c>
      <c r="O3" s="4" t="s">
        <v>784</v>
      </c>
      <c r="P3" s="4" t="s">
        <v>785</v>
      </c>
    </row>
    <row r="4">
      <c r="A4" s="1" t="s">
        <v>14</v>
      </c>
      <c r="B4" s="2">
        <v>180776.0</v>
      </c>
      <c r="C4" s="1" t="s">
        <v>1</v>
      </c>
      <c r="D4" s="1">
        <v>5.0</v>
      </c>
      <c r="E4" s="1" t="s">
        <v>13</v>
      </c>
      <c r="F4" s="1">
        <v>17.0</v>
      </c>
      <c r="G4" s="1" t="s">
        <v>3</v>
      </c>
      <c r="H4" s="3" t="s">
        <v>781</v>
      </c>
      <c r="I4" s="1" t="s">
        <v>15</v>
      </c>
      <c r="J4" s="1">
        <v>0.0</v>
      </c>
      <c r="K4" s="1" t="s">
        <v>3</v>
      </c>
      <c r="L4" s="1" t="s">
        <v>16</v>
      </c>
      <c r="M4" s="1">
        <v>3.0</v>
      </c>
      <c r="N4" s="1" t="s">
        <v>3</v>
      </c>
      <c r="O4" s="4" t="s">
        <v>786</v>
      </c>
      <c r="P4" s="4" t="s">
        <v>787</v>
      </c>
    </row>
    <row r="5">
      <c r="A5" s="1" t="s">
        <v>24</v>
      </c>
      <c r="B5" s="2">
        <v>154764.0</v>
      </c>
      <c r="C5" s="1" t="s">
        <v>1</v>
      </c>
      <c r="D5" s="1">
        <v>5.0</v>
      </c>
      <c r="E5" s="1" t="s">
        <v>13</v>
      </c>
      <c r="F5" s="1">
        <v>17.0</v>
      </c>
      <c r="G5" s="1" t="s">
        <v>3</v>
      </c>
      <c r="H5" s="3" t="s">
        <v>781</v>
      </c>
      <c r="I5" s="1" t="s">
        <v>25</v>
      </c>
      <c r="J5" s="1">
        <v>18.0</v>
      </c>
      <c r="K5" s="1" t="s">
        <v>3</v>
      </c>
      <c r="L5" s="1" t="s">
        <v>26</v>
      </c>
      <c r="M5" s="1">
        <v>7.0</v>
      </c>
      <c r="N5" s="1" t="s">
        <v>3</v>
      </c>
      <c r="O5" s="4" t="s">
        <v>788</v>
      </c>
      <c r="P5" s="4" t="s">
        <v>789</v>
      </c>
    </row>
    <row r="6">
      <c r="A6" s="1" t="s">
        <v>37</v>
      </c>
      <c r="B6" s="2">
        <v>125698.0</v>
      </c>
      <c r="C6" s="1" t="s">
        <v>1</v>
      </c>
      <c r="D6" s="1">
        <v>5.0</v>
      </c>
      <c r="E6" s="1" t="s">
        <v>38</v>
      </c>
      <c r="F6" s="1">
        <v>6.0</v>
      </c>
      <c r="G6" s="1" t="s">
        <v>3</v>
      </c>
      <c r="H6" s="3" t="s">
        <v>781</v>
      </c>
      <c r="I6" s="1" t="s">
        <v>39</v>
      </c>
      <c r="J6" s="1">
        <v>20.0</v>
      </c>
      <c r="K6" s="1" t="s">
        <v>3</v>
      </c>
      <c r="L6" s="1" t="s">
        <v>40</v>
      </c>
      <c r="M6" s="1">
        <v>44.0</v>
      </c>
      <c r="N6" s="1" t="s">
        <v>3</v>
      </c>
      <c r="O6" s="4" t="s">
        <v>790</v>
      </c>
      <c r="P6" s="4" t="s">
        <v>791</v>
      </c>
    </row>
    <row r="7">
      <c r="A7" s="1" t="s">
        <v>41</v>
      </c>
      <c r="B7" s="2">
        <v>116467.0</v>
      </c>
      <c r="C7" s="1" t="s">
        <v>1</v>
      </c>
      <c r="D7" s="1">
        <v>5.0</v>
      </c>
      <c r="E7" s="1" t="s">
        <v>42</v>
      </c>
      <c r="F7" s="1">
        <v>14.0</v>
      </c>
      <c r="G7" s="1" t="s">
        <v>3</v>
      </c>
      <c r="H7" s="3" t="s">
        <v>781</v>
      </c>
      <c r="I7" s="1" t="s">
        <v>5</v>
      </c>
      <c r="J7" s="1">
        <v>35.0</v>
      </c>
      <c r="K7" s="1" t="s">
        <v>3</v>
      </c>
      <c r="L7" s="1" t="s">
        <v>16</v>
      </c>
      <c r="M7" s="1">
        <v>3.0</v>
      </c>
      <c r="N7" s="1" t="s">
        <v>3</v>
      </c>
      <c r="O7" s="4" t="s">
        <v>792</v>
      </c>
      <c r="P7" s="4" t="s">
        <v>793</v>
      </c>
    </row>
    <row r="8">
      <c r="A8" s="1" t="s">
        <v>48</v>
      </c>
      <c r="B8" s="2">
        <v>116685.0</v>
      </c>
      <c r="C8" s="1" t="s">
        <v>1</v>
      </c>
      <c r="D8" s="1">
        <v>5.0</v>
      </c>
      <c r="E8" s="1" t="s">
        <v>38</v>
      </c>
      <c r="F8" s="1">
        <v>6.0</v>
      </c>
      <c r="G8" s="1" t="s">
        <v>3</v>
      </c>
      <c r="H8" s="3" t="s">
        <v>781</v>
      </c>
      <c r="I8" s="1" t="s">
        <v>4</v>
      </c>
      <c r="J8" s="1">
        <v>23.0</v>
      </c>
      <c r="K8" s="1" t="s">
        <v>3</v>
      </c>
      <c r="L8" s="1" t="s">
        <v>12</v>
      </c>
      <c r="M8" s="1">
        <v>41.0</v>
      </c>
      <c r="N8" s="1" t="s">
        <v>3</v>
      </c>
      <c r="O8" s="4" t="s">
        <v>794</v>
      </c>
      <c r="P8" s="4" t="s">
        <v>795</v>
      </c>
    </row>
    <row r="9">
      <c r="A9" s="1" t="s">
        <v>83</v>
      </c>
      <c r="B9" s="2">
        <v>118526.0</v>
      </c>
      <c r="C9" s="1" t="s">
        <v>60</v>
      </c>
      <c r="D9" s="1">
        <v>4.0</v>
      </c>
      <c r="E9" s="1" t="s">
        <v>64</v>
      </c>
      <c r="F9" s="1">
        <v>30.0</v>
      </c>
      <c r="G9" s="1" t="s">
        <v>3</v>
      </c>
      <c r="H9" s="3" t="s">
        <v>781</v>
      </c>
      <c r="I9" s="1" t="s">
        <v>61</v>
      </c>
      <c r="J9" s="1">
        <v>31.0</v>
      </c>
      <c r="K9" s="1" t="s">
        <v>3</v>
      </c>
      <c r="L9" s="1" t="s">
        <v>63</v>
      </c>
      <c r="M9" s="1">
        <v>29.0</v>
      </c>
      <c r="N9" s="1" t="s">
        <v>3</v>
      </c>
      <c r="O9" s="4" t="s">
        <v>796</v>
      </c>
      <c r="P9" s="4" t="s">
        <v>797</v>
      </c>
    </row>
    <row r="10">
      <c r="A10" s="3" t="s">
        <v>87</v>
      </c>
      <c r="B10" s="5">
        <v>110099.0</v>
      </c>
      <c r="C10" s="3" t="s">
        <v>60</v>
      </c>
      <c r="D10" s="1">
        <v>4.0</v>
      </c>
      <c r="E10" s="3" t="s">
        <v>13</v>
      </c>
      <c r="F10" s="1">
        <v>17.0</v>
      </c>
      <c r="G10" s="3" t="s">
        <v>3</v>
      </c>
      <c r="H10" s="3" t="s">
        <v>781</v>
      </c>
      <c r="I10" s="3" t="s">
        <v>12</v>
      </c>
      <c r="J10" s="1">
        <v>41.0</v>
      </c>
      <c r="K10" s="3" t="s">
        <v>3</v>
      </c>
      <c r="L10" s="3" t="s">
        <v>47</v>
      </c>
      <c r="M10" s="1">
        <v>27.0</v>
      </c>
      <c r="N10" s="3" t="s">
        <v>3</v>
      </c>
      <c r="O10" s="4" t="s">
        <v>798</v>
      </c>
      <c r="P10" s="4" t="s">
        <v>799</v>
      </c>
    </row>
    <row r="11">
      <c r="A11" s="3" t="s">
        <v>103</v>
      </c>
      <c r="B11" s="5">
        <v>306645.0</v>
      </c>
      <c r="C11" s="3" t="s">
        <v>60</v>
      </c>
      <c r="D11" s="1">
        <v>4.0</v>
      </c>
      <c r="E11" s="3" t="s">
        <v>15</v>
      </c>
      <c r="F11" s="1">
        <v>0.0</v>
      </c>
      <c r="G11" s="3" t="s">
        <v>3</v>
      </c>
      <c r="H11" s="3" t="s">
        <v>781</v>
      </c>
      <c r="I11" s="3" t="s">
        <v>16</v>
      </c>
      <c r="J11" s="1">
        <v>3.0</v>
      </c>
      <c r="K11" s="3" t="s">
        <v>3</v>
      </c>
      <c r="L11" s="3" t="s">
        <v>5</v>
      </c>
      <c r="M11" s="1">
        <v>35.0</v>
      </c>
      <c r="N11" s="3" t="s">
        <v>3</v>
      </c>
      <c r="O11" s="4" t="s">
        <v>800</v>
      </c>
      <c r="P11" s="4" t="s">
        <v>801</v>
      </c>
    </row>
    <row r="12">
      <c r="A12" s="1" t="s">
        <v>104</v>
      </c>
      <c r="B12" s="2">
        <v>323614.0</v>
      </c>
      <c r="C12" s="1" t="s">
        <v>60</v>
      </c>
      <c r="D12" s="1">
        <v>4.0</v>
      </c>
      <c r="E12" s="1" t="s">
        <v>2</v>
      </c>
      <c r="F12" s="1">
        <v>25.0</v>
      </c>
      <c r="G12" s="11" t="s">
        <v>3</v>
      </c>
      <c r="H12" s="3" t="s">
        <v>781</v>
      </c>
      <c r="I12" s="1" t="s">
        <v>39</v>
      </c>
      <c r="J12" s="1">
        <v>20.0</v>
      </c>
      <c r="K12" s="11" t="s">
        <v>3</v>
      </c>
      <c r="L12" s="1" t="s">
        <v>105</v>
      </c>
      <c r="M12" s="1">
        <v>26.0</v>
      </c>
      <c r="N12" s="11" t="s">
        <v>3</v>
      </c>
      <c r="O12" s="4" t="s">
        <v>802</v>
      </c>
      <c r="P12" s="4" t="s">
        <v>803</v>
      </c>
    </row>
    <row r="13">
      <c r="A13" s="1" t="s">
        <v>106</v>
      </c>
      <c r="B13" s="2">
        <v>110137.0</v>
      </c>
      <c r="C13" s="1" t="s">
        <v>60</v>
      </c>
      <c r="D13" s="1">
        <v>4.0</v>
      </c>
      <c r="E13" s="1" t="s">
        <v>15</v>
      </c>
      <c r="F13" s="1">
        <v>0.0</v>
      </c>
      <c r="G13" s="1" t="s">
        <v>3</v>
      </c>
      <c r="H13" s="3" t="s">
        <v>781</v>
      </c>
      <c r="I13" s="1" t="s">
        <v>16</v>
      </c>
      <c r="J13" s="1">
        <v>3.0</v>
      </c>
      <c r="K13" s="1" t="s">
        <v>3</v>
      </c>
      <c r="L13" s="1" t="s">
        <v>12</v>
      </c>
      <c r="M13" s="1">
        <v>41.0</v>
      </c>
      <c r="N13" s="1" t="s">
        <v>3</v>
      </c>
      <c r="O13" s="4" t="s">
        <v>804</v>
      </c>
      <c r="P13" s="4" t="s">
        <v>805</v>
      </c>
    </row>
    <row r="14">
      <c r="A14" s="1" t="s">
        <v>107</v>
      </c>
      <c r="B14" s="2">
        <v>152840.0</v>
      </c>
      <c r="C14" s="1" t="s">
        <v>60</v>
      </c>
      <c r="D14" s="1">
        <v>4.0</v>
      </c>
      <c r="E14" s="1" t="s">
        <v>25</v>
      </c>
      <c r="F14" s="1">
        <v>18.0</v>
      </c>
      <c r="G14" s="1" t="s">
        <v>3</v>
      </c>
      <c r="H14" s="3" t="s">
        <v>781</v>
      </c>
      <c r="I14" s="1" t="s">
        <v>30</v>
      </c>
      <c r="J14" s="1">
        <v>13.0</v>
      </c>
      <c r="K14" s="1" t="s">
        <v>3</v>
      </c>
      <c r="L14" s="1" t="s">
        <v>32</v>
      </c>
      <c r="M14" s="1">
        <v>11.0</v>
      </c>
      <c r="N14" s="1" t="s">
        <v>3</v>
      </c>
      <c r="O14" s="4" t="s">
        <v>806</v>
      </c>
      <c r="P14" s="4" t="s">
        <v>807</v>
      </c>
    </row>
    <row r="15">
      <c r="A15" s="1" t="s">
        <v>116</v>
      </c>
      <c r="B15" s="2">
        <v>145985.0</v>
      </c>
      <c r="C15" s="1" t="s">
        <v>60</v>
      </c>
      <c r="D15" s="1">
        <v>4.0</v>
      </c>
      <c r="E15" s="1" t="s">
        <v>61</v>
      </c>
      <c r="F15" s="1">
        <v>31.0</v>
      </c>
      <c r="G15" s="1" t="s">
        <v>3</v>
      </c>
      <c r="H15" s="3" t="s">
        <v>781</v>
      </c>
      <c r="I15" s="1" t="s">
        <v>64</v>
      </c>
      <c r="J15" s="1">
        <v>30.0</v>
      </c>
      <c r="K15" s="1" t="s">
        <v>3</v>
      </c>
      <c r="L15" s="1" t="s">
        <v>63</v>
      </c>
      <c r="M15" s="1">
        <v>29.0</v>
      </c>
      <c r="N15" s="1" t="s">
        <v>3</v>
      </c>
      <c r="O15" s="4" t="s">
        <v>808</v>
      </c>
      <c r="P15" s="4" t="s">
        <v>809</v>
      </c>
    </row>
    <row r="16">
      <c r="A16" s="3" t="s">
        <v>117</v>
      </c>
      <c r="B16" s="5">
        <v>311130.0</v>
      </c>
      <c r="C16" s="3" t="s">
        <v>118</v>
      </c>
      <c r="D16" s="1">
        <v>3.0</v>
      </c>
      <c r="E16" s="3" t="s">
        <v>32</v>
      </c>
      <c r="F16" s="1">
        <v>11.0</v>
      </c>
      <c r="G16" s="3" t="s">
        <v>3</v>
      </c>
      <c r="H16" s="3" t="s">
        <v>781</v>
      </c>
      <c r="I16" s="3" t="s">
        <v>34</v>
      </c>
      <c r="J16" s="1">
        <v>8.0</v>
      </c>
      <c r="K16" s="3" t="s">
        <v>3</v>
      </c>
      <c r="L16" s="3" t="s">
        <v>114</v>
      </c>
      <c r="M16" s="1">
        <v>12.0</v>
      </c>
      <c r="N16" s="3" t="s">
        <v>3</v>
      </c>
      <c r="O16" s="4" t="s">
        <v>810</v>
      </c>
      <c r="P16" s="4" t="s">
        <v>811</v>
      </c>
    </row>
    <row r="17">
      <c r="A17" s="1" t="s">
        <v>119</v>
      </c>
      <c r="B17" s="2">
        <v>126515.0</v>
      </c>
      <c r="C17" s="1" t="s">
        <v>118</v>
      </c>
      <c r="D17" s="1">
        <v>3.0</v>
      </c>
      <c r="E17" s="1" t="s">
        <v>12</v>
      </c>
      <c r="F17" s="1">
        <v>41.0</v>
      </c>
      <c r="G17" s="1" t="s">
        <v>3</v>
      </c>
      <c r="H17" s="3" t="s">
        <v>781</v>
      </c>
      <c r="I17" s="1" t="s">
        <v>120</v>
      </c>
      <c r="J17" s="1">
        <v>42.0</v>
      </c>
      <c r="K17" s="1" t="s">
        <v>3</v>
      </c>
      <c r="L17" s="1" t="s">
        <v>38</v>
      </c>
      <c r="M17" s="1">
        <v>6.0</v>
      </c>
      <c r="N17" s="1" t="s">
        <v>3</v>
      </c>
      <c r="O17" s="4" t="s">
        <v>812</v>
      </c>
      <c r="P17" s="4" t="s">
        <v>813</v>
      </c>
    </row>
    <row r="18">
      <c r="A18" s="3" t="s">
        <v>121</v>
      </c>
      <c r="B18" s="5">
        <v>153380.0</v>
      </c>
      <c r="C18" s="3" t="s">
        <v>118</v>
      </c>
      <c r="D18" s="1">
        <v>3.0</v>
      </c>
      <c r="E18" s="3" t="s">
        <v>15</v>
      </c>
      <c r="F18" s="1">
        <v>0.0</v>
      </c>
      <c r="G18" s="3" t="s">
        <v>3</v>
      </c>
      <c r="H18" s="3" t="s">
        <v>781</v>
      </c>
      <c r="I18" s="3" t="s">
        <v>16</v>
      </c>
      <c r="J18" s="1">
        <v>3.0</v>
      </c>
      <c r="K18" s="3" t="s">
        <v>3</v>
      </c>
      <c r="L18" s="3" t="s">
        <v>5</v>
      </c>
      <c r="M18" s="1">
        <v>35.0</v>
      </c>
      <c r="N18" s="3" t="s">
        <v>3</v>
      </c>
      <c r="O18" s="4" t="s">
        <v>814</v>
      </c>
      <c r="P18" s="4" t="s">
        <v>815</v>
      </c>
    </row>
    <row r="19">
      <c r="A19" s="3" t="s">
        <v>122</v>
      </c>
      <c r="B19" s="5">
        <v>111264.0</v>
      </c>
      <c r="C19" s="3" t="s">
        <v>118</v>
      </c>
      <c r="D19" s="1">
        <v>3.0</v>
      </c>
      <c r="E19" s="3" t="s">
        <v>114</v>
      </c>
      <c r="F19" s="1">
        <v>12.0</v>
      </c>
      <c r="G19" s="3" t="s">
        <v>3</v>
      </c>
      <c r="H19" s="3" t="s">
        <v>781</v>
      </c>
      <c r="I19" s="3" t="s">
        <v>30</v>
      </c>
      <c r="J19" s="1">
        <v>13.0</v>
      </c>
      <c r="K19" s="3" t="s">
        <v>3</v>
      </c>
      <c r="L19" s="3" t="s">
        <v>18</v>
      </c>
      <c r="M19" s="1">
        <v>22.0</v>
      </c>
      <c r="N19" s="3" t="s">
        <v>3</v>
      </c>
      <c r="O19" s="4" t="s">
        <v>816</v>
      </c>
      <c r="P19" s="4" t="s">
        <v>817</v>
      </c>
    </row>
    <row r="20">
      <c r="A20" s="3" t="s">
        <v>123</v>
      </c>
      <c r="B20" s="5">
        <v>145700.0</v>
      </c>
      <c r="C20" s="3" t="s">
        <v>118</v>
      </c>
      <c r="D20" s="1">
        <v>3.0</v>
      </c>
      <c r="E20" s="3" t="s">
        <v>39</v>
      </c>
      <c r="F20" s="1">
        <v>20.0</v>
      </c>
      <c r="G20" s="3" t="s">
        <v>3</v>
      </c>
      <c r="H20" s="3" t="s">
        <v>781</v>
      </c>
      <c r="I20" s="3" t="s">
        <v>124</v>
      </c>
      <c r="J20" s="1">
        <v>46.0</v>
      </c>
      <c r="K20" s="3" t="s">
        <v>3</v>
      </c>
      <c r="L20" s="3" t="s">
        <v>125</v>
      </c>
      <c r="M20" s="1">
        <v>19.0</v>
      </c>
      <c r="N20" s="3" t="s">
        <v>3</v>
      </c>
      <c r="O20" s="4" t="s">
        <v>818</v>
      </c>
      <c r="P20" s="4" t="s">
        <v>819</v>
      </c>
    </row>
    <row r="21">
      <c r="A21" s="1" t="s">
        <v>126</v>
      </c>
      <c r="B21" s="2">
        <v>136758.0</v>
      </c>
      <c r="C21" s="1" t="s">
        <v>118</v>
      </c>
      <c r="D21" s="1">
        <v>3.0</v>
      </c>
      <c r="E21" s="1" t="s">
        <v>12</v>
      </c>
      <c r="F21" s="1">
        <v>41.0</v>
      </c>
      <c r="G21" s="1" t="s">
        <v>3</v>
      </c>
      <c r="H21" s="3" t="s">
        <v>781</v>
      </c>
      <c r="I21" s="1" t="s">
        <v>4</v>
      </c>
      <c r="J21" s="1">
        <v>23.0</v>
      </c>
      <c r="K21" s="1" t="s">
        <v>3</v>
      </c>
      <c r="L21" s="1" t="s">
        <v>13</v>
      </c>
      <c r="M21" s="1">
        <v>17.0</v>
      </c>
      <c r="N21" s="1" t="s">
        <v>3</v>
      </c>
      <c r="O21" s="4" t="s">
        <v>820</v>
      </c>
      <c r="P21" s="4" t="s">
        <v>821</v>
      </c>
    </row>
    <row r="22">
      <c r="A22" s="1" t="s">
        <v>149</v>
      </c>
      <c r="B22" s="2">
        <v>110400.0</v>
      </c>
      <c r="C22" s="1" t="s">
        <v>118</v>
      </c>
      <c r="D22" s="1">
        <v>3.0</v>
      </c>
      <c r="E22" s="1" t="s">
        <v>34</v>
      </c>
      <c r="F22" s="1">
        <v>8.0</v>
      </c>
      <c r="G22" s="1" t="s">
        <v>3</v>
      </c>
      <c r="H22" s="3" t="s">
        <v>781</v>
      </c>
      <c r="I22" s="1" t="s">
        <v>20</v>
      </c>
      <c r="J22" s="1">
        <v>48.0</v>
      </c>
      <c r="K22" s="1" t="s">
        <v>3</v>
      </c>
      <c r="L22" s="1" t="s">
        <v>4</v>
      </c>
      <c r="M22" s="1">
        <v>23.0</v>
      </c>
      <c r="N22" s="1" t="s">
        <v>3</v>
      </c>
      <c r="O22" s="4" t="s">
        <v>822</v>
      </c>
      <c r="P22" s="4" t="s">
        <v>823</v>
      </c>
    </row>
    <row r="23">
      <c r="A23" s="1" t="s">
        <v>157</v>
      </c>
      <c r="B23" s="2">
        <v>150236.0</v>
      </c>
      <c r="C23" s="1" t="s">
        <v>153</v>
      </c>
      <c r="D23" s="1">
        <v>2.0</v>
      </c>
      <c r="E23" s="1" t="s">
        <v>2</v>
      </c>
      <c r="F23" s="1">
        <v>25.0</v>
      </c>
      <c r="G23" s="1" t="s">
        <v>3</v>
      </c>
      <c r="H23" s="3" t="s">
        <v>781</v>
      </c>
      <c r="I23" s="1" t="s">
        <v>105</v>
      </c>
      <c r="J23" s="1">
        <v>26.0</v>
      </c>
      <c r="K23" s="1" t="s">
        <v>3</v>
      </c>
      <c r="L23" s="1" t="s">
        <v>120</v>
      </c>
      <c r="M23" s="1">
        <v>42.0</v>
      </c>
      <c r="N23" s="1" t="s">
        <v>3</v>
      </c>
      <c r="O23" s="4" t="s">
        <v>824</v>
      </c>
      <c r="P23" s="4" t="s">
        <v>825</v>
      </c>
    </row>
    <row r="24">
      <c r="A24" s="1" t="s">
        <v>158</v>
      </c>
      <c r="B24" s="2">
        <v>162386.0</v>
      </c>
      <c r="C24" s="1" t="s">
        <v>153</v>
      </c>
      <c r="D24" s="1">
        <v>2.0</v>
      </c>
      <c r="E24" s="1" t="s">
        <v>16</v>
      </c>
      <c r="F24" s="1">
        <v>3.0</v>
      </c>
      <c r="G24" s="1" t="s">
        <v>3</v>
      </c>
      <c r="H24" s="3" t="s">
        <v>781</v>
      </c>
      <c r="I24" s="1" t="s">
        <v>15</v>
      </c>
      <c r="J24" s="1">
        <v>0.0</v>
      </c>
      <c r="K24" s="1" t="s">
        <v>3</v>
      </c>
      <c r="L24" s="1" t="s">
        <v>5</v>
      </c>
      <c r="M24" s="1">
        <v>35.0</v>
      </c>
      <c r="N24" s="1" t="s">
        <v>3</v>
      </c>
      <c r="O24" s="4" t="s">
        <v>826</v>
      </c>
      <c r="P24" s="4" t="s">
        <v>827</v>
      </c>
    </row>
    <row r="25">
      <c r="A25" s="1" t="s">
        <v>159</v>
      </c>
      <c r="B25" s="2">
        <v>319194.0</v>
      </c>
      <c r="C25" s="1" t="s">
        <v>153</v>
      </c>
      <c r="D25" s="1">
        <v>2.0</v>
      </c>
      <c r="E25" s="1" t="s">
        <v>21</v>
      </c>
      <c r="F25" s="1">
        <v>10.0</v>
      </c>
      <c r="G25" s="1" t="s">
        <v>3</v>
      </c>
      <c r="H25" s="3" t="s">
        <v>781</v>
      </c>
      <c r="I25" s="1" t="s">
        <v>20</v>
      </c>
      <c r="J25" s="1">
        <v>48.0</v>
      </c>
      <c r="K25" s="1" t="s">
        <v>3</v>
      </c>
      <c r="L25" s="1" t="s">
        <v>26</v>
      </c>
      <c r="M25" s="1">
        <v>7.0</v>
      </c>
      <c r="N25" s="1" t="s">
        <v>3</v>
      </c>
      <c r="O25" s="4" t="s">
        <v>828</v>
      </c>
      <c r="P25" s="4" t="s">
        <v>829</v>
      </c>
    </row>
    <row r="26">
      <c r="A26" s="1" t="s">
        <v>162</v>
      </c>
      <c r="B26" s="2">
        <v>155629.0</v>
      </c>
      <c r="C26" s="1" t="s">
        <v>153</v>
      </c>
      <c r="D26" s="1">
        <v>2.0</v>
      </c>
      <c r="E26" s="1" t="s">
        <v>16</v>
      </c>
      <c r="F26" s="1">
        <v>3.0</v>
      </c>
      <c r="G26" s="1" t="s">
        <v>3</v>
      </c>
      <c r="H26" s="3" t="s">
        <v>781</v>
      </c>
      <c r="I26" s="1" t="s">
        <v>5</v>
      </c>
      <c r="J26" s="1">
        <v>35.0</v>
      </c>
      <c r="K26" s="1" t="s">
        <v>3</v>
      </c>
      <c r="L26" s="1" t="s">
        <v>15</v>
      </c>
      <c r="M26" s="1">
        <v>0.0</v>
      </c>
      <c r="N26" s="1" t="s">
        <v>3</v>
      </c>
      <c r="O26" s="4" t="s">
        <v>830</v>
      </c>
      <c r="P26" s="4" t="s">
        <v>831</v>
      </c>
    </row>
    <row r="27">
      <c r="A27" s="1" t="s">
        <v>163</v>
      </c>
      <c r="B27" s="2">
        <v>118860.0</v>
      </c>
      <c r="C27" s="1" t="s">
        <v>153</v>
      </c>
      <c r="D27" s="1">
        <v>2.0</v>
      </c>
      <c r="E27" s="1" t="s">
        <v>105</v>
      </c>
      <c r="F27" s="1">
        <v>26.0</v>
      </c>
      <c r="G27" s="1" t="s">
        <v>3</v>
      </c>
      <c r="H27" s="3" t="s">
        <v>781</v>
      </c>
      <c r="I27" s="1" t="s">
        <v>4</v>
      </c>
      <c r="J27" s="1">
        <v>23.0</v>
      </c>
      <c r="K27" s="1" t="s">
        <v>3</v>
      </c>
      <c r="L27" s="1" t="s">
        <v>2</v>
      </c>
      <c r="M27" s="1">
        <v>25.0</v>
      </c>
      <c r="N27" s="1" t="s">
        <v>3</v>
      </c>
      <c r="O27" s="4" t="s">
        <v>832</v>
      </c>
      <c r="P27" s="4" t="s">
        <v>833</v>
      </c>
    </row>
    <row r="28">
      <c r="A28" s="1" t="s">
        <v>166</v>
      </c>
      <c r="B28" s="2">
        <v>308141.0</v>
      </c>
      <c r="C28" s="1" t="s">
        <v>153</v>
      </c>
      <c r="D28" s="1">
        <v>2.0</v>
      </c>
      <c r="E28" s="1" t="s">
        <v>40</v>
      </c>
      <c r="F28" s="1">
        <v>44.0</v>
      </c>
      <c r="G28" s="1" t="s">
        <v>3</v>
      </c>
      <c r="H28" s="3" t="s">
        <v>781</v>
      </c>
      <c r="I28" s="1" t="s">
        <v>38</v>
      </c>
      <c r="J28" s="1">
        <v>6.0</v>
      </c>
      <c r="K28" s="1" t="s">
        <v>3</v>
      </c>
      <c r="L28" s="1" t="s">
        <v>167</v>
      </c>
      <c r="M28" s="1">
        <v>33.0</v>
      </c>
      <c r="N28" s="1" t="s">
        <v>3</v>
      </c>
      <c r="O28" s="4" t="s">
        <v>834</v>
      </c>
      <c r="P28" s="4" t="s">
        <v>835</v>
      </c>
    </row>
    <row r="29">
      <c r="A29" s="1" t="s">
        <v>181</v>
      </c>
      <c r="B29" s="2">
        <v>151889.0</v>
      </c>
      <c r="C29" s="1" t="s">
        <v>153</v>
      </c>
      <c r="D29" s="1">
        <v>2.0</v>
      </c>
      <c r="E29" s="1" t="s">
        <v>124</v>
      </c>
      <c r="F29" s="1">
        <v>46.0</v>
      </c>
      <c r="G29" s="1" t="s">
        <v>3</v>
      </c>
      <c r="H29" s="3" t="s">
        <v>781</v>
      </c>
      <c r="I29" s="1" t="s">
        <v>16</v>
      </c>
      <c r="J29" s="1">
        <v>3.0</v>
      </c>
      <c r="K29" s="1" t="s">
        <v>3</v>
      </c>
      <c r="L29" s="1" t="s">
        <v>105</v>
      </c>
      <c r="M29" s="1">
        <v>26.0</v>
      </c>
      <c r="N29" s="1" t="s">
        <v>3</v>
      </c>
      <c r="O29" s="4" t="s">
        <v>836</v>
      </c>
      <c r="P29" s="4" t="s">
        <v>837</v>
      </c>
    </row>
    <row r="30">
      <c r="A30" s="1" t="s">
        <v>190</v>
      </c>
      <c r="B30" s="2">
        <v>180335.0</v>
      </c>
      <c r="C30" s="1" t="s">
        <v>153</v>
      </c>
      <c r="D30" s="1">
        <v>2.0</v>
      </c>
      <c r="E30" s="1" t="s">
        <v>76</v>
      </c>
      <c r="F30" s="1">
        <v>24.0</v>
      </c>
      <c r="G30" s="1" t="s">
        <v>3</v>
      </c>
      <c r="H30" s="3" t="s">
        <v>781</v>
      </c>
      <c r="I30" s="1" t="s">
        <v>96</v>
      </c>
      <c r="J30" s="1">
        <v>47.0</v>
      </c>
      <c r="K30" s="1" t="s">
        <v>3</v>
      </c>
      <c r="L30" s="1" t="s">
        <v>191</v>
      </c>
      <c r="M30" s="1">
        <v>39.0</v>
      </c>
      <c r="N30" s="1" t="s">
        <v>3</v>
      </c>
      <c r="O30" s="4" t="s">
        <v>838</v>
      </c>
      <c r="P30" s="4" t="s">
        <v>839</v>
      </c>
    </row>
    <row r="31">
      <c r="A31" s="1" t="s">
        <v>199</v>
      </c>
      <c r="B31" s="2">
        <v>128793.0</v>
      </c>
      <c r="C31" s="1" t="s">
        <v>153</v>
      </c>
      <c r="D31" s="1">
        <v>2.0</v>
      </c>
      <c r="E31" s="1" t="s">
        <v>42</v>
      </c>
      <c r="F31" s="1">
        <v>14.0</v>
      </c>
      <c r="G31" s="1" t="s">
        <v>3</v>
      </c>
      <c r="H31" s="3" t="s">
        <v>781</v>
      </c>
      <c r="I31" s="1" t="s">
        <v>16</v>
      </c>
      <c r="J31" s="1">
        <v>3.0</v>
      </c>
      <c r="K31" s="1" t="s">
        <v>3</v>
      </c>
      <c r="L31" s="1" t="s">
        <v>4</v>
      </c>
      <c r="M31" s="1">
        <v>23.0</v>
      </c>
      <c r="N31" s="1" t="s">
        <v>3</v>
      </c>
      <c r="O31" s="4" t="s">
        <v>840</v>
      </c>
      <c r="P31" s="4" t="s">
        <v>841</v>
      </c>
    </row>
    <row r="32">
      <c r="A32" s="1" t="s">
        <v>200</v>
      </c>
      <c r="B32" s="2">
        <v>119687.0</v>
      </c>
      <c r="C32" s="1" t="s">
        <v>153</v>
      </c>
      <c r="D32" s="1">
        <v>2.0</v>
      </c>
      <c r="E32" s="1" t="s">
        <v>4</v>
      </c>
      <c r="F32" s="1">
        <v>23.0</v>
      </c>
      <c r="G32" s="1" t="s">
        <v>3</v>
      </c>
      <c r="H32" s="3" t="s">
        <v>781</v>
      </c>
      <c r="I32" s="1" t="s">
        <v>13</v>
      </c>
      <c r="J32" s="1">
        <v>17.0</v>
      </c>
      <c r="K32" s="1" t="s">
        <v>3</v>
      </c>
      <c r="L32" s="1" t="s">
        <v>63</v>
      </c>
      <c r="M32" s="1">
        <v>29.0</v>
      </c>
      <c r="N32" s="1" t="s">
        <v>3</v>
      </c>
      <c r="O32" s="4" t="s">
        <v>842</v>
      </c>
      <c r="P32" s="4" t="s">
        <v>843</v>
      </c>
    </row>
    <row r="33">
      <c r="A33" s="1" t="s">
        <v>201</v>
      </c>
      <c r="B33" s="2">
        <v>187156.0</v>
      </c>
      <c r="C33" s="1" t="s">
        <v>153</v>
      </c>
      <c r="D33" s="1">
        <v>2.0</v>
      </c>
      <c r="E33" s="1" t="s">
        <v>64</v>
      </c>
      <c r="F33" s="1">
        <v>30.0</v>
      </c>
      <c r="G33" s="1" t="s">
        <v>202</v>
      </c>
      <c r="H33" s="3" t="s">
        <v>781</v>
      </c>
      <c r="I33" s="1" t="s">
        <v>20</v>
      </c>
      <c r="J33" s="1">
        <v>48.0</v>
      </c>
      <c r="K33" s="1" t="s">
        <v>202</v>
      </c>
      <c r="L33" s="1" t="s">
        <v>124</v>
      </c>
      <c r="M33" s="1">
        <v>46.0</v>
      </c>
      <c r="N33" s="1" t="s">
        <v>202</v>
      </c>
      <c r="O33" s="4" t="s">
        <v>844</v>
      </c>
      <c r="P33" s="4" t="s">
        <v>845</v>
      </c>
    </row>
    <row r="34">
      <c r="A34" s="1" t="s">
        <v>203</v>
      </c>
      <c r="B34" s="2">
        <v>119009.0</v>
      </c>
      <c r="C34" s="1" t="s">
        <v>153</v>
      </c>
      <c r="D34" s="1">
        <v>2.0</v>
      </c>
      <c r="E34" s="1" t="s">
        <v>105</v>
      </c>
      <c r="F34" s="1">
        <v>26.0</v>
      </c>
      <c r="G34" s="1" t="s">
        <v>3</v>
      </c>
      <c r="H34" s="3" t="s">
        <v>781</v>
      </c>
      <c r="I34" s="1" t="s">
        <v>204</v>
      </c>
      <c r="J34" s="1">
        <v>43.0</v>
      </c>
      <c r="K34" s="1" t="s">
        <v>3</v>
      </c>
      <c r="L34" s="1" t="s">
        <v>2</v>
      </c>
      <c r="M34" s="1">
        <v>25.0</v>
      </c>
      <c r="N34" s="1" t="s">
        <v>3</v>
      </c>
      <c r="O34" s="4" t="s">
        <v>846</v>
      </c>
      <c r="P34" s="4" t="s">
        <v>847</v>
      </c>
    </row>
    <row r="35">
      <c r="A35" s="1" t="s">
        <v>205</v>
      </c>
      <c r="B35" s="2">
        <v>188911.0</v>
      </c>
      <c r="C35" s="1" t="s">
        <v>153</v>
      </c>
      <c r="D35" s="1">
        <v>2.0</v>
      </c>
      <c r="E35" s="1" t="s">
        <v>13</v>
      </c>
      <c r="F35" s="1">
        <v>17.0</v>
      </c>
      <c r="G35" s="1" t="s">
        <v>3</v>
      </c>
      <c r="H35" s="3" t="s">
        <v>781</v>
      </c>
      <c r="I35" s="1" t="s">
        <v>42</v>
      </c>
      <c r="J35" s="1">
        <v>14.0</v>
      </c>
      <c r="K35" s="1" t="s">
        <v>3</v>
      </c>
      <c r="L35" s="1" t="s">
        <v>16</v>
      </c>
      <c r="M35" s="1">
        <v>3.0</v>
      </c>
      <c r="N35" s="1" t="s">
        <v>3</v>
      </c>
      <c r="O35" s="4" t="s">
        <v>848</v>
      </c>
      <c r="P35" s="4" t="s">
        <v>849</v>
      </c>
    </row>
    <row r="36">
      <c r="A36" s="1" t="s">
        <v>206</v>
      </c>
      <c r="B36" s="2">
        <v>124399.0</v>
      </c>
      <c r="C36" s="1" t="s">
        <v>153</v>
      </c>
      <c r="D36" s="1">
        <v>2.0</v>
      </c>
      <c r="E36" s="1" t="s">
        <v>105</v>
      </c>
      <c r="F36" s="1">
        <v>26.0</v>
      </c>
      <c r="G36" s="1" t="s">
        <v>3</v>
      </c>
      <c r="H36" s="3" t="s">
        <v>781</v>
      </c>
      <c r="I36" s="1" t="s">
        <v>207</v>
      </c>
      <c r="J36" s="1">
        <v>1.0</v>
      </c>
      <c r="K36" s="1" t="s">
        <v>3</v>
      </c>
      <c r="L36" s="1" t="s">
        <v>2</v>
      </c>
      <c r="M36" s="1">
        <v>25.0</v>
      </c>
      <c r="N36" s="1" t="s">
        <v>3</v>
      </c>
      <c r="O36" s="4" t="s">
        <v>850</v>
      </c>
      <c r="P36" s="4" t="s">
        <v>851</v>
      </c>
    </row>
    <row r="37">
      <c r="A37" s="1" t="s">
        <v>208</v>
      </c>
      <c r="B37" s="2">
        <v>111281.0</v>
      </c>
      <c r="C37" s="1" t="s">
        <v>153</v>
      </c>
      <c r="D37" s="1">
        <v>2.0</v>
      </c>
      <c r="E37" s="1" t="s">
        <v>38</v>
      </c>
      <c r="F37" s="1">
        <v>6.0</v>
      </c>
      <c r="G37" s="1" t="s">
        <v>3</v>
      </c>
      <c r="H37" s="3" t="s">
        <v>781</v>
      </c>
      <c r="I37" s="1" t="s">
        <v>2</v>
      </c>
      <c r="J37" s="1">
        <v>25.0</v>
      </c>
      <c r="K37" s="1" t="s">
        <v>3</v>
      </c>
      <c r="L37" s="1" t="s">
        <v>96</v>
      </c>
      <c r="M37" s="1">
        <v>47.0</v>
      </c>
      <c r="N37" s="1" t="s">
        <v>3</v>
      </c>
      <c r="O37" s="4" t="s">
        <v>852</v>
      </c>
      <c r="P37" s="4" t="s">
        <v>853</v>
      </c>
    </row>
    <row r="38">
      <c r="A38" s="1" t="s">
        <v>211</v>
      </c>
      <c r="B38" s="2">
        <v>163486.0</v>
      </c>
      <c r="C38" s="1" t="s">
        <v>153</v>
      </c>
      <c r="D38" s="1">
        <v>2.0</v>
      </c>
      <c r="E38" s="1" t="s">
        <v>212</v>
      </c>
      <c r="F38" s="1">
        <v>2.0</v>
      </c>
      <c r="G38" s="1" t="s">
        <v>3</v>
      </c>
      <c r="H38" s="3" t="s">
        <v>781</v>
      </c>
      <c r="I38" s="1" t="s">
        <v>38</v>
      </c>
      <c r="J38" s="1">
        <v>6.0</v>
      </c>
      <c r="K38" s="1" t="s">
        <v>3</v>
      </c>
      <c r="L38" s="1" t="s">
        <v>96</v>
      </c>
      <c r="M38" s="1">
        <v>47.0</v>
      </c>
      <c r="N38" s="1" t="s">
        <v>213</v>
      </c>
      <c r="O38" s="4" t="s">
        <v>854</v>
      </c>
      <c r="P38" s="4" t="s">
        <v>855</v>
      </c>
    </row>
    <row r="39">
      <c r="A39" s="1" t="s">
        <v>218</v>
      </c>
      <c r="B39" s="2">
        <v>109820.0</v>
      </c>
      <c r="C39" s="1" t="s">
        <v>153</v>
      </c>
      <c r="D39" s="1">
        <v>2.0</v>
      </c>
      <c r="E39" s="1" t="s">
        <v>39</v>
      </c>
      <c r="F39" s="1">
        <v>20.0</v>
      </c>
      <c r="G39" s="1" t="s">
        <v>3</v>
      </c>
      <c r="H39" s="3" t="s">
        <v>781</v>
      </c>
      <c r="I39" s="1" t="s">
        <v>207</v>
      </c>
      <c r="J39" s="1">
        <v>1.0</v>
      </c>
      <c r="K39" s="1" t="s">
        <v>3</v>
      </c>
      <c r="L39" s="1" t="s">
        <v>167</v>
      </c>
      <c r="M39" s="1">
        <v>33.0</v>
      </c>
      <c r="N39" s="1" t="s">
        <v>3</v>
      </c>
      <c r="O39" s="4" t="s">
        <v>856</v>
      </c>
      <c r="P39" s="4" t="s">
        <v>857</v>
      </c>
    </row>
    <row r="40">
      <c r="A40" s="1" t="s">
        <v>230</v>
      </c>
      <c r="B40" s="2">
        <v>152185.0</v>
      </c>
      <c r="C40" s="1" t="s">
        <v>153</v>
      </c>
      <c r="D40" s="1">
        <v>2.0</v>
      </c>
      <c r="E40" s="1" t="s">
        <v>40</v>
      </c>
      <c r="F40" s="1">
        <v>44.0</v>
      </c>
      <c r="G40" s="1" t="s">
        <v>3</v>
      </c>
      <c r="H40" s="3" t="s">
        <v>781</v>
      </c>
      <c r="I40" s="1" t="s">
        <v>207</v>
      </c>
      <c r="J40" s="1">
        <v>1.0</v>
      </c>
      <c r="K40" s="1" t="s">
        <v>3</v>
      </c>
      <c r="L40" s="1" t="s">
        <v>212</v>
      </c>
      <c r="M40" s="1">
        <v>2.0</v>
      </c>
      <c r="N40" s="1" t="s">
        <v>3</v>
      </c>
      <c r="O40" s="4" t="s">
        <v>858</v>
      </c>
      <c r="P40" s="4" t="s">
        <v>859</v>
      </c>
    </row>
    <row r="41">
      <c r="A41" s="1" t="s">
        <v>232</v>
      </c>
      <c r="B41" s="2">
        <v>110452.0</v>
      </c>
      <c r="C41" s="1" t="s">
        <v>153</v>
      </c>
      <c r="D41" s="1">
        <v>2.0</v>
      </c>
      <c r="E41" s="1" t="s">
        <v>15</v>
      </c>
      <c r="F41" s="1">
        <v>0.0</v>
      </c>
      <c r="G41" s="1" t="s">
        <v>3</v>
      </c>
      <c r="H41" s="3" t="s">
        <v>781</v>
      </c>
      <c r="I41" s="1" t="s">
        <v>16</v>
      </c>
      <c r="J41" s="1">
        <v>3.0</v>
      </c>
      <c r="K41" s="1" t="s">
        <v>3</v>
      </c>
      <c r="L41" s="1" t="s">
        <v>5</v>
      </c>
      <c r="M41" s="1">
        <v>35.0</v>
      </c>
      <c r="N41" s="1" t="s">
        <v>3</v>
      </c>
      <c r="O41" s="4" t="s">
        <v>860</v>
      </c>
      <c r="P41" s="4" t="s">
        <v>861</v>
      </c>
    </row>
    <row r="42">
      <c r="A42" s="1" t="s">
        <v>233</v>
      </c>
      <c r="B42" s="2">
        <v>138394.0</v>
      </c>
      <c r="C42" s="1" t="s">
        <v>153</v>
      </c>
      <c r="D42" s="1">
        <v>2.0</v>
      </c>
      <c r="E42" s="1" t="s">
        <v>2</v>
      </c>
      <c r="F42" s="1">
        <v>25.0</v>
      </c>
      <c r="G42" s="1" t="s">
        <v>3</v>
      </c>
      <c r="H42" s="3" t="s">
        <v>781</v>
      </c>
      <c r="I42" s="1" t="s">
        <v>204</v>
      </c>
      <c r="J42" s="1">
        <v>43.0</v>
      </c>
      <c r="K42" s="1" t="s">
        <v>3</v>
      </c>
      <c r="L42" s="1" t="s">
        <v>167</v>
      </c>
      <c r="M42" s="1">
        <v>33.0</v>
      </c>
      <c r="N42" s="1" t="s">
        <v>3</v>
      </c>
      <c r="O42" s="4" t="s">
        <v>862</v>
      </c>
      <c r="P42" s="4" t="s">
        <v>863</v>
      </c>
    </row>
    <row r="43">
      <c r="A43" s="1" t="s">
        <v>237</v>
      </c>
      <c r="B43" s="2">
        <v>148321.0</v>
      </c>
      <c r="C43" s="1" t="s">
        <v>153</v>
      </c>
      <c r="D43" s="1">
        <v>2.0</v>
      </c>
      <c r="E43" s="1" t="s">
        <v>7</v>
      </c>
      <c r="F43" s="1">
        <v>15.0</v>
      </c>
      <c r="G43" s="1" t="s">
        <v>3</v>
      </c>
      <c r="H43" s="3" t="s">
        <v>781</v>
      </c>
      <c r="I43" s="1" t="s">
        <v>9</v>
      </c>
      <c r="J43" s="1">
        <v>5.0</v>
      </c>
      <c r="K43" s="1" t="s">
        <v>3</v>
      </c>
      <c r="L43" s="1" t="s">
        <v>238</v>
      </c>
      <c r="M43" s="1">
        <v>37.0</v>
      </c>
      <c r="N43" s="1" t="s">
        <v>3</v>
      </c>
      <c r="O43" s="4" t="s">
        <v>864</v>
      </c>
      <c r="P43" s="4" t="s">
        <v>865</v>
      </c>
    </row>
    <row r="44">
      <c r="A44" s="3" t="s">
        <v>239</v>
      </c>
      <c r="B44" s="5">
        <v>171913.0</v>
      </c>
      <c r="C44" s="3" t="s">
        <v>153</v>
      </c>
      <c r="D44" s="1">
        <v>2.0</v>
      </c>
      <c r="E44" s="3" t="s">
        <v>105</v>
      </c>
      <c r="F44" s="1">
        <v>26.0</v>
      </c>
      <c r="G44" s="3" t="s">
        <v>3</v>
      </c>
      <c r="H44" s="3" t="s">
        <v>781</v>
      </c>
      <c r="I44" s="3" t="s">
        <v>207</v>
      </c>
      <c r="J44" s="1">
        <v>1.0</v>
      </c>
      <c r="K44" s="3" t="s">
        <v>3</v>
      </c>
      <c r="L44" s="3" t="s">
        <v>39</v>
      </c>
      <c r="M44" s="1">
        <v>20.0</v>
      </c>
      <c r="N44" s="3" t="s">
        <v>3</v>
      </c>
      <c r="O44" s="4" t="s">
        <v>866</v>
      </c>
      <c r="P44" s="4" t="s">
        <v>867</v>
      </c>
    </row>
    <row r="45">
      <c r="A45" s="3" t="s">
        <v>244</v>
      </c>
      <c r="B45" s="5">
        <v>113775.0</v>
      </c>
      <c r="C45" s="3" t="s">
        <v>153</v>
      </c>
      <c r="D45" s="1">
        <v>2.0</v>
      </c>
      <c r="E45" s="3" t="s">
        <v>32</v>
      </c>
      <c r="F45" s="1">
        <v>11.0</v>
      </c>
      <c r="G45" s="3" t="s">
        <v>3</v>
      </c>
      <c r="H45" s="3" t="s">
        <v>781</v>
      </c>
      <c r="I45" s="3" t="s">
        <v>25</v>
      </c>
      <c r="J45" s="1">
        <v>18.0</v>
      </c>
      <c r="K45" s="3" t="s">
        <v>3</v>
      </c>
      <c r="L45" s="3" t="s">
        <v>114</v>
      </c>
      <c r="M45" s="1">
        <v>12.0</v>
      </c>
      <c r="N45" s="3" t="s">
        <v>3</v>
      </c>
      <c r="O45" s="4" t="s">
        <v>868</v>
      </c>
      <c r="P45" s="4" t="s">
        <v>869</v>
      </c>
    </row>
    <row r="46">
      <c r="A46" s="3" t="s">
        <v>245</v>
      </c>
      <c r="B46" s="5">
        <v>189124.0</v>
      </c>
      <c r="C46" s="3" t="s">
        <v>153</v>
      </c>
      <c r="D46" s="1">
        <v>2.0</v>
      </c>
      <c r="E46" s="3" t="s">
        <v>2</v>
      </c>
      <c r="F46" s="1">
        <v>25.0</v>
      </c>
      <c r="G46" s="3" t="s">
        <v>3</v>
      </c>
      <c r="H46" s="3" t="s">
        <v>781</v>
      </c>
      <c r="I46" s="3" t="s">
        <v>204</v>
      </c>
      <c r="J46" s="1">
        <v>43.0</v>
      </c>
      <c r="K46" s="3" t="s">
        <v>3</v>
      </c>
      <c r="L46" s="3" t="s">
        <v>120</v>
      </c>
      <c r="M46" s="1">
        <v>42.0</v>
      </c>
      <c r="N46" s="3" t="s">
        <v>3</v>
      </c>
      <c r="O46" s="4" t="s">
        <v>870</v>
      </c>
      <c r="P46" s="4" t="s">
        <v>871</v>
      </c>
    </row>
    <row r="47">
      <c r="A47" s="1" t="s">
        <v>250</v>
      </c>
      <c r="B47" s="2">
        <v>193973.0</v>
      </c>
      <c r="C47" s="1" t="s">
        <v>153</v>
      </c>
      <c r="D47" s="1">
        <v>2.0</v>
      </c>
      <c r="E47" s="1" t="s">
        <v>42</v>
      </c>
      <c r="F47" s="1">
        <v>14.0</v>
      </c>
      <c r="G47" s="1" t="s">
        <v>3</v>
      </c>
      <c r="H47" s="3" t="s">
        <v>781</v>
      </c>
      <c r="I47" s="1" t="s">
        <v>212</v>
      </c>
      <c r="J47" s="1">
        <v>2.0</v>
      </c>
      <c r="K47" s="1" t="s">
        <v>3</v>
      </c>
      <c r="L47" s="1" t="s">
        <v>5</v>
      </c>
      <c r="M47" s="1">
        <v>35.0</v>
      </c>
      <c r="N47" s="1" t="s">
        <v>3</v>
      </c>
      <c r="O47" s="4" t="s">
        <v>872</v>
      </c>
      <c r="P47" s="4" t="s">
        <v>873</v>
      </c>
    </row>
    <row r="48">
      <c r="A48" s="1" t="s">
        <v>256</v>
      </c>
      <c r="B48" s="2">
        <v>109964.0</v>
      </c>
      <c r="C48" s="1" t="s">
        <v>153</v>
      </c>
      <c r="D48" s="1">
        <v>2.0</v>
      </c>
      <c r="E48" s="1" t="s">
        <v>61</v>
      </c>
      <c r="F48" s="1">
        <v>31.0</v>
      </c>
      <c r="G48" s="1" t="s">
        <v>3</v>
      </c>
      <c r="H48" s="3" t="s">
        <v>781</v>
      </c>
      <c r="I48" s="1" t="s">
        <v>12</v>
      </c>
      <c r="J48" s="1">
        <v>41.0</v>
      </c>
      <c r="K48" s="1" t="s">
        <v>3</v>
      </c>
      <c r="L48" s="1" t="s">
        <v>63</v>
      </c>
      <c r="M48" s="1">
        <v>29.0</v>
      </c>
      <c r="N48" s="1" t="s">
        <v>3</v>
      </c>
      <c r="O48" s="4" t="s">
        <v>874</v>
      </c>
      <c r="P48" s="4" t="s">
        <v>875</v>
      </c>
    </row>
    <row r="49">
      <c r="A49" s="1" t="s">
        <v>259</v>
      </c>
      <c r="B49" s="2">
        <v>315581.0</v>
      </c>
      <c r="C49" s="1" t="s">
        <v>153</v>
      </c>
      <c r="D49" s="1">
        <v>2.0</v>
      </c>
      <c r="E49" s="1" t="s">
        <v>61</v>
      </c>
      <c r="F49" s="1">
        <v>31.0</v>
      </c>
      <c r="G49" s="1" t="s">
        <v>3</v>
      </c>
      <c r="H49" s="3" t="s">
        <v>781</v>
      </c>
      <c r="I49" s="1" t="s">
        <v>64</v>
      </c>
      <c r="J49" s="1">
        <v>30.0</v>
      </c>
      <c r="K49" s="1" t="s">
        <v>3</v>
      </c>
      <c r="L49" s="1" t="s">
        <v>63</v>
      </c>
      <c r="M49" s="1">
        <v>29.0</v>
      </c>
      <c r="N49" s="1" t="s">
        <v>3</v>
      </c>
      <c r="O49" s="4" t="s">
        <v>876</v>
      </c>
      <c r="P49" s="4" t="s">
        <v>877</v>
      </c>
    </row>
    <row r="50">
      <c r="A50" s="1" t="s">
        <v>278</v>
      </c>
      <c r="B50" s="2">
        <v>118257.0</v>
      </c>
      <c r="C50" s="1" t="s">
        <v>153</v>
      </c>
      <c r="D50" s="1">
        <v>2.0</v>
      </c>
      <c r="E50" s="1" t="s">
        <v>207</v>
      </c>
      <c r="F50" s="1">
        <v>1.0</v>
      </c>
      <c r="G50" s="1" t="s">
        <v>3</v>
      </c>
      <c r="H50" s="3" t="s">
        <v>781</v>
      </c>
      <c r="I50" s="1" t="s">
        <v>2</v>
      </c>
      <c r="J50" s="1">
        <v>25.0</v>
      </c>
      <c r="K50" s="1" t="s">
        <v>3</v>
      </c>
      <c r="L50" s="1" t="s">
        <v>167</v>
      </c>
      <c r="M50" s="1">
        <v>33.0</v>
      </c>
      <c r="N50" s="1" t="s">
        <v>3</v>
      </c>
      <c r="O50" s="4" t="s">
        <v>878</v>
      </c>
      <c r="P50" s="4" t="s">
        <v>879</v>
      </c>
    </row>
    <row r="51">
      <c r="A51" s="1" t="s">
        <v>281</v>
      </c>
      <c r="B51" s="2">
        <v>142597.0</v>
      </c>
      <c r="C51" s="1" t="s">
        <v>282</v>
      </c>
      <c r="D51" s="1">
        <v>1.0</v>
      </c>
      <c r="E51" s="1" t="s">
        <v>2</v>
      </c>
      <c r="F51" s="1">
        <v>25.0</v>
      </c>
      <c r="G51" s="1" t="s">
        <v>3</v>
      </c>
      <c r="H51" s="3" t="s">
        <v>781</v>
      </c>
      <c r="I51" s="1" t="s">
        <v>120</v>
      </c>
      <c r="J51" s="1">
        <v>42.0</v>
      </c>
      <c r="K51" s="1" t="s">
        <v>3</v>
      </c>
      <c r="L51" s="1" t="s">
        <v>105</v>
      </c>
      <c r="M51" s="1">
        <v>26.0</v>
      </c>
      <c r="N51" s="1" t="s">
        <v>3</v>
      </c>
      <c r="O51" s="4" t="s">
        <v>880</v>
      </c>
      <c r="P51" s="4" t="s">
        <v>881</v>
      </c>
    </row>
    <row r="52">
      <c r="A52" s="1" t="s">
        <v>283</v>
      </c>
      <c r="B52" s="2">
        <v>153462.0</v>
      </c>
      <c r="C52" s="1" t="s">
        <v>282</v>
      </c>
      <c r="D52" s="1">
        <v>1.0</v>
      </c>
      <c r="E52" s="1" t="s">
        <v>13</v>
      </c>
      <c r="F52" s="1">
        <v>17.0</v>
      </c>
      <c r="G52" s="1" t="s">
        <v>3</v>
      </c>
      <c r="H52" s="3" t="s">
        <v>781</v>
      </c>
      <c r="I52" s="1" t="s">
        <v>167</v>
      </c>
      <c r="J52" s="1">
        <v>33.0</v>
      </c>
      <c r="K52" s="1" t="s">
        <v>3</v>
      </c>
      <c r="L52" s="1" t="s">
        <v>38</v>
      </c>
      <c r="M52" s="1">
        <v>6.0</v>
      </c>
      <c r="N52" s="1" t="s">
        <v>3</v>
      </c>
      <c r="O52" s="4" t="s">
        <v>882</v>
      </c>
      <c r="P52" s="4" t="s">
        <v>883</v>
      </c>
    </row>
    <row r="53">
      <c r="A53" s="1" t="s">
        <v>285</v>
      </c>
      <c r="B53" s="2">
        <v>312060.0</v>
      </c>
      <c r="C53" s="1" t="s">
        <v>282</v>
      </c>
      <c r="D53" s="1">
        <v>1.0</v>
      </c>
      <c r="E53" s="1" t="s">
        <v>124</v>
      </c>
      <c r="F53" s="1">
        <v>46.0</v>
      </c>
      <c r="G53" s="1" t="s">
        <v>3</v>
      </c>
      <c r="H53" s="3" t="s">
        <v>781</v>
      </c>
      <c r="I53" s="1" t="s">
        <v>204</v>
      </c>
      <c r="J53" s="1">
        <v>43.0</v>
      </c>
      <c r="K53" s="1" t="s">
        <v>3</v>
      </c>
      <c r="L53" s="1" t="s">
        <v>5</v>
      </c>
      <c r="M53" s="1">
        <v>35.0</v>
      </c>
      <c r="N53" s="1" t="s">
        <v>3</v>
      </c>
      <c r="O53" s="4" t="s">
        <v>884</v>
      </c>
      <c r="P53" s="4" t="s">
        <v>885</v>
      </c>
    </row>
    <row r="54">
      <c r="A54" s="1" t="s">
        <v>295</v>
      </c>
      <c r="B54" s="2">
        <v>163774.0</v>
      </c>
      <c r="C54" s="1" t="s">
        <v>282</v>
      </c>
      <c r="D54" s="1">
        <v>1.0</v>
      </c>
      <c r="E54" s="1" t="s">
        <v>64</v>
      </c>
      <c r="F54" s="1">
        <v>30.0</v>
      </c>
      <c r="G54" s="1" t="s">
        <v>3</v>
      </c>
      <c r="H54" s="3" t="s">
        <v>781</v>
      </c>
      <c r="I54" s="1" t="s">
        <v>63</v>
      </c>
      <c r="J54" s="1">
        <v>29.0</v>
      </c>
      <c r="K54" s="1" t="s">
        <v>3</v>
      </c>
      <c r="L54" s="1" t="s">
        <v>61</v>
      </c>
      <c r="M54" s="1">
        <v>31.0</v>
      </c>
      <c r="N54" s="1" t="s">
        <v>3</v>
      </c>
      <c r="O54" s="4" t="s">
        <v>886</v>
      </c>
      <c r="P54" s="4" t="s">
        <v>887</v>
      </c>
    </row>
    <row r="55">
      <c r="A55" s="1" t="s">
        <v>306</v>
      </c>
      <c r="B55" s="2">
        <v>303237.0</v>
      </c>
      <c r="C55" s="1" t="s">
        <v>282</v>
      </c>
      <c r="D55" s="1">
        <v>1.0</v>
      </c>
      <c r="E55" s="1" t="s">
        <v>167</v>
      </c>
      <c r="F55" s="1">
        <v>33.0</v>
      </c>
      <c r="G55" s="1" t="s">
        <v>3</v>
      </c>
      <c r="H55" s="3" t="s">
        <v>781</v>
      </c>
      <c r="I55" s="1" t="s">
        <v>120</v>
      </c>
      <c r="J55" s="1">
        <v>42.0</v>
      </c>
      <c r="K55" s="1" t="s">
        <v>3</v>
      </c>
      <c r="L55" s="1" t="s">
        <v>13</v>
      </c>
      <c r="M55" s="1">
        <v>17.0</v>
      </c>
      <c r="N55" s="1" t="s">
        <v>3</v>
      </c>
      <c r="O55" s="4" t="s">
        <v>888</v>
      </c>
      <c r="P55" s="4" t="s">
        <v>889</v>
      </c>
    </row>
    <row r="56">
      <c r="A56" s="1" t="s">
        <v>329</v>
      </c>
      <c r="B56" s="2">
        <v>318895.0</v>
      </c>
      <c r="C56" s="1" t="s">
        <v>282</v>
      </c>
      <c r="D56" s="1">
        <v>1.0</v>
      </c>
      <c r="E56" s="1" t="s">
        <v>2</v>
      </c>
      <c r="F56" s="1">
        <v>25.0</v>
      </c>
      <c r="G56" s="1" t="s">
        <v>3</v>
      </c>
      <c r="H56" s="3" t="s">
        <v>781</v>
      </c>
      <c r="I56" s="1" t="s">
        <v>15</v>
      </c>
      <c r="J56" s="1">
        <v>0.0</v>
      </c>
      <c r="K56" s="1" t="s">
        <v>3</v>
      </c>
      <c r="L56" s="1" t="s">
        <v>207</v>
      </c>
      <c r="M56" s="1">
        <v>1.0</v>
      </c>
      <c r="N56" s="1" t="s">
        <v>3</v>
      </c>
      <c r="O56" s="4" t="s">
        <v>890</v>
      </c>
      <c r="P56" s="4" t="s">
        <v>891</v>
      </c>
    </row>
    <row r="57">
      <c r="A57" s="1" t="s">
        <v>330</v>
      </c>
      <c r="B57" s="2">
        <v>148048.0</v>
      </c>
      <c r="C57" s="1" t="s">
        <v>282</v>
      </c>
      <c r="D57" s="1">
        <v>1.0</v>
      </c>
      <c r="E57" s="1" t="s">
        <v>207</v>
      </c>
      <c r="F57" s="1">
        <v>1.0</v>
      </c>
      <c r="G57" s="1" t="s">
        <v>3</v>
      </c>
      <c r="H57" s="3" t="s">
        <v>781</v>
      </c>
      <c r="I57" s="1" t="s">
        <v>38</v>
      </c>
      <c r="J57" s="1">
        <v>6.0</v>
      </c>
      <c r="K57" s="1" t="s">
        <v>3</v>
      </c>
      <c r="L57" s="1" t="s">
        <v>40</v>
      </c>
      <c r="M57" s="1">
        <v>44.0</v>
      </c>
      <c r="N57" s="3" t="s">
        <v>3</v>
      </c>
      <c r="O57" s="4" t="s">
        <v>892</v>
      </c>
      <c r="P57" s="4" t="s">
        <v>893</v>
      </c>
    </row>
    <row r="58">
      <c r="A58" s="1" t="s">
        <v>335</v>
      </c>
      <c r="B58" s="2">
        <v>196392.0</v>
      </c>
      <c r="C58" s="1" t="s">
        <v>282</v>
      </c>
      <c r="D58" s="1">
        <v>1.0</v>
      </c>
      <c r="E58" s="1" t="s">
        <v>5</v>
      </c>
      <c r="F58" s="1">
        <v>35.0</v>
      </c>
      <c r="G58" s="1" t="s">
        <v>3</v>
      </c>
      <c r="H58" s="3" t="s">
        <v>781</v>
      </c>
      <c r="I58" s="1" t="s">
        <v>120</v>
      </c>
      <c r="J58" s="1">
        <v>42.0</v>
      </c>
      <c r="K58" s="1" t="s">
        <v>3</v>
      </c>
      <c r="L58" s="1" t="s">
        <v>207</v>
      </c>
      <c r="M58" s="1">
        <v>1.0</v>
      </c>
      <c r="N58" s="1" t="s">
        <v>3</v>
      </c>
      <c r="O58" s="4" t="s">
        <v>894</v>
      </c>
      <c r="P58" s="4" t="s">
        <v>895</v>
      </c>
    </row>
    <row r="59">
      <c r="A59" s="1" t="s">
        <v>343</v>
      </c>
      <c r="B59" s="2">
        <v>128023.0</v>
      </c>
      <c r="C59" s="1" t="s">
        <v>282</v>
      </c>
      <c r="D59" s="1">
        <v>1.0</v>
      </c>
      <c r="E59" s="1" t="s">
        <v>2</v>
      </c>
      <c r="F59" s="1">
        <v>25.0</v>
      </c>
      <c r="G59" s="1" t="s">
        <v>3</v>
      </c>
      <c r="H59" s="3" t="s">
        <v>781</v>
      </c>
      <c r="I59" s="1" t="s">
        <v>42</v>
      </c>
      <c r="J59" s="1">
        <v>14.0</v>
      </c>
      <c r="K59" s="1" t="s">
        <v>3</v>
      </c>
      <c r="L59" s="1" t="s">
        <v>38</v>
      </c>
      <c r="M59" s="1">
        <v>6.0</v>
      </c>
      <c r="N59" s="1" t="s">
        <v>3</v>
      </c>
      <c r="O59" s="4" t="s">
        <v>896</v>
      </c>
      <c r="P59" s="4" t="s">
        <v>897</v>
      </c>
    </row>
    <row r="60">
      <c r="A60" s="1" t="s">
        <v>355</v>
      </c>
      <c r="B60" s="2">
        <v>151855.0</v>
      </c>
      <c r="C60" s="1" t="s">
        <v>282</v>
      </c>
      <c r="D60" s="1">
        <v>1.0</v>
      </c>
      <c r="E60" s="1" t="s">
        <v>16</v>
      </c>
      <c r="F60" s="1">
        <v>3.0</v>
      </c>
      <c r="G60" s="1" t="s">
        <v>3</v>
      </c>
      <c r="H60" s="3" t="s">
        <v>781</v>
      </c>
      <c r="I60" s="1" t="s">
        <v>15</v>
      </c>
      <c r="J60" s="1">
        <v>0.0</v>
      </c>
      <c r="K60" s="1" t="s">
        <v>3</v>
      </c>
      <c r="L60" s="1" t="s">
        <v>207</v>
      </c>
      <c r="M60" s="1">
        <v>1.0</v>
      </c>
      <c r="N60" s="1" t="s">
        <v>3</v>
      </c>
      <c r="O60" s="4" t="s">
        <v>898</v>
      </c>
      <c r="P60" s="4" t="s">
        <v>899</v>
      </c>
    </row>
    <row r="61">
      <c r="A61" s="1" t="s">
        <v>356</v>
      </c>
      <c r="B61" s="2">
        <v>148202.0</v>
      </c>
      <c r="C61" s="1" t="s">
        <v>282</v>
      </c>
      <c r="D61" s="1">
        <v>1.0</v>
      </c>
      <c r="E61" s="1" t="s">
        <v>2</v>
      </c>
      <c r="F61" s="1">
        <v>25.0</v>
      </c>
      <c r="G61" s="1" t="s">
        <v>3</v>
      </c>
      <c r="H61" s="3" t="s">
        <v>781</v>
      </c>
      <c r="I61" s="1" t="s">
        <v>120</v>
      </c>
      <c r="J61" s="1">
        <v>42.0</v>
      </c>
      <c r="K61" s="1" t="s">
        <v>3</v>
      </c>
      <c r="L61" s="1" t="s">
        <v>124</v>
      </c>
      <c r="M61" s="1">
        <v>46.0</v>
      </c>
      <c r="N61" s="1" t="s">
        <v>3</v>
      </c>
      <c r="O61" s="4" t="s">
        <v>900</v>
      </c>
      <c r="P61" s="4" t="s">
        <v>901</v>
      </c>
    </row>
    <row r="62">
      <c r="A62" s="3" t="s">
        <v>368</v>
      </c>
      <c r="B62" s="5">
        <v>136527.0</v>
      </c>
      <c r="C62" s="3" t="s">
        <v>282</v>
      </c>
      <c r="D62" s="1">
        <v>1.0</v>
      </c>
      <c r="E62" s="3" t="s">
        <v>16</v>
      </c>
      <c r="F62" s="1">
        <v>3.0</v>
      </c>
      <c r="G62" s="3" t="s">
        <v>3</v>
      </c>
      <c r="H62" s="3" t="s">
        <v>781</v>
      </c>
      <c r="I62" s="3" t="s">
        <v>38</v>
      </c>
      <c r="J62" s="1">
        <v>6.0</v>
      </c>
      <c r="K62" s="3" t="s">
        <v>3</v>
      </c>
      <c r="L62" s="3" t="s">
        <v>39</v>
      </c>
      <c r="M62" s="1">
        <v>20.0</v>
      </c>
      <c r="N62" s="3" t="s">
        <v>3</v>
      </c>
      <c r="O62" s="4" t="s">
        <v>902</v>
      </c>
      <c r="P62" s="4" t="s">
        <v>903</v>
      </c>
    </row>
    <row r="63">
      <c r="A63" s="1" t="s">
        <v>381</v>
      </c>
      <c r="B63" s="2">
        <v>109386.0</v>
      </c>
      <c r="C63" s="1" t="s">
        <v>282</v>
      </c>
      <c r="D63" s="1">
        <v>1.0</v>
      </c>
      <c r="E63" s="1" t="s">
        <v>16</v>
      </c>
      <c r="F63" s="1">
        <v>3.0</v>
      </c>
      <c r="G63" s="1" t="s">
        <v>3</v>
      </c>
      <c r="H63" s="3" t="s">
        <v>781</v>
      </c>
      <c r="I63" s="1" t="s">
        <v>212</v>
      </c>
      <c r="J63" s="1">
        <v>2.0</v>
      </c>
      <c r="K63" s="1" t="s">
        <v>3</v>
      </c>
      <c r="L63" s="1" t="s">
        <v>96</v>
      </c>
      <c r="M63" s="1">
        <v>47.0</v>
      </c>
      <c r="N63" s="1" t="s">
        <v>3</v>
      </c>
      <c r="O63" s="4" t="s">
        <v>904</v>
      </c>
      <c r="P63" s="4" t="s">
        <v>905</v>
      </c>
    </row>
    <row r="64">
      <c r="A64" s="3" t="s">
        <v>384</v>
      </c>
      <c r="B64" s="5">
        <v>136455.0</v>
      </c>
      <c r="C64" s="3" t="s">
        <v>282</v>
      </c>
      <c r="D64" s="1">
        <v>1.0</v>
      </c>
      <c r="E64" s="3" t="s">
        <v>105</v>
      </c>
      <c r="F64" s="1">
        <v>26.0</v>
      </c>
      <c r="G64" s="3" t="s">
        <v>3</v>
      </c>
      <c r="H64" s="3" t="s">
        <v>781</v>
      </c>
      <c r="I64" s="3" t="s">
        <v>2</v>
      </c>
      <c r="J64" s="1">
        <v>25.0</v>
      </c>
      <c r="K64" s="3" t="s">
        <v>3</v>
      </c>
      <c r="L64" s="3" t="s">
        <v>167</v>
      </c>
      <c r="M64" s="1">
        <v>33.0</v>
      </c>
      <c r="N64" s="3" t="s">
        <v>3</v>
      </c>
      <c r="O64" s="4" t="s">
        <v>906</v>
      </c>
      <c r="P64" s="4" t="s">
        <v>907</v>
      </c>
    </row>
    <row r="65">
      <c r="A65" s="3" t="s">
        <v>391</v>
      </c>
      <c r="B65" s="5">
        <v>138182.0</v>
      </c>
      <c r="C65" s="3" t="s">
        <v>282</v>
      </c>
      <c r="D65" s="1">
        <v>1.0</v>
      </c>
      <c r="E65" s="3" t="s">
        <v>38</v>
      </c>
      <c r="F65" s="1">
        <v>6.0</v>
      </c>
      <c r="G65" s="3" t="s">
        <v>3</v>
      </c>
      <c r="H65" s="3" t="s">
        <v>781</v>
      </c>
      <c r="I65" s="3" t="s">
        <v>167</v>
      </c>
      <c r="J65" s="1">
        <v>33.0</v>
      </c>
      <c r="K65" s="3" t="s">
        <v>3</v>
      </c>
      <c r="L65" s="3" t="s">
        <v>40</v>
      </c>
      <c r="M65" s="1">
        <v>44.0</v>
      </c>
      <c r="N65" s="3" t="s">
        <v>3</v>
      </c>
      <c r="O65" s="4" t="s">
        <v>908</v>
      </c>
      <c r="P65" s="4" t="s">
        <v>909</v>
      </c>
    </row>
    <row r="66">
      <c r="A66" s="3" t="s">
        <v>392</v>
      </c>
      <c r="B66" s="5">
        <v>186690.0</v>
      </c>
      <c r="C66" s="3" t="s">
        <v>282</v>
      </c>
      <c r="D66" s="1">
        <v>1.0</v>
      </c>
      <c r="E66" s="3" t="s">
        <v>207</v>
      </c>
      <c r="F66" s="1">
        <v>1.0</v>
      </c>
      <c r="G66" s="3" t="s">
        <v>3</v>
      </c>
      <c r="H66" s="3" t="s">
        <v>781</v>
      </c>
      <c r="I66" s="3" t="s">
        <v>39</v>
      </c>
      <c r="J66" s="1">
        <v>20.0</v>
      </c>
      <c r="K66" s="3" t="s">
        <v>3</v>
      </c>
      <c r="L66" s="3" t="s">
        <v>96</v>
      </c>
      <c r="M66" s="1">
        <v>47.0</v>
      </c>
      <c r="N66" s="3" t="s">
        <v>3</v>
      </c>
      <c r="O66" s="4" t="s">
        <v>910</v>
      </c>
      <c r="P66" s="4" t="s">
        <v>911</v>
      </c>
    </row>
    <row r="67">
      <c r="A67" s="1" t="s">
        <v>393</v>
      </c>
      <c r="B67" s="2">
        <v>148203.0</v>
      </c>
      <c r="C67" s="1" t="s">
        <v>282</v>
      </c>
      <c r="D67" s="1">
        <v>1.0</v>
      </c>
      <c r="E67" s="1" t="s">
        <v>16</v>
      </c>
      <c r="F67" s="1">
        <v>3.0</v>
      </c>
      <c r="G67" s="1" t="s">
        <v>3</v>
      </c>
      <c r="H67" s="3" t="s">
        <v>781</v>
      </c>
      <c r="I67" s="1" t="s">
        <v>124</v>
      </c>
      <c r="J67" s="1">
        <v>46.0</v>
      </c>
      <c r="K67" s="1" t="s">
        <v>3</v>
      </c>
      <c r="L67" s="1" t="s">
        <v>42</v>
      </c>
      <c r="M67" s="1">
        <v>14.0</v>
      </c>
      <c r="N67" s="1" t="s">
        <v>3</v>
      </c>
      <c r="O67" s="4" t="s">
        <v>912</v>
      </c>
      <c r="P67" s="4" t="s">
        <v>913</v>
      </c>
    </row>
    <row r="68">
      <c r="A68" s="1" t="s">
        <v>394</v>
      </c>
      <c r="B68" s="2">
        <v>184382.0</v>
      </c>
      <c r="C68" s="1" t="s">
        <v>282</v>
      </c>
      <c r="D68" s="1">
        <v>1.0</v>
      </c>
      <c r="E68" s="1" t="s">
        <v>207</v>
      </c>
      <c r="F68" s="1">
        <v>1.0</v>
      </c>
      <c r="G68" s="1" t="s">
        <v>3</v>
      </c>
      <c r="H68" s="3" t="s">
        <v>781</v>
      </c>
      <c r="I68" s="1" t="s">
        <v>2</v>
      </c>
      <c r="J68" s="1">
        <v>25.0</v>
      </c>
      <c r="K68" s="1" t="s">
        <v>3</v>
      </c>
      <c r="L68" s="1" t="s">
        <v>105</v>
      </c>
      <c r="M68" s="1">
        <v>26.0</v>
      </c>
      <c r="N68" s="1" t="s">
        <v>3</v>
      </c>
      <c r="O68" s="4" t="s">
        <v>914</v>
      </c>
      <c r="P68" s="4" t="s">
        <v>915</v>
      </c>
    </row>
    <row r="69">
      <c r="A69" s="1" t="s">
        <v>395</v>
      </c>
      <c r="B69" s="2">
        <v>314091.0</v>
      </c>
      <c r="C69" s="1" t="s">
        <v>282</v>
      </c>
      <c r="D69" s="1">
        <v>1.0</v>
      </c>
      <c r="E69" s="1" t="s">
        <v>18</v>
      </c>
      <c r="F69" s="1">
        <v>22.0</v>
      </c>
      <c r="G69" s="1" t="s">
        <v>3</v>
      </c>
      <c r="H69" s="3" t="s">
        <v>781</v>
      </c>
      <c r="I69" s="1" t="s">
        <v>39</v>
      </c>
      <c r="J69" s="1">
        <v>20.0</v>
      </c>
      <c r="K69" s="1" t="s">
        <v>3</v>
      </c>
      <c r="L69" s="1" t="s">
        <v>20</v>
      </c>
      <c r="M69" s="1">
        <v>48.0</v>
      </c>
      <c r="N69" s="1" t="s">
        <v>3</v>
      </c>
      <c r="O69" s="4" t="s">
        <v>916</v>
      </c>
      <c r="P69" s="4" t="s">
        <v>917</v>
      </c>
    </row>
    <row r="70">
      <c r="A70" s="1" t="s">
        <v>400</v>
      </c>
      <c r="B70" s="2">
        <v>119273.0</v>
      </c>
      <c r="C70" s="1" t="s">
        <v>282</v>
      </c>
      <c r="D70" s="1">
        <v>1.0</v>
      </c>
      <c r="E70" s="1" t="s">
        <v>15</v>
      </c>
      <c r="F70" s="1">
        <v>0.0</v>
      </c>
      <c r="G70" s="1" t="s">
        <v>3</v>
      </c>
      <c r="H70" s="3" t="s">
        <v>781</v>
      </c>
      <c r="I70" s="1" t="s">
        <v>16</v>
      </c>
      <c r="J70" s="1">
        <v>3.0</v>
      </c>
      <c r="K70" s="1" t="s">
        <v>3</v>
      </c>
      <c r="L70" s="1" t="s">
        <v>401</v>
      </c>
      <c r="M70" s="1">
        <v>38.0</v>
      </c>
      <c r="N70" s="1" t="s">
        <v>3</v>
      </c>
      <c r="O70" s="4" t="s">
        <v>918</v>
      </c>
      <c r="P70" s="4" t="s">
        <v>919</v>
      </c>
    </row>
    <row r="71">
      <c r="A71" s="1" t="s">
        <v>402</v>
      </c>
      <c r="B71" s="2">
        <v>320421.0</v>
      </c>
      <c r="C71" s="1" t="s">
        <v>282</v>
      </c>
      <c r="D71" s="1">
        <v>1.0</v>
      </c>
      <c r="E71" s="1" t="s">
        <v>4</v>
      </c>
      <c r="F71" s="1">
        <v>23.0</v>
      </c>
      <c r="G71" s="1" t="s">
        <v>3</v>
      </c>
      <c r="H71" s="3" t="s">
        <v>781</v>
      </c>
      <c r="I71" s="1" t="s">
        <v>120</v>
      </c>
      <c r="J71" s="1">
        <v>42.0</v>
      </c>
      <c r="K71" s="1" t="s">
        <v>3</v>
      </c>
      <c r="L71" s="1" t="s">
        <v>2</v>
      </c>
      <c r="M71" s="1">
        <v>25.0</v>
      </c>
      <c r="N71" s="1" t="s">
        <v>3</v>
      </c>
      <c r="O71" s="4" t="s">
        <v>920</v>
      </c>
      <c r="P71" s="4" t="s">
        <v>921</v>
      </c>
    </row>
    <row r="72">
      <c r="A72" s="1" t="s">
        <v>405</v>
      </c>
      <c r="B72" s="2">
        <v>503997.0</v>
      </c>
      <c r="C72" s="1" t="s">
        <v>282</v>
      </c>
      <c r="D72" s="1">
        <v>1.0</v>
      </c>
      <c r="E72" s="1" t="s">
        <v>63</v>
      </c>
      <c r="F72" s="1">
        <v>29.0</v>
      </c>
      <c r="G72" s="1" t="s">
        <v>3</v>
      </c>
      <c r="H72" s="3" t="s">
        <v>781</v>
      </c>
      <c r="I72" s="1" t="s">
        <v>64</v>
      </c>
      <c r="J72" s="1">
        <v>30.0</v>
      </c>
      <c r="K72" s="1" t="s">
        <v>3</v>
      </c>
      <c r="L72" s="1" t="s">
        <v>109</v>
      </c>
      <c r="M72" s="1">
        <v>49.0</v>
      </c>
      <c r="N72" s="1" t="s">
        <v>3</v>
      </c>
      <c r="O72" s="4" t="s">
        <v>922</v>
      </c>
      <c r="P72" s="4" t="s">
        <v>923</v>
      </c>
    </row>
    <row r="73">
      <c r="A73" s="1" t="s">
        <v>406</v>
      </c>
      <c r="B73" s="2">
        <v>118770.0</v>
      </c>
      <c r="C73" s="1" t="s">
        <v>282</v>
      </c>
      <c r="D73" s="1">
        <v>1.0</v>
      </c>
      <c r="E73" s="1" t="s">
        <v>120</v>
      </c>
      <c r="F73" s="1">
        <v>42.0</v>
      </c>
      <c r="G73" s="1" t="s">
        <v>3</v>
      </c>
      <c r="H73" s="3" t="s">
        <v>781</v>
      </c>
      <c r="I73" s="1" t="s">
        <v>204</v>
      </c>
      <c r="J73" s="1">
        <v>43.0</v>
      </c>
      <c r="K73" s="1" t="s">
        <v>3</v>
      </c>
      <c r="L73" s="1" t="s">
        <v>105</v>
      </c>
      <c r="M73" s="1">
        <v>26.0</v>
      </c>
      <c r="N73" s="1" t="s">
        <v>3</v>
      </c>
      <c r="O73" s="4" t="s">
        <v>924</v>
      </c>
      <c r="P73" s="4" t="s">
        <v>925</v>
      </c>
    </row>
    <row r="74">
      <c r="A74" s="1" t="s">
        <v>407</v>
      </c>
      <c r="B74" s="2">
        <v>149616.0</v>
      </c>
      <c r="C74" s="1" t="s">
        <v>282</v>
      </c>
      <c r="D74" s="1">
        <v>1.0</v>
      </c>
      <c r="E74" s="1" t="s">
        <v>204</v>
      </c>
      <c r="F74" s="1">
        <v>43.0</v>
      </c>
      <c r="G74" s="1" t="s">
        <v>3</v>
      </c>
      <c r="H74" s="3" t="s">
        <v>781</v>
      </c>
      <c r="I74" s="1" t="s">
        <v>2</v>
      </c>
      <c r="J74" s="1">
        <v>25.0</v>
      </c>
      <c r="K74" s="1" t="s">
        <v>3</v>
      </c>
      <c r="L74" s="1" t="s">
        <v>120</v>
      </c>
      <c r="M74" s="1">
        <v>42.0</v>
      </c>
      <c r="N74" s="1" t="s">
        <v>3</v>
      </c>
      <c r="O74" s="4" t="s">
        <v>926</v>
      </c>
      <c r="P74" s="4" t="s">
        <v>927</v>
      </c>
    </row>
    <row r="75">
      <c r="A75" s="1" t="s">
        <v>408</v>
      </c>
      <c r="B75" s="2">
        <v>162280.0</v>
      </c>
      <c r="C75" s="1" t="s">
        <v>282</v>
      </c>
      <c r="D75" s="1">
        <v>1.0</v>
      </c>
      <c r="E75" s="1" t="s">
        <v>5</v>
      </c>
      <c r="F75" s="1">
        <v>35.0</v>
      </c>
      <c r="G75" s="1" t="s">
        <v>3</v>
      </c>
      <c r="H75" s="3" t="s">
        <v>781</v>
      </c>
      <c r="I75" s="1" t="s">
        <v>18</v>
      </c>
      <c r="J75" s="1">
        <v>22.0</v>
      </c>
      <c r="K75" s="1" t="s">
        <v>3</v>
      </c>
      <c r="L75" s="1" t="s">
        <v>105</v>
      </c>
      <c r="M75" s="1">
        <v>26.0</v>
      </c>
      <c r="N75" s="1" t="s">
        <v>3</v>
      </c>
      <c r="O75" s="4" t="s">
        <v>928</v>
      </c>
      <c r="P75" s="4" t="s">
        <v>929</v>
      </c>
    </row>
    <row r="76">
      <c r="A76" s="1" t="s">
        <v>425</v>
      </c>
      <c r="B76" s="2">
        <v>319859.0</v>
      </c>
      <c r="C76" s="1" t="s">
        <v>282</v>
      </c>
      <c r="D76" s="1">
        <v>1.0</v>
      </c>
      <c r="E76" s="1" t="s">
        <v>2</v>
      </c>
      <c r="F76" s="1">
        <v>25.0</v>
      </c>
      <c r="G76" s="1" t="s">
        <v>3</v>
      </c>
      <c r="H76" s="3" t="s">
        <v>781</v>
      </c>
      <c r="I76" s="1" t="s">
        <v>105</v>
      </c>
      <c r="J76" s="1">
        <v>26.0</v>
      </c>
      <c r="K76" s="1" t="s">
        <v>3</v>
      </c>
      <c r="L76" s="1" t="s">
        <v>124</v>
      </c>
      <c r="M76" s="1">
        <v>46.0</v>
      </c>
      <c r="N76" s="1" t="s">
        <v>3</v>
      </c>
      <c r="O76" s="4" t="s">
        <v>930</v>
      </c>
      <c r="P76" s="4" t="s">
        <v>931</v>
      </c>
    </row>
    <row r="77">
      <c r="A77" s="1" t="s">
        <v>435</v>
      </c>
      <c r="B77" s="2">
        <v>319260.0</v>
      </c>
      <c r="C77" s="1" t="s">
        <v>282</v>
      </c>
      <c r="D77" s="1">
        <v>1.0</v>
      </c>
      <c r="E77" s="1" t="s">
        <v>120</v>
      </c>
      <c r="F77" s="1">
        <v>42.0</v>
      </c>
      <c r="G77" s="1" t="s">
        <v>3</v>
      </c>
      <c r="H77" s="3" t="s">
        <v>781</v>
      </c>
      <c r="I77" s="1" t="s">
        <v>39</v>
      </c>
      <c r="J77" s="1">
        <v>20.0</v>
      </c>
      <c r="K77" s="1" t="s">
        <v>3</v>
      </c>
      <c r="L77" s="1" t="s">
        <v>204</v>
      </c>
      <c r="M77" s="1">
        <v>43.0</v>
      </c>
      <c r="N77" s="1" t="s">
        <v>3</v>
      </c>
      <c r="O77" s="4" t="s">
        <v>932</v>
      </c>
      <c r="P77" s="4" t="s">
        <v>933</v>
      </c>
    </row>
    <row r="78">
      <c r="A78" s="1" t="s">
        <v>440</v>
      </c>
      <c r="B78" s="2">
        <v>125495.0</v>
      </c>
      <c r="C78" s="1" t="s">
        <v>282</v>
      </c>
      <c r="D78" s="1">
        <v>1.0</v>
      </c>
      <c r="E78" s="1" t="s">
        <v>15</v>
      </c>
      <c r="F78" s="1">
        <v>0.0</v>
      </c>
      <c r="G78" s="1" t="s">
        <v>3</v>
      </c>
      <c r="H78" s="3" t="s">
        <v>781</v>
      </c>
      <c r="I78" s="1" t="s">
        <v>16</v>
      </c>
      <c r="J78" s="1">
        <v>3.0</v>
      </c>
      <c r="K78" s="1" t="s">
        <v>3</v>
      </c>
      <c r="L78" s="1" t="s">
        <v>13</v>
      </c>
      <c r="M78" s="1">
        <v>17.0</v>
      </c>
      <c r="N78" s="1" t="s">
        <v>3</v>
      </c>
      <c r="O78" s="4" t="s">
        <v>934</v>
      </c>
      <c r="P78" s="4" t="s">
        <v>935</v>
      </c>
    </row>
    <row r="79">
      <c r="A79" s="1" t="s">
        <v>445</v>
      </c>
      <c r="B79" s="2">
        <v>151799.0</v>
      </c>
      <c r="C79" s="1" t="s">
        <v>282</v>
      </c>
      <c r="D79" s="1">
        <v>1.0</v>
      </c>
      <c r="E79" s="1" t="s">
        <v>105</v>
      </c>
      <c r="F79" s="1">
        <v>26.0</v>
      </c>
      <c r="G79" s="1" t="s">
        <v>3</v>
      </c>
      <c r="H79" s="3" t="s">
        <v>781</v>
      </c>
      <c r="I79" s="1" t="s">
        <v>13</v>
      </c>
      <c r="J79" s="1">
        <v>17.0</v>
      </c>
      <c r="K79" s="1" t="s">
        <v>3</v>
      </c>
      <c r="L79" s="1" t="s">
        <v>15</v>
      </c>
      <c r="M79" s="1">
        <v>0.0</v>
      </c>
      <c r="N79" s="1" t="s">
        <v>3</v>
      </c>
      <c r="O79" s="4" t="s">
        <v>936</v>
      </c>
      <c r="P79" s="4" t="s">
        <v>937</v>
      </c>
    </row>
    <row r="80">
      <c r="A80" s="1" t="s">
        <v>446</v>
      </c>
      <c r="B80" s="2">
        <v>110629.0</v>
      </c>
      <c r="C80" s="1" t="s">
        <v>282</v>
      </c>
      <c r="D80" s="1">
        <v>1.0</v>
      </c>
      <c r="E80" s="1" t="s">
        <v>28</v>
      </c>
      <c r="F80" s="1">
        <v>32.0</v>
      </c>
      <c r="G80" s="1" t="s">
        <v>3</v>
      </c>
      <c r="H80" s="3" t="s">
        <v>781</v>
      </c>
      <c r="I80" s="1" t="s">
        <v>64</v>
      </c>
      <c r="J80" s="1">
        <v>30.0</v>
      </c>
      <c r="K80" s="1" t="s">
        <v>3</v>
      </c>
      <c r="L80" s="1" t="s">
        <v>61</v>
      </c>
      <c r="M80" s="1">
        <v>31.0</v>
      </c>
      <c r="N80" s="1" t="s">
        <v>3</v>
      </c>
      <c r="O80" s="4" t="s">
        <v>938</v>
      </c>
      <c r="P80" s="4" t="s">
        <v>939</v>
      </c>
    </row>
    <row r="81">
      <c r="A81" s="1" t="s">
        <v>453</v>
      </c>
      <c r="B81" s="2">
        <v>317736.0</v>
      </c>
      <c r="C81" s="1" t="s">
        <v>282</v>
      </c>
      <c r="D81" s="1">
        <v>1.0</v>
      </c>
      <c r="E81" s="1" t="s">
        <v>124</v>
      </c>
      <c r="F81" s="1">
        <v>46.0</v>
      </c>
      <c r="G81" s="1" t="s">
        <v>3</v>
      </c>
      <c r="H81" s="3" t="s">
        <v>781</v>
      </c>
      <c r="I81" s="1" t="s">
        <v>105</v>
      </c>
      <c r="J81" s="1">
        <v>26.0</v>
      </c>
      <c r="K81" s="1" t="s">
        <v>3</v>
      </c>
      <c r="L81" s="1" t="s">
        <v>42</v>
      </c>
      <c r="M81" s="1">
        <v>14.0</v>
      </c>
      <c r="N81" s="1" t="s">
        <v>3</v>
      </c>
      <c r="O81" s="4" t="s">
        <v>940</v>
      </c>
      <c r="P81" s="4" t="s">
        <v>941</v>
      </c>
    </row>
    <row r="82">
      <c r="A82" s="1" t="s">
        <v>454</v>
      </c>
      <c r="B82" s="2">
        <v>153248.0</v>
      </c>
      <c r="C82" s="1" t="s">
        <v>282</v>
      </c>
      <c r="D82" s="1">
        <v>1.0</v>
      </c>
      <c r="E82" s="1" t="s">
        <v>212</v>
      </c>
      <c r="F82" s="1">
        <v>2.0</v>
      </c>
      <c r="G82" s="1" t="s">
        <v>455</v>
      </c>
      <c r="H82" s="3" t="s">
        <v>781</v>
      </c>
      <c r="I82" s="1" t="s">
        <v>2</v>
      </c>
      <c r="J82" s="1">
        <v>25.0</v>
      </c>
      <c r="K82" s="1" t="s">
        <v>455</v>
      </c>
      <c r="L82" s="1" t="s">
        <v>39</v>
      </c>
      <c r="M82" s="1">
        <v>20.0</v>
      </c>
      <c r="N82" s="1" t="s">
        <v>455</v>
      </c>
      <c r="O82" s="4" t="s">
        <v>942</v>
      </c>
      <c r="P82" s="4" t="s">
        <v>943</v>
      </c>
    </row>
    <row r="83">
      <c r="A83" s="1" t="s">
        <v>463</v>
      </c>
      <c r="B83" s="2">
        <v>150842.0</v>
      </c>
      <c r="C83" s="1" t="s">
        <v>459</v>
      </c>
      <c r="D83" s="1">
        <v>0.0</v>
      </c>
      <c r="E83" s="1" t="s">
        <v>47</v>
      </c>
      <c r="F83" s="1">
        <v>27.0</v>
      </c>
      <c r="G83" s="1" t="s">
        <v>3</v>
      </c>
      <c r="H83" s="3" t="s">
        <v>781</v>
      </c>
      <c r="I83" s="1" t="s">
        <v>184</v>
      </c>
      <c r="J83" s="1">
        <v>4.0</v>
      </c>
      <c r="K83" s="1" t="s">
        <v>3</v>
      </c>
      <c r="L83" s="1" t="s">
        <v>12</v>
      </c>
      <c r="M83" s="1">
        <v>41.0</v>
      </c>
      <c r="N83" s="11" t="s">
        <v>3</v>
      </c>
      <c r="O83" s="4" t="s">
        <v>944</v>
      </c>
      <c r="P83" s="4" t="s">
        <v>945</v>
      </c>
    </row>
    <row r="84">
      <c r="A84" s="1" t="s">
        <v>464</v>
      </c>
      <c r="B84" s="2">
        <v>206031.0</v>
      </c>
      <c r="C84" s="1" t="s">
        <v>459</v>
      </c>
      <c r="D84" s="1">
        <v>0.0</v>
      </c>
      <c r="E84" s="1" t="s">
        <v>401</v>
      </c>
      <c r="F84" s="1">
        <v>38.0</v>
      </c>
      <c r="G84" s="1" t="s">
        <v>3</v>
      </c>
      <c r="H84" s="3" t="s">
        <v>781</v>
      </c>
      <c r="I84" s="1" t="s">
        <v>238</v>
      </c>
      <c r="J84" s="1">
        <v>37.0</v>
      </c>
      <c r="K84" s="1" t="s">
        <v>3</v>
      </c>
      <c r="L84" s="1" t="s">
        <v>465</v>
      </c>
      <c r="M84" s="1">
        <v>36.0</v>
      </c>
      <c r="N84" s="1" t="s">
        <v>3</v>
      </c>
      <c r="O84" s="4" t="s">
        <v>946</v>
      </c>
      <c r="P84" s="4" t="s">
        <v>947</v>
      </c>
    </row>
    <row r="85">
      <c r="A85" s="1" t="s">
        <v>468</v>
      </c>
      <c r="B85" s="2">
        <v>150581.0</v>
      </c>
      <c r="C85" s="1" t="s">
        <v>459</v>
      </c>
      <c r="D85" s="1">
        <v>0.0</v>
      </c>
      <c r="E85" s="1" t="s">
        <v>401</v>
      </c>
      <c r="F85" s="1">
        <v>38.0</v>
      </c>
      <c r="G85" s="1" t="s">
        <v>3</v>
      </c>
      <c r="H85" s="3" t="s">
        <v>781</v>
      </c>
      <c r="I85" s="1" t="s">
        <v>465</v>
      </c>
      <c r="J85" s="1">
        <v>36.0</v>
      </c>
      <c r="K85" s="1" t="s">
        <v>3</v>
      </c>
      <c r="L85" s="1" t="s">
        <v>16</v>
      </c>
      <c r="M85" s="1">
        <v>3.0</v>
      </c>
      <c r="N85" s="1" t="s">
        <v>3</v>
      </c>
      <c r="O85" s="4" t="s">
        <v>948</v>
      </c>
      <c r="P85" s="4" t="s">
        <v>949</v>
      </c>
    </row>
    <row r="86">
      <c r="A86" s="1" t="s">
        <v>469</v>
      </c>
      <c r="B86" s="2">
        <v>129064.0</v>
      </c>
      <c r="C86" s="1" t="s">
        <v>459</v>
      </c>
      <c r="D86" s="1">
        <v>0.0</v>
      </c>
      <c r="E86" s="1" t="s">
        <v>5</v>
      </c>
      <c r="F86" s="1">
        <v>35.0</v>
      </c>
      <c r="G86" s="1" t="s">
        <v>3</v>
      </c>
      <c r="H86" s="3" t="s">
        <v>781</v>
      </c>
      <c r="I86" s="1" t="s">
        <v>15</v>
      </c>
      <c r="J86" s="1">
        <v>0.0</v>
      </c>
      <c r="K86" s="1" t="s">
        <v>3</v>
      </c>
      <c r="L86" s="1" t="s">
        <v>13</v>
      </c>
      <c r="M86" s="1">
        <v>17.0</v>
      </c>
      <c r="N86" s="1" t="s">
        <v>3</v>
      </c>
      <c r="O86" s="4" t="s">
        <v>950</v>
      </c>
      <c r="P86" s="4" t="s">
        <v>951</v>
      </c>
    </row>
    <row r="87">
      <c r="A87" s="1" t="s">
        <v>470</v>
      </c>
      <c r="B87" s="2">
        <v>150826.0</v>
      </c>
      <c r="C87" s="1" t="s">
        <v>459</v>
      </c>
      <c r="D87" s="1">
        <v>0.0</v>
      </c>
      <c r="E87" s="1" t="s">
        <v>238</v>
      </c>
      <c r="F87" s="1">
        <v>37.0</v>
      </c>
      <c r="G87" s="1" t="s">
        <v>3</v>
      </c>
      <c r="H87" s="3" t="s">
        <v>781</v>
      </c>
      <c r="I87" s="1" t="s">
        <v>105</v>
      </c>
      <c r="J87" s="1">
        <v>26.0</v>
      </c>
      <c r="K87" s="1" t="s">
        <v>3</v>
      </c>
      <c r="L87" s="1" t="s">
        <v>39</v>
      </c>
      <c r="M87" s="1">
        <v>20.0</v>
      </c>
      <c r="N87" s="1" t="s">
        <v>3</v>
      </c>
      <c r="O87" s="4" t="s">
        <v>952</v>
      </c>
      <c r="P87" s="4" t="s">
        <v>953</v>
      </c>
    </row>
    <row r="88">
      <c r="A88" s="7" t="s">
        <v>475</v>
      </c>
      <c r="B88" s="8">
        <v>301227.0</v>
      </c>
      <c r="C88" s="7" t="s">
        <v>459</v>
      </c>
      <c r="D88" s="1">
        <v>0.0</v>
      </c>
      <c r="E88" s="7" t="s">
        <v>191</v>
      </c>
      <c r="F88" s="1">
        <v>39.0</v>
      </c>
      <c r="G88" s="12" t="s">
        <v>3</v>
      </c>
      <c r="H88" s="3" t="s">
        <v>781</v>
      </c>
      <c r="I88" s="7" t="s">
        <v>309</v>
      </c>
      <c r="J88" s="1">
        <v>40.0</v>
      </c>
      <c r="K88" s="12" t="s">
        <v>3</v>
      </c>
      <c r="L88" s="7" t="s">
        <v>465</v>
      </c>
      <c r="M88" s="1">
        <v>36.0</v>
      </c>
      <c r="N88" s="12" t="s">
        <v>3</v>
      </c>
      <c r="O88" s="4" t="s">
        <v>954</v>
      </c>
      <c r="P88" s="4" t="s">
        <v>955</v>
      </c>
    </row>
    <row r="89">
      <c r="A89" s="1" t="s">
        <v>476</v>
      </c>
      <c r="B89" s="2">
        <v>137947.0</v>
      </c>
      <c r="C89" s="1" t="s">
        <v>459</v>
      </c>
      <c r="D89" s="1">
        <v>0.0</v>
      </c>
      <c r="E89" s="1" t="s">
        <v>26</v>
      </c>
      <c r="F89" s="1">
        <v>7.0</v>
      </c>
      <c r="G89" s="1" t="s">
        <v>3</v>
      </c>
      <c r="H89" s="3" t="s">
        <v>781</v>
      </c>
      <c r="I89" s="1" t="s">
        <v>20</v>
      </c>
      <c r="J89" s="1">
        <v>48.0</v>
      </c>
      <c r="K89" s="1" t="s">
        <v>3</v>
      </c>
      <c r="L89" s="1" t="s">
        <v>18</v>
      </c>
      <c r="M89" s="1">
        <v>22.0</v>
      </c>
      <c r="N89" s="1" t="s">
        <v>3</v>
      </c>
      <c r="O89" s="4" t="s">
        <v>956</v>
      </c>
      <c r="P89" s="4" t="s">
        <v>957</v>
      </c>
    </row>
    <row r="90">
      <c r="A90" s="3" t="s">
        <v>479</v>
      </c>
      <c r="B90" s="5">
        <v>204995.0</v>
      </c>
      <c r="C90" s="3" t="s">
        <v>459</v>
      </c>
      <c r="D90" s="1">
        <v>0.0</v>
      </c>
      <c r="E90" s="3" t="s">
        <v>401</v>
      </c>
      <c r="F90" s="1">
        <v>38.0</v>
      </c>
      <c r="G90" s="3" t="s">
        <v>3</v>
      </c>
      <c r="H90" s="3" t="s">
        <v>781</v>
      </c>
      <c r="I90" s="3" t="s">
        <v>13</v>
      </c>
      <c r="J90" s="1">
        <v>17.0</v>
      </c>
      <c r="K90" s="3" t="s">
        <v>3</v>
      </c>
      <c r="L90" s="3" t="s">
        <v>125</v>
      </c>
      <c r="M90" s="1">
        <v>19.0</v>
      </c>
      <c r="N90" s="3" t="s">
        <v>3</v>
      </c>
      <c r="O90" s="4" t="s">
        <v>958</v>
      </c>
      <c r="P90" s="4" t="s">
        <v>959</v>
      </c>
    </row>
    <row r="91">
      <c r="A91" s="1" t="s">
        <v>506</v>
      </c>
      <c r="B91" s="2">
        <v>119320.0</v>
      </c>
      <c r="C91" s="1" t="s">
        <v>459</v>
      </c>
      <c r="D91" s="1">
        <v>0.0</v>
      </c>
      <c r="E91" s="1" t="s">
        <v>207</v>
      </c>
      <c r="F91" s="1">
        <v>1.0</v>
      </c>
      <c r="G91" s="1" t="s">
        <v>3</v>
      </c>
      <c r="H91" s="3" t="s">
        <v>781</v>
      </c>
      <c r="I91" s="1" t="s">
        <v>105</v>
      </c>
      <c r="J91" s="1">
        <v>26.0</v>
      </c>
      <c r="K91" s="1" t="s">
        <v>3</v>
      </c>
      <c r="L91" s="1" t="s">
        <v>64</v>
      </c>
      <c r="M91" s="1">
        <v>30.0</v>
      </c>
      <c r="N91" s="1" t="s">
        <v>3</v>
      </c>
      <c r="O91" s="4" t="s">
        <v>960</v>
      </c>
      <c r="P91" s="4" t="s">
        <v>961</v>
      </c>
    </row>
    <row r="92">
      <c r="A92" s="1" t="s">
        <v>509</v>
      </c>
      <c r="B92" s="2">
        <v>206209.0</v>
      </c>
      <c r="C92" s="1" t="s">
        <v>459</v>
      </c>
      <c r="D92" s="1">
        <v>0.0</v>
      </c>
      <c r="E92" s="1" t="s">
        <v>401</v>
      </c>
      <c r="F92" s="1">
        <v>38.0</v>
      </c>
      <c r="G92" s="1" t="s">
        <v>3</v>
      </c>
      <c r="H92" s="3" t="s">
        <v>781</v>
      </c>
      <c r="I92" s="1" t="s">
        <v>309</v>
      </c>
      <c r="J92" s="1">
        <v>40.0</v>
      </c>
      <c r="K92" s="1" t="s">
        <v>3</v>
      </c>
      <c r="L92" s="1" t="s">
        <v>238</v>
      </c>
      <c r="M92" s="1">
        <v>37.0</v>
      </c>
      <c r="N92" s="1" t="s">
        <v>3</v>
      </c>
      <c r="O92" s="4" t="s">
        <v>962</v>
      </c>
      <c r="P92" s="4" t="s">
        <v>963</v>
      </c>
    </row>
    <row r="93">
      <c r="A93" s="1" t="s">
        <v>526</v>
      </c>
      <c r="B93" s="2">
        <v>136204.0</v>
      </c>
      <c r="C93" s="1" t="s">
        <v>459</v>
      </c>
      <c r="D93" s="1">
        <v>0.0</v>
      </c>
      <c r="E93" s="1" t="s">
        <v>309</v>
      </c>
      <c r="F93" s="1">
        <v>40.0</v>
      </c>
      <c r="G93" s="1" t="s">
        <v>3</v>
      </c>
      <c r="H93" s="3" t="s">
        <v>781</v>
      </c>
      <c r="I93" s="1" t="s">
        <v>124</v>
      </c>
      <c r="J93" s="1">
        <v>46.0</v>
      </c>
      <c r="K93" s="1" t="s">
        <v>3</v>
      </c>
      <c r="L93" s="1" t="s">
        <v>238</v>
      </c>
      <c r="M93" s="1">
        <v>37.0</v>
      </c>
      <c r="N93" s="1" t="s">
        <v>3</v>
      </c>
      <c r="O93" s="4" t="s">
        <v>964</v>
      </c>
      <c r="P93" s="4" t="s">
        <v>965</v>
      </c>
    </row>
    <row r="94">
      <c r="A94" s="1" t="s">
        <v>537</v>
      </c>
      <c r="B94" s="2">
        <v>205217.0</v>
      </c>
      <c r="C94" s="1" t="s">
        <v>459</v>
      </c>
      <c r="D94" s="1">
        <v>0.0</v>
      </c>
      <c r="E94" s="1" t="s">
        <v>401</v>
      </c>
      <c r="F94" s="1">
        <v>38.0</v>
      </c>
      <c r="G94" s="1" t="s">
        <v>3</v>
      </c>
      <c r="H94" s="3" t="s">
        <v>781</v>
      </c>
      <c r="I94" s="1" t="s">
        <v>5</v>
      </c>
      <c r="J94" s="1">
        <v>35.0</v>
      </c>
      <c r="K94" s="1" t="s">
        <v>3</v>
      </c>
      <c r="L94" s="1" t="s">
        <v>465</v>
      </c>
      <c r="M94" s="1">
        <v>36.0</v>
      </c>
      <c r="N94" s="1" t="s">
        <v>3</v>
      </c>
      <c r="O94" s="4" t="s">
        <v>966</v>
      </c>
      <c r="P94" s="4" t="s">
        <v>967</v>
      </c>
    </row>
    <row r="95">
      <c r="A95" s="1" t="s">
        <v>542</v>
      </c>
      <c r="B95" s="2">
        <v>150837.0</v>
      </c>
      <c r="C95" s="1" t="s">
        <v>459</v>
      </c>
      <c r="D95" s="1">
        <v>0.0</v>
      </c>
      <c r="E95" s="1" t="s">
        <v>28</v>
      </c>
      <c r="F95" s="1">
        <v>32.0</v>
      </c>
      <c r="G95" s="1" t="s">
        <v>3</v>
      </c>
      <c r="H95" s="3" t="s">
        <v>781</v>
      </c>
      <c r="I95" s="1" t="s">
        <v>13</v>
      </c>
      <c r="J95" s="1">
        <v>17.0</v>
      </c>
      <c r="K95" s="1" t="s">
        <v>3</v>
      </c>
      <c r="L95" s="1" t="s">
        <v>111</v>
      </c>
      <c r="M95" s="1">
        <v>28.0</v>
      </c>
      <c r="N95" s="1" t="s">
        <v>3</v>
      </c>
      <c r="O95" s="4" t="s">
        <v>968</v>
      </c>
      <c r="P95" s="4" t="s">
        <v>969</v>
      </c>
    </row>
    <row r="96">
      <c r="A96" s="1" t="s">
        <v>543</v>
      </c>
      <c r="B96" s="2">
        <v>150316.0</v>
      </c>
      <c r="C96" s="1" t="s">
        <v>459</v>
      </c>
      <c r="D96" s="1">
        <v>0.0</v>
      </c>
      <c r="E96" s="1" t="s">
        <v>401</v>
      </c>
      <c r="F96" s="1">
        <v>38.0</v>
      </c>
      <c r="G96" s="1" t="s">
        <v>3</v>
      </c>
      <c r="H96" s="3" t="s">
        <v>781</v>
      </c>
      <c r="I96" s="1" t="s">
        <v>5</v>
      </c>
      <c r="J96" s="1">
        <v>35.0</v>
      </c>
      <c r="K96" s="1" t="s">
        <v>3</v>
      </c>
      <c r="L96" s="1" t="s">
        <v>238</v>
      </c>
      <c r="M96" s="1">
        <v>37.0</v>
      </c>
      <c r="N96" s="1" t="s">
        <v>3</v>
      </c>
      <c r="O96" s="4" t="s">
        <v>970</v>
      </c>
      <c r="P96" s="4" t="s">
        <v>971</v>
      </c>
    </row>
    <row r="97">
      <c r="A97" s="1" t="s">
        <v>546</v>
      </c>
      <c r="B97" s="2">
        <v>117129.0</v>
      </c>
      <c r="C97" s="1" t="s">
        <v>459</v>
      </c>
      <c r="D97" s="1">
        <v>0.0</v>
      </c>
      <c r="E97" s="1" t="s">
        <v>191</v>
      </c>
      <c r="F97" s="1">
        <v>39.0</v>
      </c>
      <c r="G97" s="1" t="s">
        <v>3</v>
      </c>
      <c r="H97" s="3" t="s">
        <v>781</v>
      </c>
      <c r="I97" s="1" t="s">
        <v>465</v>
      </c>
      <c r="J97" s="1">
        <v>36.0</v>
      </c>
      <c r="K97" s="1" t="s">
        <v>3</v>
      </c>
      <c r="L97" s="1" t="s">
        <v>401</v>
      </c>
      <c r="M97" s="1">
        <v>38.0</v>
      </c>
      <c r="N97" s="1" t="s">
        <v>3</v>
      </c>
      <c r="O97" s="4" t="s">
        <v>972</v>
      </c>
      <c r="P97" s="4" t="s">
        <v>973</v>
      </c>
    </row>
    <row r="98">
      <c r="A98" s="1" t="s">
        <v>554</v>
      </c>
      <c r="B98" s="2">
        <v>137811.0</v>
      </c>
      <c r="C98" s="1" t="s">
        <v>459</v>
      </c>
      <c r="D98" s="1">
        <v>0.0</v>
      </c>
      <c r="E98" s="1" t="s">
        <v>13</v>
      </c>
      <c r="F98" s="1">
        <v>17.0</v>
      </c>
      <c r="G98" s="1" t="s">
        <v>3</v>
      </c>
      <c r="H98" s="3" t="s">
        <v>781</v>
      </c>
      <c r="I98" s="1" t="s">
        <v>5</v>
      </c>
      <c r="J98" s="1">
        <v>35.0</v>
      </c>
      <c r="K98" s="1" t="s">
        <v>3</v>
      </c>
      <c r="L98" s="1" t="s">
        <v>16</v>
      </c>
      <c r="M98" s="1">
        <v>3.0</v>
      </c>
      <c r="N98" s="1" t="s">
        <v>3</v>
      </c>
      <c r="O98" s="4" t="s">
        <v>974</v>
      </c>
      <c r="P98" s="4" t="s">
        <v>975</v>
      </c>
    </row>
    <row r="99">
      <c r="A99" s="1" t="s">
        <v>562</v>
      </c>
      <c r="B99" s="2">
        <v>150663.0</v>
      </c>
      <c r="C99" s="1" t="s">
        <v>459</v>
      </c>
      <c r="D99" s="1">
        <v>0.0</v>
      </c>
      <c r="E99" s="1" t="s">
        <v>465</v>
      </c>
      <c r="F99" s="1">
        <v>36.0</v>
      </c>
      <c r="G99" s="1" t="s">
        <v>3</v>
      </c>
      <c r="H99" s="3" t="s">
        <v>781</v>
      </c>
      <c r="I99" s="1" t="s">
        <v>401</v>
      </c>
      <c r="J99" s="1">
        <v>38.0</v>
      </c>
      <c r="K99" s="1" t="s">
        <v>3</v>
      </c>
      <c r="L99" s="1" t="s">
        <v>309</v>
      </c>
      <c r="M99" s="1">
        <v>40.0</v>
      </c>
      <c r="N99" s="1" t="s">
        <v>3</v>
      </c>
      <c r="O99" s="4" t="s">
        <v>976</v>
      </c>
      <c r="P99" s="4" t="s">
        <v>977</v>
      </c>
    </row>
    <row r="100">
      <c r="A100" s="1" t="s">
        <v>563</v>
      </c>
      <c r="B100" s="2">
        <v>150386.0</v>
      </c>
      <c r="C100" s="1" t="s">
        <v>459</v>
      </c>
      <c r="D100" s="1">
        <v>0.0</v>
      </c>
      <c r="E100" s="1" t="s">
        <v>72</v>
      </c>
      <c r="F100" s="1">
        <v>34.0</v>
      </c>
      <c r="G100" s="1" t="s">
        <v>3</v>
      </c>
      <c r="H100" s="3" t="s">
        <v>781</v>
      </c>
      <c r="I100" s="1" t="s">
        <v>18</v>
      </c>
      <c r="J100" s="1">
        <v>22.0</v>
      </c>
      <c r="K100" s="1" t="s">
        <v>3</v>
      </c>
      <c r="L100" s="1" t="s">
        <v>238</v>
      </c>
      <c r="M100" s="1">
        <v>37.0</v>
      </c>
      <c r="N100" s="1" t="s">
        <v>3</v>
      </c>
      <c r="O100" s="4" t="s">
        <v>978</v>
      </c>
      <c r="P100" s="4" t="s">
        <v>979</v>
      </c>
    </row>
    <row r="101">
      <c r="A101" s="1" t="s">
        <v>578</v>
      </c>
      <c r="B101" s="2">
        <v>207052.0</v>
      </c>
      <c r="C101" s="1" t="s">
        <v>459</v>
      </c>
      <c r="D101" s="1">
        <v>0.0</v>
      </c>
      <c r="E101" s="1" t="s">
        <v>465</v>
      </c>
      <c r="F101" s="1">
        <v>36.0</v>
      </c>
      <c r="G101" s="1" t="s">
        <v>3</v>
      </c>
      <c r="H101" s="3" t="s">
        <v>781</v>
      </c>
      <c r="I101" s="1" t="s">
        <v>10</v>
      </c>
      <c r="J101" s="1">
        <v>9.0</v>
      </c>
      <c r="K101" s="1" t="s">
        <v>579</v>
      </c>
      <c r="L101" s="1" t="s">
        <v>309</v>
      </c>
      <c r="M101" s="1">
        <v>40.0</v>
      </c>
      <c r="N101" s="1" t="s">
        <v>3</v>
      </c>
      <c r="O101" s="4" t="s">
        <v>980</v>
      </c>
      <c r="P101" s="4" t="s">
        <v>981</v>
      </c>
    </row>
    <row r="102">
      <c r="A102" s="1" t="s">
        <v>585</v>
      </c>
      <c r="B102" s="2">
        <v>150353.0</v>
      </c>
      <c r="C102" s="1" t="s">
        <v>459</v>
      </c>
      <c r="D102" s="1">
        <v>0.0</v>
      </c>
      <c r="E102" s="1" t="s">
        <v>39</v>
      </c>
      <c r="F102" s="1">
        <v>20.0</v>
      </c>
      <c r="G102" s="1" t="s">
        <v>3</v>
      </c>
      <c r="H102" s="3" t="s">
        <v>781</v>
      </c>
      <c r="I102" s="1" t="s">
        <v>207</v>
      </c>
      <c r="J102" s="1">
        <v>1.0</v>
      </c>
      <c r="K102" s="1" t="s">
        <v>3</v>
      </c>
      <c r="L102" s="1" t="s">
        <v>309</v>
      </c>
      <c r="M102" s="1">
        <v>40.0</v>
      </c>
      <c r="N102" s="1" t="s">
        <v>3</v>
      </c>
      <c r="O102" s="4" t="s">
        <v>982</v>
      </c>
      <c r="P102" s="4" t="s">
        <v>983</v>
      </c>
    </row>
    <row r="103">
      <c r="A103" s="1" t="s">
        <v>593</v>
      </c>
      <c r="B103" s="2">
        <v>192804.0</v>
      </c>
      <c r="C103" s="1" t="s">
        <v>459</v>
      </c>
      <c r="D103" s="1">
        <v>0.0</v>
      </c>
      <c r="E103" s="1" t="s">
        <v>238</v>
      </c>
      <c r="F103" s="1">
        <v>37.0</v>
      </c>
      <c r="G103" s="1" t="s">
        <v>3</v>
      </c>
      <c r="H103" s="3" t="s">
        <v>781</v>
      </c>
      <c r="I103" s="1" t="s">
        <v>191</v>
      </c>
      <c r="J103" s="1">
        <v>39.0</v>
      </c>
      <c r="K103" s="1" t="s">
        <v>3</v>
      </c>
      <c r="L103" s="1" t="s">
        <v>401</v>
      </c>
      <c r="M103" s="1">
        <v>38.0</v>
      </c>
      <c r="N103" s="1" t="s">
        <v>3</v>
      </c>
      <c r="O103" s="4" t="s">
        <v>984</v>
      </c>
      <c r="P103" s="4" t="s">
        <v>985</v>
      </c>
    </row>
    <row r="104">
      <c r="A104" s="1" t="s">
        <v>594</v>
      </c>
      <c r="B104" s="2">
        <v>204968.0</v>
      </c>
      <c r="C104" s="1" t="s">
        <v>459</v>
      </c>
      <c r="D104" s="1">
        <v>0.0</v>
      </c>
      <c r="E104" s="1" t="s">
        <v>34</v>
      </c>
      <c r="F104" s="1">
        <v>8.0</v>
      </c>
      <c r="G104" s="1" t="s">
        <v>3</v>
      </c>
      <c r="H104" s="3" t="s">
        <v>781</v>
      </c>
      <c r="I104" s="1" t="s">
        <v>114</v>
      </c>
      <c r="J104" s="1">
        <v>12.0</v>
      </c>
      <c r="K104" s="1" t="s">
        <v>3</v>
      </c>
      <c r="L104" s="1" t="s">
        <v>32</v>
      </c>
      <c r="M104" s="1">
        <v>11.0</v>
      </c>
      <c r="N104" s="1" t="s">
        <v>3</v>
      </c>
      <c r="O104" s="4" t="s">
        <v>986</v>
      </c>
      <c r="P104" s="4" t="s">
        <v>987</v>
      </c>
    </row>
    <row r="105">
      <c r="A105" s="1" t="s">
        <v>611</v>
      </c>
      <c r="B105" s="2">
        <v>304949.0</v>
      </c>
      <c r="C105" s="1" t="s">
        <v>459</v>
      </c>
      <c r="D105" s="1">
        <v>0.0</v>
      </c>
      <c r="E105" s="1" t="s">
        <v>238</v>
      </c>
      <c r="F105" s="1">
        <v>37.0</v>
      </c>
      <c r="G105" s="1" t="s">
        <v>3</v>
      </c>
      <c r="H105" s="3" t="s">
        <v>781</v>
      </c>
      <c r="I105" s="1" t="s">
        <v>465</v>
      </c>
      <c r="J105" s="1">
        <v>36.0</v>
      </c>
      <c r="K105" s="1" t="s">
        <v>3</v>
      </c>
      <c r="L105" s="1" t="s">
        <v>309</v>
      </c>
      <c r="M105" s="1">
        <v>40.0</v>
      </c>
      <c r="N105" s="1" t="s">
        <v>3</v>
      </c>
      <c r="O105" s="4" t="s">
        <v>988</v>
      </c>
      <c r="P105" s="4" t="s">
        <v>989</v>
      </c>
    </row>
    <row r="106">
      <c r="A106" s="1" t="s">
        <v>625</v>
      </c>
      <c r="B106" s="2">
        <v>171928.0</v>
      </c>
      <c r="C106" s="1" t="s">
        <v>459</v>
      </c>
      <c r="D106" s="1">
        <v>0.0</v>
      </c>
      <c r="E106" s="1" t="s">
        <v>238</v>
      </c>
      <c r="F106" s="1">
        <v>37.0</v>
      </c>
      <c r="G106" s="1" t="s">
        <v>3</v>
      </c>
      <c r="H106" s="3" t="s">
        <v>781</v>
      </c>
      <c r="I106" s="1" t="s">
        <v>76</v>
      </c>
      <c r="J106" s="1">
        <v>24.0</v>
      </c>
      <c r="K106" s="1" t="s">
        <v>3</v>
      </c>
      <c r="L106" s="1" t="s">
        <v>191</v>
      </c>
      <c r="M106" s="1">
        <v>39.0</v>
      </c>
      <c r="N106" s="1" t="s">
        <v>3</v>
      </c>
      <c r="O106" s="4" t="s">
        <v>990</v>
      </c>
      <c r="P106" s="4" t="s">
        <v>991</v>
      </c>
    </row>
    <row r="107">
      <c r="A107" s="3" t="s">
        <v>626</v>
      </c>
      <c r="B107" s="5">
        <v>173955.0</v>
      </c>
      <c r="C107" s="3" t="s">
        <v>459</v>
      </c>
      <c r="D107" s="1">
        <v>0.0</v>
      </c>
      <c r="E107" s="3" t="s">
        <v>401</v>
      </c>
      <c r="F107" s="1">
        <v>38.0</v>
      </c>
      <c r="G107" s="3" t="s">
        <v>455</v>
      </c>
      <c r="H107" s="3" t="s">
        <v>781</v>
      </c>
      <c r="I107" s="3" t="s">
        <v>238</v>
      </c>
      <c r="J107" s="1">
        <v>37.0</v>
      </c>
      <c r="K107" s="3" t="s">
        <v>455</v>
      </c>
      <c r="L107" s="3" t="s">
        <v>309</v>
      </c>
      <c r="M107" s="1">
        <v>40.0</v>
      </c>
      <c r="N107" s="3" t="s">
        <v>455</v>
      </c>
      <c r="O107" s="4" t="s">
        <v>992</v>
      </c>
      <c r="P107" s="4" t="s">
        <v>993</v>
      </c>
    </row>
    <row r="108">
      <c r="A108" s="1" t="s">
        <v>657</v>
      </c>
      <c r="B108" s="2">
        <v>150671.0</v>
      </c>
      <c r="C108" s="1" t="s">
        <v>459</v>
      </c>
      <c r="D108" s="1">
        <v>0.0</v>
      </c>
      <c r="E108" s="1" t="s">
        <v>401</v>
      </c>
      <c r="F108" s="1">
        <v>38.0</v>
      </c>
      <c r="G108" s="1" t="s">
        <v>3</v>
      </c>
      <c r="H108" s="3" t="s">
        <v>781</v>
      </c>
      <c r="I108" s="1" t="s">
        <v>465</v>
      </c>
      <c r="J108" s="1">
        <v>36.0</v>
      </c>
      <c r="K108" s="1" t="s">
        <v>3</v>
      </c>
      <c r="L108" s="1" t="s">
        <v>5</v>
      </c>
      <c r="M108" s="1">
        <v>35.0</v>
      </c>
      <c r="N108" s="1" t="s">
        <v>3</v>
      </c>
      <c r="O108" s="4" t="s">
        <v>994</v>
      </c>
      <c r="P108" s="4" t="s">
        <v>995</v>
      </c>
    </row>
    <row r="109">
      <c r="A109" s="1" t="s">
        <v>664</v>
      </c>
      <c r="B109" s="2">
        <v>306014.0</v>
      </c>
      <c r="C109" s="1" t="s">
        <v>459</v>
      </c>
      <c r="D109" s="1">
        <v>0.0</v>
      </c>
      <c r="E109" s="1" t="s">
        <v>7</v>
      </c>
      <c r="F109" s="1">
        <v>15.0</v>
      </c>
      <c r="G109" s="1" t="s">
        <v>3</v>
      </c>
      <c r="H109" s="3" t="s">
        <v>781</v>
      </c>
      <c r="I109" s="1" t="s">
        <v>16</v>
      </c>
      <c r="J109" s="1">
        <v>3.0</v>
      </c>
      <c r="K109" s="1" t="s">
        <v>3</v>
      </c>
      <c r="L109" s="1" t="s">
        <v>9</v>
      </c>
      <c r="M109" s="1">
        <v>5.0</v>
      </c>
      <c r="N109" s="1" t="s">
        <v>3</v>
      </c>
      <c r="O109" s="4" t="s">
        <v>996</v>
      </c>
      <c r="P109" s="4" t="s">
        <v>997</v>
      </c>
    </row>
    <row r="110">
      <c r="A110" s="1" t="s">
        <v>665</v>
      </c>
      <c r="B110" s="2">
        <v>150645.0</v>
      </c>
      <c r="C110" s="1" t="s">
        <v>459</v>
      </c>
      <c r="D110" s="1">
        <v>0.0</v>
      </c>
      <c r="E110" s="1" t="s">
        <v>21</v>
      </c>
      <c r="F110" s="1">
        <v>10.0</v>
      </c>
      <c r="G110" s="1" t="s">
        <v>3</v>
      </c>
      <c r="H110" s="3" t="s">
        <v>781</v>
      </c>
      <c r="I110" s="1" t="s">
        <v>465</v>
      </c>
      <c r="J110" s="1">
        <v>36.0</v>
      </c>
      <c r="K110" s="1" t="s">
        <v>3</v>
      </c>
      <c r="L110" s="1" t="s">
        <v>26</v>
      </c>
      <c r="M110" s="1">
        <v>7.0</v>
      </c>
      <c r="N110" s="1" t="s">
        <v>3</v>
      </c>
      <c r="O110" s="4" t="s">
        <v>998</v>
      </c>
      <c r="P110" s="4" t="s">
        <v>999</v>
      </c>
    </row>
    <row r="111">
      <c r="A111" s="1" t="s">
        <v>666</v>
      </c>
      <c r="B111" s="2">
        <v>177631.0</v>
      </c>
      <c r="C111" s="1" t="s">
        <v>459</v>
      </c>
      <c r="D111" s="1">
        <v>0.0</v>
      </c>
      <c r="E111" s="1" t="s">
        <v>465</v>
      </c>
      <c r="F111" s="1">
        <v>36.0</v>
      </c>
      <c r="G111" s="1" t="s">
        <v>3</v>
      </c>
      <c r="H111" s="3" t="s">
        <v>781</v>
      </c>
      <c r="I111" s="1" t="s">
        <v>105</v>
      </c>
      <c r="J111" s="1">
        <v>26.0</v>
      </c>
      <c r="K111" s="1" t="s">
        <v>3</v>
      </c>
      <c r="L111" s="1" t="s">
        <v>5</v>
      </c>
      <c r="M111" s="1">
        <v>35.0</v>
      </c>
      <c r="N111" s="1" t="s">
        <v>3</v>
      </c>
      <c r="O111" s="4" t="s">
        <v>1000</v>
      </c>
      <c r="P111" s="4" t="s">
        <v>1001</v>
      </c>
    </row>
    <row r="112">
      <c r="A112" s="1" t="s">
        <v>671</v>
      </c>
      <c r="B112" s="2">
        <v>137911.0</v>
      </c>
      <c r="C112" s="1" t="s">
        <v>459</v>
      </c>
      <c r="D112" s="1">
        <v>0.0</v>
      </c>
      <c r="E112" s="1" t="s">
        <v>465</v>
      </c>
      <c r="F112" s="1">
        <v>36.0</v>
      </c>
      <c r="G112" s="1" t="s">
        <v>3</v>
      </c>
      <c r="H112" s="3" t="s">
        <v>781</v>
      </c>
      <c r="I112" s="1" t="s">
        <v>309</v>
      </c>
      <c r="J112" s="1">
        <v>40.0</v>
      </c>
      <c r="K112" s="1" t="s">
        <v>3</v>
      </c>
      <c r="L112" s="1" t="s">
        <v>401</v>
      </c>
      <c r="M112" s="1">
        <v>38.0</v>
      </c>
      <c r="N112" s="1" t="s">
        <v>3</v>
      </c>
      <c r="O112" s="4" t="s">
        <v>1002</v>
      </c>
      <c r="P112" s="4" t="s">
        <v>1003</v>
      </c>
    </row>
    <row r="113">
      <c r="A113" s="1" t="s">
        <v>682</v>
      </c>
      <c r="B113" s="2">
        <v>171656.0</v>
      </c>
      <c r="C113" s="1" t="s">
        <v>459</v>
      </c>
      <c r="D113" s="1">
        <v>0.0</v>
      </c>
      <c r="E113" s="1" t="s">
        <v>20</v>
      </c>
      <c r="F113" s="1">
        <v>48.0</v>
      </c>
      <c r="G113" s="1" t="s">
        <v>3</v>
      </c>
      <c r="H113" s="3" t="s">
        <v>781</v>
      </c>
      <c r="I113" s="1" t="s">
        <v>109</v>
      </c>
      <c r="J113" s="1">
        <v>49.0</v>
      </c>
      <c r="K113" s="1" t="s">
        <v>3</v>
      </c>
      <c r="L113" s="1" t="s">
        <v>7</v>
      </c>
      <c r="M113" s="1">
        <v>15.0</v>
      </c>
      <c r="N113" s="1" t="s">
        <v>455</v>
      </c>
      <c r="O113" s="4" t="s">
        <v>1004</v>
      </c>
      <c r="P113" s="4" t="s">
        <v>1005</v>
      </c>
    </row>
    <row r="114">
      <c r="A114" s="1" t="s">
        <v>692</v>
      </c>
      <c r="B114" s="2">
        <v>206812.0</v>
      </c>
      <c r="C114" s="1" t="s">
        <v>459</v>
      </c>
      <c r="D114" s="1">
        <v>0.0</v>
      </c>
      <c r="E114" s="1" t="s">
        <v>28</v>
      </c>
      <c r="F114" s="1">
        <v>32.0</v>
      </c>
      <c r="G114" s="1" t="s">
        <v>3</v>
      </c>
      <c r="H114" s="3" t="s">
        <v>781</v>
      </c>
      <c r="I114" s="1" t="s">
        <v>34</v>
      </c>
      <c r="J114" s="1">
        <v>8.0</v>
      </c>
      <c r="K114" s="1" t="s">
        <v>3</v>
      </c>
      <c r="L114" s="1" t="s">
        <v>109</v>
      </c>
      <c r="M114" s="1">
        <v>49.0</v>
      </c>
      <c r="N114" s="1" t="s">
        <v>3</v>
      </c>
      <c r="O114" s="4" t="s">
        <v>1006</v>
      </c>
      <c r="P114" s="4" t="s">
        <v>1007</v>
      </c>
    </row>
    <row r="115">
      <c r="A115" s="3" t="s">
        <v>697</v>
      </c>
      <c r="B115" s="5">
        <v>150390.0</v>
      </c>
      <c r="C115" s="3" t="s">
        <v>459</v>
      </c>
      <c r="D115" s="1">
        <v>0.0</v>
      </c>
      <c r="E115" s="3" t="s">
        <v>12</v>
      </c>
      <c r="F115" s="1">
        <v>41.0</v>
      </c>
      <c r="G115" s="3" t="s">
        <v>3</v>
      </c>
      <c r="H115" s="3" t="s">
        <v>781</v>
      </c>
      <c r="I115" s="3" t="s">
        <v>184</v>
      </c>
      <c r="J115" s="1">
        <v>4.0</v>
      </c>
      <c r="K115" s="3" t="s">
        <v>3</v>
      </c>
      <c r="L115" s="3" t="s">
        <v>139</v>
      </c>
      <c r="M115" s="1">
        <v>21.0</v>
      </c>
      <c r="N115" s="3" t="s">
        <v>3</v>
      </c>
      <c r="O115" s="4" t="s">
        <v>1008</v>
      </c>
      <c r="P115" s="4" t="s">
        <v>1009</v>
      </c>
    </row>
    <row r="116">
      <c r="A116" s="3" t="s">
        <v>698</v>
      </c>
      <c r="B116" s="5">
        <v>301529.0</v>
      </c>
      <c r="C116" s="3" t="s">
        <v>459</v>
      </c>
      <c r="D116" s="1">
        <v>0.0</v>
      </c>
      <c r="E116" s="3" t="s">
        <v>47</v>
      </c>
      <c r="F116" s="1">
        <v>27.0</v>
      </c>
      <c r="G116" s="3" t="s">
        <v>3</v>
      </c>
      <c r="H116" s="3" t="s">
        <v>781</v>
      </c>
      <c r="I116" s="3" t="s">
        <v>111</v>
      </c>
      <c r="J116" s="1">
        <v>28.0</v>
      </c>
      <c r="K116" s="3" t="s">
        <v>3</v>
      </c>
      <c r="L116" s="3" t="s">
        <v>28</v>
      </c>
      <c r="M116" s="1">
        <v>32.0</v>
      </c>
      <c r="N116" s="3" t="s">
        <v>3</v>
      </c>
      <c r="O116" s="4" t="s">
        <v>1010</v>
      </c>
      <c r="P116" s="4" t="s">
        <v>1011</v>
      </c>
    </row>
    <row r="117">
      <c r="A117" s="1" t="s">
        <v>702</v>
      </c>
      <c r="B117" s="2">
        <v>182956.0</v>
      </c>
      <c r="C117" s="1" t="s">
        <v>459</v>
      </c>
      <c r="D117" s="1">
        <v>0.0</v>
      </c>
      <c r="E117" s="1" t="s">
        <v>309</v>
      </c>
      <c r="F117" s="1">
        <v>40.0</v>
      </c>
      <c r="G117" s="1" t="s">
        <v>3</v>
      </c>
      <c r="H117" s="3" t="s">
        <v>781</v>
      </c>
      <c r="I117" s="1" t="s">
        <v>191</v>
      </c>
      <c r="J117" s="1">
        <v>39.0</v>
      </c>
      <c r="K117" s="1" t="s">
        <v>3</v>
      </c>
      <c r="L117" s="1" t="s">
        <v>465</v>
      </c>
      <c r="M117" s="1">
        <v>36.0</v>
      </c>
      <c r="N117" s="1" t="s">
        <v>3</v>
      </c>
      <c r="O117" s="4" t="s">
        <v>1012</v>
      </c>
      <c r="P117" s="4" t="s">
        <v>1013</v>
      </c>
    </row>
    <row r="118">
      <c r="A118" s="1" t="s">
        <v>711</v>
      </c>
      <c r="B118" s="2">
        <v>186129.0</v>
      </c>
      <c r="C118" s="1" t="s">
        <v>459</v>
      </c>
      <c r="D118" s="1">
        <v>0.0</v>
      </c>
      <c r="E118" s="1" t="s">
        <v>13</v>
      </c>
      <c r="F118" s="1">
        <v>17.0</v>
      </c>
      <c r="G118" s="1" t="s">
        <v>3</v>
      </c>
      <c r="H118" s="3" t="s">
        <v>781</v>
      </c>
      <c r="I118" s="1" t="s">
        <v>401</v>
      </c>
      <c r="J118" s="1">
        <v>38.0</v>
      </c>
      <c r="K118" s="1" t="s">
        <v>3</v>
      </c>
      <c r="L118" s="1" t="s">
        <v>5</v>
      </c>
      <c r="M118" s="1">
        <v>35.0</v>
      </c>
      <c r="N118" s="1" t="s">
        <v>3</v>
      </c>
      <c r="O118" s="4" t="s">
        <v>1014</v>
      </c>
      <c r="P118" s="4" t="s">
        <v>1015</v>
      </c>
    </row>
    <row r="119">
      <c r="A119" s="1" t="s">
        <v>712</v>
      </c>
      <c r="B119" s="2">
        <v>155451.0</v>
      </c>
      <c r="C119" s="1" t="s">
        <v>459</v>
      </c>
      <c r="D119" s="1">
        <v>0.0</v>
      </c>
      <c r="E119" s="1" t="s">
        <v>191</v>
      </c>
      <c r="F119" s="1">
        <v>39.0</v>
      </c>
      <c r="G119" s="1" t="s">
        <v>3</v>
      </c>
      <c r="H119" s="3" t="s">
        <v>781</v>
      </c>
      <c r="I119" s="1" t="s">
        <v>465</v>
      </c>
      <c r="J119" s="1">
        <v>36.0</v>
      </c>
      <c r="K119" s="1" t="s">
        <v>3</v>
      </c>
      <c r="L119" s="1" t="s">
        <v>309</v>
      </c>
      <c r="M119" s="1">
        <v>40.0</v>
      </c>
      <c r="N119" s="1" t="s">
        <v>3</v>
      </c>
      <c r="O119" s="4" t="s">
        <v>1016</v>
      </c>
      <c r="P119" s="4" t="s">
        <v>1017</v>
      </c>
    </row>
    <row r="120">
      <c r="A120" s="1" t="s">
        <v>727</v>
      </c>
      <c r="B120" s="2">
        <v>118719.0</v>
      </c>
      <c r="C120" s="1" t="s">
        <v>459</v>
      </c>
      <c r="D120" s="1">
        <v>0.0</v>
      </c>
      <c r="E120" s="1" t="s">
        <v>124</v>
      </c>
      <c r="F120" s="1">
        <v>46.0</v>
      </c>
      <c r="G120" s="1" t="s">
        <v>3</v>
      </c>
      <c r="H120" s="3" t="s">
        <v>781</v>
      </c>
      <c r="I120" s="1" t="s">
        <v>309</v>
      </c>
      <c r="J120" s="1">
        <v>40.0</v>
      </c>
      <c r="K120" s="1" t="s">
        <v>3</v>
      </c>
      <c r="L120" s="1" t="s">
        <v>465</v>
      </c>
      <c r="M120" s="1">
        <v>36.0</v>
      </c>
      <c r="N120" s="1" t="s">
        <v>3</v>
      </c>
      <c r="O120" s="4" t="s">
        <v>1018</v>
      </c>
      <c r="P120" s="4" t="s">
        <v>1019</v>
      </c>
    </row>
    <row r="121">
      <c r="A121" s="1" t="s">
        <v>730</v>
      </c>
      <c r="B121" s="2">
        <v>326007.0</v>
      </c>
      <c r="C121" s="1" t="s">
        <v>459</v>
      </c>
      <c r="D121" s="1">
        <v>0.0</v>
      </c>
      <c r="E121" s="1" t="s">
        <v>465</v>
      </c>
      <c r="F121" s="1">
        <v>36.0</v>
      </c>
      <c r="G121" s="1" t="s">
        <v>3</v>
      </c>
      <c r="H121" s="3" t="s">
        <v>781</v>
      </c>
      <c r="I121" s="1" t="s">
        <v>309</v>
      </c>
      <c r="J121" s="1">
        <v>40.0</v>
      </c>
      <c r="K121" s="1" t="s">
        <v>3</v>
      </c>
      <c r="L121" s="1" t="s">
        <v>401</v>
      </c>
      <c r="M121" s="1">
        <v>38.0</v>
      </c>
      <c r="N121" s="1" t="s">
        <v>3</v>
      </c>
      <c r="O121" s="4" t="s">
        <v>1020</v>
      </c>
      <c r="P121" s="4" t="s">
        <v>1021</v>
      </c>
    </row>
    <row r="122">
      <c r="A122" s="3" t="s">
        <v>733</v>
      </c>
      <c r="B122" s="5">
        <v>149693.0</v>
      </c>
      <c r="C122" s="3" t="s">
        <v>459</v>
      </c>
      <c r="D122" s="1">
        <v>0.0</v>
      </c>
      <c r="E122" s="3" t="s">
        <v>401</v>
      </c>
      <c r="F122" s="1">
        <v>38.0</v>
      </c>
      <c r="G122" s="3" t="s">
        <v>3</v>
      </c>
      <c r="H122" s="3" t="s">
        <v>781</v>
      </c>
      <c r="I122" s="3" t="s">
        <v>465</v>
      </c>
      <c r="J122" s="1">
        <v>36.0</v>
      </c>
      <c r="K122" s="3" t="s">
        <v>3</v>
      </c>
      <c r="L122" s="3" t="s">
        <v>96</v>
      </c>
      <c r="M122" s="1">
        <v>47.0</v>
      </c>
      <c r="N122" s="3" t="s">
        <v>734</v>
      </c>
      <c r="O122" s="4" t="s">
        <v>1022</v>
      </c>
      <c r="P122" s="4" t="s">
        <v>1023</v>
      </c>
    </row>
    <row r="123">
      <c r="A123" s="3" t="s">
        <v>735</v>
      </c>
      <c r="B123" s="5">
        <v>209153.0</v>
      </c>
      <c r="C123" s="3" t="s">
        <v>459</v>
      </c>
      <c r="D123" s="1">
        <v>0.0</v>
      </c>
      <c r="E123" s="3" t="s">
        <v>124</v>
      </c>
      <c r="F123" s="1">
        <v>46.0</v>
      </c>
      <c r="G123" s="3" t="s">
        <v>3</v>
      </c>
      <c r="H123" s="3" t="s">
        <v>781</v>
      </c>
      <c r="I123" s="3" t="s">
        <v>9</v>
      </c>
      <c r="J123" s="1">
        <v>5.0</v>
      </c>
      <c r="K123" s="3" t="s">
        <v>3</v>
      </c>
      <c r="L123" s="3" t="s">
        <v>20</v>
      </c>
      <c r="M123" s="1">
        <v>48.0</v>
      </c>
      <c r="N123" s="3" t="s">
        <v>3</v>
      </c>
      <c r="O123" s="4" t="s">
        <v>1024</v>
      </c>
      <c r="P123" s="4" t="s">
        <v>1025</v>
      </c>
    </row>
    <row r="124">
      <c r="A124" s="3" t="s">
        <v>738</v>
      </c>
      <c r="B124" s="5">
        <v>190963.0</v>
      </c>
      <c r="C124" s="3" t="s">
        <v>459</v>
      </c>
      <c r="D124" s="1">
        <v>0.0</v>
      </c>
      <c r="E124" s="3" t="s">
        <v>184</v>
      </c>
      <c r="F124" s="1">
        <v>4.0</v>
      </c>
      <c r="G124" s="3" t="s">
        <v>3</v>
      </c>
      <c r="H124" s="3" t="s">
        <v>781</v>
      </c>
      <c r="I124" s="3" t="s">
        <v>34</v>
      </c>
      <c r="J124" s="1">
        <v>8.0</v>
      </c>
      <c r="K124" s="3" t="s">
        <v>3</v>
      </c>
      <c r="L124" s="3" t="s">
        <v>16</v>
      </c>
      <c r="M124" s="1">
        <v>3.0</v>
      </c>
      <c r="N124" s="3" t="s">
        <v>3</v>
      </c>
      <c r="O124" s="4" t="s">
        <v>1026</v>
      </c>
      <c r="P124" s="4" t="s">
        <v>1027</v>
      </c>
    </row>
    <row r="125">
      <c r="A125" s="3" t="s">
        <v>741</v>
      </c>
      <c r="B125" s="5">
        <v>124385.0</v>
      </c>
      <c r="C125" s="3" t="s">
        <v>459</v>
      </c>
      <c r="D125" s="1">
        <v>0.0</v>
      </c>
      <c r="E125" s="3" t="s">
        <v>309</v>
      </c>
      <c r="F125" s="1">
        <v>40.0</v>
      </c>
      <c r="G125" s="3" t="s">
        <v>3</v>
      </c>
      <c r="H125" s="3" t="s">
        <v>781</v>
      </c>
      <c r="I125" s="3" t="s">
        <v>191</v>
      </c>
      <c r="J125" s="1">
        <v>39.0</v>
      </c>
      <c r="K125" s="3" t="s">
        <v>3</v>
      </c>
      <c r="L125" s="3" t="s">
        <v>465</v>
      </c>
      <c r="M125" s="1">
        <v>36.0</v>
      </c>
      <c r="N125" s="3" t="s">
        <v>3</v>
      </c>
      <c r="O125" s="4" t="s">
        <v>1028</v>
      </c>
      <c r="P125" s="4" t="s">
        <v>1029</v>
      </c>
    </row>
    <row r="126">
      <c r="A126" s="3" t="s">
        <v>746</v>
      </c>
      <c r="B126" s="5">
        <v>169390.0</v>
      </c>
      <c r="C126" s="3" t="s">
        <v>459</v>
      </c>
      <c r="D126" s="1">
        <v>0.0</v>
      </c>
      <c r="E126" s="3" t="s">
        <v>238</v>
      </c>
      <c r="F126" s="1">
        <v>37.0</v>
      </c>
      <c r="G126" s="3" t="s">
        <v>3</v>
      </c>
      <c r="H126" s="3" t="s">
        <v>781</v>
      </c>
      <c r="I126" s="3" t="s">
        <v>39</v>
      </c>
      <c r="J126" s="1">
        <v>20.0</v>
      </c>
      <c r="K126" s="3" t="s">
        <v>3</v>
      </c>
      <c r="L126" s="3" t="s">
        <v>20</v>
      </c>
      <c r="M126" s="1">
        <v>48.0</v>
      </c>
      <c r="N126" s="3" t="s">
        <v>3</v>
      </c>
      <c r="O126" s="4" t="s">
        <v>1030</v>
      </c>
      <c r="P126" s="4" t="s">
        <v>1031</v>
      </c>
    </row>
    <row r="127">
      <c r="A127" s="3" t="s">
        <v>759</v>
      </c>
      <c r="B127" s="5">
        <v>154981.0</v>
      </c>
      <c r="C127" s="3" t="s">
        <v>459</v>
      </c>
      <c r="D127" s="1">
        <v>0.0</v>
      </c>
      <c r="E127" s="3" t="s">
        <v>465</v>
      </c>
      <c r="F127" s="1">
        <v>36.0</v>
      </c>
      <c r="G127" s="3" t="s">
        <v>3</v>
      </c>
      <c r="H127" s="3" t="s">
        <v>781</v>
      </c>
      <c r="I127" s="3" t="s">
        <v>109</v>
      </c>
      <c r="J127" s="1">
        <v>49.0</v>
      </c>
      <c r="K127" s="3" t="s">
        <v>3</v>
      </c>
      <c r="L127" s="3" t="s">
        <v>35</v>
      </c>
      <c r="M127" s="1">
        <v>45.0</v>
      </c>
      <c r="N127" s="3" t="s">
        <v>3</v>
      </c>
      <c r="O127" s="4" t="s">
        <v>1032</v>
      </c>
      <c r="P127" s="4" t="s">
        <v>1033</v>
      </c>
    </row>
    <row r="128">
      <c r="A128" s="3" t="s">
        <v>760</v>
      </c>
      <c r="B128" s="5">
        <v>306632.0</v>
      </c>
      <c r="C128" s="3" t="s">
        <v>459</v>
      </c>
      <c r="D128" s="1">
        <v>0.0</v>
      </c>
      <c r="E128" s="3" t="s">
        <v>47</v>
      </c>
      <c r="F128" s="1">
        <v>27.0</v>
      </c>
      <c r="G128" s="3" t="s">
        <v>3</v>
      </c>
      <c r="H128" s="3" t="s">
        <v>781</v>
      </c>
      <c r="I128" s="3" t="s">
        <v>28</v>
      </c>
      <c r="J128" s="1">
        <v>32.0</v>
      </c>
      <c r="K128" s="3" t="s">
        <v>3</v>
      </c>
      <c r="L128" s="3" t="s">
        <v>109</v>
      </c>
      <c r="M128" s="1">
        <v>49.0</v>
      </c>
      <c r="N128" s="3" t="s">
        <v>3</v>
      </c>
      <c r="O128" s="4" t="s">
        <v>1034</v>
      </c>
      <c r="P128" s="4" t="s">
        <v>1035</v>
      </c>
    </row>
    <row r="129">
      <c r="A129" s="3" t="s">
        <v>764</v>
      </c>
      <c r="B129" s="5">
        <v>318933.0</v>
      </c>
      <c r="C129" s="3" t="s">
        <v>459</v>
      </c>
      <c r="D129" s="1">
        <v>0.0</v>
      </c>
      <c r="E129" s="3" t="s">
        <v>238</v>
      </c>
      <c r="F129" s="1">
        <v>37.0</v>
      </c>
      <c r="G129" s="3" t="s">
        <v>3</v>
      </c>
      <c r="H129" s="3" t="s">
        <v>781</v>
      </c>
      <c r="I129" s="3" t="s">
        <v>5</v>
      </c>
      <c r="J129" s="1">
        <v>35.0</v>
      </c>
      <c r="K129" s="3" t="s">
        <v>3</v>
      </c>
      <c r="L129" s="3" t="s">
        <v>401</v>
      </c>
      <c r="M129" s="1">
        <v>38.0</v>
      </c>
      <c r="N129" s="13" t="s">
        <v>3</v>
      </c>
      <c r="O129" s="4" t="s">
        <v>1036</v>
      </c>
      <c r="P129" s="4" t="s">
        <v>1037</v>
      </c>
    </row>
    <row r="130">
      <c r="A130" s="3" t="s">
        <v>769</v>
      </c>
      <c r="B130" s="5">
        <v>150361.0</v>
      </c>
      <c r="C130" s="3" t="s">
        <v>459</v>
      </c>
      <c r="D130" s="1">
        <v>0.0</v>
      </c>
      <c r="E130" s="3" t="s">
        <v>191</v>
      </c>
      <c r="F130" s="1">
        <v>39.0</v>
      </c>
      <c r="G130" s="3" t="s">
        <v>3</v>
      </c>
      <c r="H130" s="3" t="s">
        <v>781</v>
      </c>
      <c r="I130" s="3" t="s">
        <v>401</v>
      </c>
      <c r="J130" s="1">
        <v>38.0</v>
      </c>
      <c r="K130" s="3" t="s">
        <v>3</v>
      </c>
      <c r="L130" s="3" t="s">
        <v>238</v>
      </c>
      <c r="M130" s="1">
        <v>37.0</v>
      </c>
      <c r="N130" s="3" t="s">
        <v>3</v>
      </c>
      <c r="O130" s="4" t="s">
        <v>1038</v>
      </c>
      <c r="P130" s="4" t="s">
        <v>1039</v>
      </c>
    </row>
    <row r="131">
      <c r="A131" s="3" t="s">
        <v>775</v>
      </c>
      <c r="B131" s="5">
        <v>202086.0</v>
      </c>
      <c r="C131" s="3" t="s">
        <v>459</v>
      </c>
      <c r="D131" s="1">
        <v>0.0</v>
      </c>
      <c r="E131" s="3" t="s">
        <v>212</v>
      </c>
      <c r="F131" s="1">
        <v>2.0</v>
      </c>
      <c r="G131" s="3" t="s">
        <v>3</v>
      </c>
      <c r="H131" s="3" t="s">
        <v>781</v>
      </c>
      <c r="I131" s="3" t="s">
        <v>40</v>
      </c>
      <c r="J131" s="1">
        <v>44.0</v>
      </c>
      <c r="K131" s="3" t="s">
        <v>3</v>
      </c>
      <c r="L131" s="3" t="s">
        <v>39</v>
      </c>
      <c r="M131" s="1">
        <v>20.0</v>
      </c>
      <c r="N131" s="3" t="s">
        <v>3</v>
      </c>
      <c r="O131" s="4" t="s">
        <v>1040</v>
      </c>
      <c r="P131" s="4" t="s">
        <v>1041</v>
      </c>
    </row>
    <row r="132">
      <c r="A132" s="3" t="s">
        <v>780</v>
      </c>
      <c r="B132" s="5">
        <v>138451.0</v>
      </c>
      <c r="C132" s="3" t="s">
        <v>459</v>
      </c>
      <c r="D132" s="1">
        <v>0.0</v>
      </c>
      <c r="E132" s="3" t="s">
        <v>401</v>
      </c>
      <c r="F132" s="1">
        <v>38.0</v>
      </c>
      <c r="G132" s="3" t="s">
        <v>3</v>
      </c>
      <c r="H132" s="3" t="s">
        <v>781</v>
      </c>
      <c r="I132" s="3" t="s">
        <v>10</v>
      </c>
      <c r="J132" s="1">
        <v>9.0</v>
      </c>
      <c r="K132" s="3" t="s">
        <v>3</v>
      </c>
      <c r="L132" s="3" t="s">
        <v>191</v>
      </c>
      <c r="M132" s="1">
        <v>39.0</v>
      </c>
      <c r="N132" s="3" t="s">
        <v>3</v>
      </c>
      <c r="O132" s="4" t="s">
        <v>1042</v>
      </c>
      <c r="P132" s="4" t="s">
        <v>1043</v>
      </c>
    </row>
    <row r="133">
      <c r="A133" s="3"/>
      <c r="B133" s="5"/>
      <c r="C133" s="3"/>
      <c r="D133" s="1"/>
      <c r="E133" s="3"/>
      <c r="F133" s="1"/>
      <c r="G133" s="3"/>
      <c r="H133" s="3"/>
      <c r="I133" s="3"/>
      <c r="J133" s="1"/>
      <c r="K133" s="3"/>
      <c r="L133" s="3"/>
      <c r="M133" s="1"/>
      <c r="N133" s="3"/>
    </row>
    <row r="134">
      <c r="A134" s="3"/>
      <c r="B134" s="5"/>
      <c r="C134" s="3"/>
      <c r="D134" s="1"/>
      <c r="E134" s="3"/>
      <c r="F134" s="1"/>
      <c r="G134" s="3"/>
      <c r="H134" s="3"/>
      <c r="I134" s="3"/>
      <c r="J134" s="1"/>
      <c r="K134" s="3"/>
      <c r="L134" s="3"/>
      <c r="M134" s="1"/>
      <c r="N134" s="3"/>
    </row>
    <row r="135">
      <c r="A135" s="3"/>
      <c r="B135" s="5"/>
      <c r="C135" s="3"/>
      <c r="D135" s="1"/>
      <c r="E135" s="3"/>
      <c r="F135" s="1"/>
      <c r="G135" s="3"/>
      <c r="H135" s="3"/>
      <c r="I135" s="3"/>
      <c r="J135" s="1"/>
      <c r="K135" s="3"/>
      <c r="L135" s="3"/>
      <c r="M135" s="1"/>
      <c r="N135" s="3"/>
    </row>
    <row r="136">
      <c r="A136" s="3"/>
      <c r="B136" s="5"/>
      <c r="C136" s="3"/>
      <c r="D136" s="1"/>
      <c r="E136" s="3"/>
      <c r="F136" s="1"/>
      <c r="G136" s="3"/>
      <c r="H136" s="3"/>
      <c r="I136" s="3"/>
      <c r="J136" s="1"/>
      <c r="K136" s="3"/>
      <c r="L136" s="3"/>
      <c r="M136" s="1"/>
      <c r="N136" s="3"/>
    </row>
    <row r="137">
      <c r="A137" s="3"/>
      <c r="B137" s="5"/>
      <c r="C137" s="3"/>
      <c r="D137" s="1"/>
      <c r="E137" s="3"/>
      <c r="F137" s="1"/>
      <c r="G137" s="3"/>
      <c r="H137" s="3"/>
      <c r="I137" s="3"/>
      <c r="J137" s="1"/>
      <c r="K137" s="3"/>
      <c r="L137" s="3"/>
      <c r="M137" s="1"/>
      <c r="N137" s="3"/>
    </row>
    <row r="138">
      <c r="A138" s="3"/>
      <c r="B138" s="5"/>
      <c r="C138" s="3"/>
      <c r="D138" s="1"/>
      <c r="E138" s="3"/>
      <c r="F138" s="1"/>
      <c r="G138" s="3"/>
      <c r="H138" s="3"/>
      <c r="I138" s="3"/>
      <c r="J138" s="1"/>
      <c r="K138" s="3"/>
      <c r="L138" s="3"/>
      <c r="M138" s="1"/>
      <c r="N138" s="3"/>
    </row>
    <row r="139">
      <c r="A139" s="3"/>
      <c r="B139" s="5"/>
      <c r="C139" s="3"/>
      <c r="D139" s="1"/>
      <c r="E139" s="3"/>
      <c r="F139" s="1"/>
      <c r="G139" s="3"/>
      <c r="H139" s="3"/>
      <c r="I139" s="3"/>
      <c r="J139" s="1"/>
      <c r="K139" s="3"/>
      <c r="L139" s="3"/>
      <c r="M139" s="1"/>
      <c r="N139" s="3"/>
    </row>
    <row r="140">
      <c r="A140" s="3"/>
      <c r="B140" s="5"/>
      <c r="C140" s="3"/>
      <c r="D140" s="1"/>
      <c r="E140" s="3"/>
      <c r="F140" s="1"/>
      <c r="G140" s="10"/>
      <c r="H140" s="3"/>
      <c r="I140" s="3"/>
      <c r="J140" s="1"/>
      <c r="K140" s="10"/>
      <c r="L140" s="3"/>
      <c r="M140" s="1"/>
      <c r="N140" s="10"/>
    </row>
    <row r="141">
      <c r="A141" s="3"/>
      <c r="B141" s="5"/>
      <c r="C141" s="3"/>
      <c r="D141" s="1"/>
      <c r="E141" s="3"/>
      <c r="F141" s="1"/>
      <c r="G141" s="3"/>
      <c r="H141" s="3"/>
      <c r="I141" s="3"/>
      <c r="J141" s="1"/>
      <c r="K141" s="3"/>
      <c r="L141" s="3"/>
      <c r="M141" s="1"/>
      <c r="N141" s="3"/>
    </row>
    <row r="142">
      <c r="A142" s="1"/>
      <c r="B142" s="2"/>
      <c r="C142" s="1"/>
      <c r="D142" s="1"/>
      <c r="E142" s="1"/>
      <c r="F142" s="1"/>
      <c r="G142" s="1"/>
      <c r="H142" s="3"/>
      <c r="I142" s="1"/>
      <c r="J142" s="1"/>
      <c r="K142" s="1"/>
      <c r="L142" s="1"/>
      <c r="M142" s="1"/>
      <c r="N142" s="1"/>
    </row>
    <row r="143">
      <c r="A143" s="1"/>
      <c r="B143" s="2"/>
      <c r="C143" s="1"/>
      <c r="D143" s="1"/>
      <c r="E143" s="1"/>
      <c r="F143" s="1"/>
      <c r="G143" s="1"/>
      <c r="H143" s="3"/>
      <c r="I143" s="1"/>
      <c r="J143" s="1"/>
      <c r="K143" s="1"/>
      <c r="L143" s="1"/>
      <c r="M143" s="1"/>
      <c r="N143" s="1"/>
    </row>
    <row r="144">
      <c r="A144" s="1"/>
      <c r="B144" s="2"/>
      <c r="C144" s="1"/>
      <c r="D144" s="1"/>
      <c r="E144" s="1"/>
      <c r="F144" s="1"/>
      <c r="G144" s="1"/>
      <c r="H144" s="3"/>
      <c r="I144" s="1"/>
      <c r="J144" s="1"/>
      <c r="K144" s="1"/>
      <c r="L144" s="1"/>
      <c r="M144" s="1"/>
      <c r="N144" s="1"/>
    </row>
    <row r="145">
      <c r="A145" s="1"/>
      <c r="B145" s="2"/>
      <c r="C145" s="1"/>
      <c r="D145" s="1"/>
      <c r="E145" s="1"/>
      <c r="F145" s="1"/>
      <c r="G145" s="1"/>
      <c r="H145" s="3"/>
      <c r="I145" s="1"/>
      <c r="J145" s="1"/>
      <c r="K145" s="1"/>
      <c r="L145" s="1"/>
      <c r="M145" s="1"/>
      <c r="N145" s="1"/>
    </row>
    <row r="146">
      <c r="A146" s="1"/>
      <c r="B146" s="2"/>
      <c r="C146" s="1"/>
      <c r="D146" s="1"/>
      <c r="E146" s="1"/>
      <c r="F146" s="1"/>
      <c r="G146" s="1"/>
      <c r="H146" s="3"/>
      <c r="I146" s="1"/>
      <c r="J146" s="1"/>
      <c r="K146" s="1"/>
      <c r="L146" s="1"/>
      <c r="M146" s="1"/>
      <c r="N146" s="1"/>
    </row>
    <row r="147">
      <c r="A147" s="1"/>
      <c r="B147" s="2"/>
      <c r="C147" s="1"/>
      <c r="D147" s="1"/>
      <c r="E147" s="1"/>
      <c r="F147" s="1"/>
      <c r="G147" s="1"/>
      <c r="H147" s="3"/>
      <c r="I147" s="1"/>
      <c r="J147" s="1"/>
      <c r="K147" s="1"/>
      <c r="L147" s="1"/>
      <c r="M147" s="1"/>
      <c r="N147" s="1"/>
    </row>
    <row r="148">
      <c r="A148" s="1"/>
      <c r="B148" s="2"/>
      <c r="C148" s="1"/>
      <c r="D148" s="1"/>
      <c r="E148" s="1"/>
      <c r="F148" s="1"/>
      <c r="G148" s="1"/>
      <c r="H148" s="3"/>
      <c r="I148" s="1"/>
      <c r="J148" s="1"/>
      <c r="K148" s="1"/>
      <c r="L148" s="1"/>
      <c r="M148" s="1"/>
      <c r="N148" s="1"/>
    </row>
    <row r="149">
      <c r="A149" s="1"/>
      <c r="B149" s="2"/>
      <c r="C149" s="1"/>
      <c r="D149" s="1"/>
      <c r="E149" s="1"/>
      <c r="F149" s="1"/>
      <c r="G149" s="1"/>
      <c r="H149" s="3"/>
      <c r="I149" s="1"/>
      <c r="J149" s="1"/>
      <c r="K149" s="1"/>
      <c r="L149" s="1"/>
      <c r="M149" s="1"/>
      <c r="N149" s="1"/>
    </row>
    <row r="150">
      <c r="A150" s="1"/>
      <c r="B150" s="2"/>
      <c r="C150" s="1"/>
      <c r="D150" s="1"/>
      <c r="E150" s="1"/>
      <c r="F150" s="1"/>
      <c r="G150" s="1"/>
      <c r="H150" s="3"/>
      <c r="I150" s="1"/>
      <c r="J150" s="1"/>
      <c r="K150" s="1"/>
      <c r="L150" s="1"/>
      <c r="M150" s="1"/>
      <c r="N150" s="1"/>
    </row>
    <row r="151">
      <c r="A151" s="1"/>
      <c r="B151" s="2"/>
      <c r="C151" s="1"/>
      <c r="D151" s="1"/>
      <c r="E151" s="1"/>
      <c r="F151" s="1"/>
      <c r="G151" s="1"/>
      <c r="H151" s="3"/>
      <c r="I151" s="1"/>
      <c r="J151" s="1"/>
      <c r="K151" s="1"/>
      <c r="L151" s="1"/>
      <c r="M151" s="1"/>
      <c r="N151" s="1"/>
    </row>
    <row r="152">
      <c r="A152" s="3"/>
      <c r="B152" s="5"/>
      <c r="C152" s="3"/>
      <c r="D152" s="1"/>
      <c r="E152" s="3"/>
      <c r="F152" s="1"/>
      <c r="G152" s="3"/>
      <c r="H152" s="3"/>
      <c r="I152" s="3"/>
      <c r="J152" s="1"/>
      <c r="K152" s="3"/>
      <c r="L152" s="3"/>
      <c r="M152" s="1"/>
      <c r="N152" s="3"/>
    </row>
    <row r="153">
      <c r="A153" s="1"/>
      <c r="B153" s="2"/>
      <c r="C153" s="1"/>
      <c r="D153" s="1"/>
      <c r="E153" s="1"/>
      <c r="F153" s="1"/>
      <c r="G153" s="1"/>
      <c r="H153" s="3"/>
      <c r="I153" s="1"/>
      <c r="J153" s="1"/>
      <c r="K153" s="1"/>
      <c r="L153" s="1"/>
      <c r="M153" s="1"/>
      <c r="N153" s="1"/>
    </row>
    <row r="154">
      <c r="A154" s="1"/>
      <c r="B154" s="2"/>
      <c r="C154" s="1"/>
      <c r="D154" s="1"/>
      <c r="E154" s="1"/>
      <c r="F154" s="1"/>
      <c r="G154" s="1"/>
      <c r="H154" s="3"/>
      <c r="I154" s="1"/>
      <c r="J154" s="1"/>
      <c r="K154" s="1"/>
      <c r="L154" s="1"/>
      <c r="M154" s="1"/>
      <c r="N154" s="1"/>
    </row>
    <row r="155">
      <c r="A155" s="1"/>
      <c r="B155" s="2"/>
      <c r="C155" s="1"/>
      <c r="D155" s="1"/>
      <c r="E155" s="1"/>
      <c r="F155" s="1"/>
      <c r="G155" s="1"/>
      <c r="H155" s="3"/>
      <c r="I155" s="1"/>
      <c r="J155" s="1"/>
      <c r="K155" s="1"/>
      <c r="L155" s="1"/>
      <c r="M155" s="1"/>
      <c r="N155" s="1"/>
    </row>
    <row r="156">
      <c r="A156" s="3"/>
      <c r="B156" s="5"/>
      <c r="C156" s="3"/>
      <c r="D156" s="1"/>
      <c r="E156" s="3"/>
      <c r="F156" s="1"/>
      <c r="G156" s="3"/>
      <c r="H156" s="3"/>
      <c r="I156" s="3"/>
      <c r="J156" s="1"/>
      <c r="K156" s="3"/>
      <c r="L156" s="3"/>
      <c r="M156" s="1"/>
      <c r="N156" s="3"/>
    </row>
    <row r="157">
      <c r="A157" s="1"/>
      <c r="B157" s="2"/>
      <c r="C157" s="1"/>
      <c r="D157" s="1"/>
      <c r="E157" s="1"/>
      <c r="F157" s="1"/>
      <c r="G157" s="1"/>
      <c r="H157" s="3"/>
      <c r="I157" s="1"/>
      <c r="J157" s="1"/>
      <c r="K157" s="1"/>
      <c r="L157" s="1"/>
      <c r="M157" s="1"/>
      <c r="N157" s="1"/>
    </row>
    <row r="158">
      <c r="A158" s="1"/>
      <c r="B158" s="2"/>
      <c r="C158" s="1"/>
      <c r="D158" s="1"/>
      <c r="E158" s="1"/>
      <c r="F158" s="1"/>
      <c r="G158" s="1"/>
      <c r="H158" s="3"/>
      <c r="I158" s="1"/>
      <c r="J158" s="1"/>
      <c r="K158" s="1"/>
      <c r="L158" s="1"/>
      <c r="M158" s="1"/>
      <c r="N158" s="1"/>
    </row>
    <row r="159">
      <c r="A159" s="1"/>
      <c r="B159" s="2"/>
      <c r="C159" s="1"/>
      <c r="D159" s="1"/>
      <c r="E159" s="1"/>
      <c r="F159" s="1"/>
      <c r="G159" s="1"/>
      <c r="H159" s="3"/>
      <c r="I159" s="1"/>
      <c r="J159" s="1"/>
      <c r="K159" s="1"/>
      <c r="L159" s="1"/>
      <c r="M159" s="1"/>
      <c r="N159" s="1"/>
    </row>
    <row r="160">
      <c r="A160" s="1"/>
      <c r="B160" s="2"/>
      <c r="C160" s="1"/>
      <c r="D160" s="1"/>
      <c r="E160" s="1"/>
      <c r="F160" s="1"/>
      <c r="G160" s="1"/>
      <c r="H160" s="3"/>
      <c r="I160" s="1"/>
      <c r="J160" s="1"/>
      <c r="K160" s="1"/>
      <c r="L160" s="1"/>
      <c r="M160" s="1"/>
      <c r="N160" s="1"/>
    </row>
    <row r="161">
      <c r="A161" s="1"/>
      <c r="B161" s="2"/>
      <c r="C161" s="1"/>
      <c r="D161" s="1"/>
      <c r="E161" s="1"/>
      <c r="F161" s="1"/>
      <c r="G161" s="1"/>
      <c r="H161" s="3"/>
      <c r="I161" s="1"/>
      <c r="J161" s="1"/>
      <c r="K161" s="1"/>
      <c r="L161" s="1"/>
      <c r="M161" s="1"/>
      <c r="N161" s="1"/>
    </row>
    <row r="162">
      <c r="A162" s="1"/>
      <c r="B162" s="2"/>
      <c r="C162" s="1"/>
      <c r="D162" s="1"/>
      <c r="E162" s="1"/>
      <c r="F162" s="1"/>
      <c r="G162" s="1"/>
      <c r="H162" s="3"/>
      <c r="I162" s="1"/>
      <c r="J162" s="1"/>
      <c r="K162" s="1"/>
      <c r="L162" s="1"/>
      <c r="M162" s="1"/>
      <c r="N162" s="1"/>
    </row>
    <row r="163">
      <c r="A163" s="1"/>
      <c r="B163" s="2"/>
      <c r="C163" s="1"/>
      <c r="D163" s="1"/>
      <c r="E163" s="1"/>
      <c r="F163" s="1"/>
      <c r="G163" s="1"/>
      <c r="H163" s="3"/>
      <c r="I163" s="1"/>
      <c r="J163" s="1"/>
      <c r="K163" s="1"/>
      <c r="L163" s="1"/>
      <c r="M163" s="1"/>
      <c r="N163" s="1"/>
    </row>
    <row r="164">
      <c r="A164" s="1"/>
      <c r="B164" s="2"/>
      <c r="C164" s="1"/>
      <c r="D164" s="1"/>
      <c r="E164" s="1"/>
      <c r="F164" s="1"/>
      <c r="G164" s="1"/>
      <c r="H164" s="3"/>
      <c r="I164" s="1"/>
      <c r="J164" s="1"/>
      <c r="K164" s="1"/>
      <c r="L164" s="1"/>
      <c r="M164" s="1"/>
      <c r="N164" s="1"/>
    </row>
    <row r="165">
      <c r="A165" s="1"/>
      <c r="B165" s="2"/>
      <c r="C165" s="1"/>
      <c r="D165" s="1"/>
      <c r="E165" s="1"/>
      <c r="F165" s="1"/>
      <c r="G165" s="1"/>
      <c r="H165" s="3"/>
      <c r="I165" s="1"/>
      <c r="J165" s="1"/>
      <c r="K165" s="1"/>
      <c r="L165" s="1"/>
      <c r="M165" s="1"/>
      <c r="N165" s="1"/>
    </row>
    <row r="166">
      <c r="A166" s="1"/>
      <c r="B166" s="2"/>
      <c r="C166" s="1"/>
      <c r="D166" s="1"/>
      <c r="E166" s="1"/>
      <c r="F166" s="1"/>
      <c r="G166" s="1"/>
      <c r="H166" s="3"/>
      <c r="I166" s="1"/>
      <c r="J166" s="1"/>
      <c r="K166" s="1"/>
      <c r="L166" s="1"/>
      <c r="M166" s="1"/>
      <c r="N166" s="1"/>
    </row>
    <row r="167">
      <c r="A167" s="1"/>
      <c r="B167" s="2"/>
      <c r="C167" s="1"/>
      <c r="D167" s="1"/>
      <c r="E167" s="1"/>
      <c r="F167" s="1"/>
      <c r="G167" s="1"/>
      <c r="H167" s="3"/>
      <c r="I167" s="1"/>
      <c r="J167" s="1"/>
      <c r="K167" s="1"/>
      <c r="L167" s="1"/>
      <c r="M167" s="1"/>
      <c r="N167" s="1"/>
    </row>
    <row r="168">
      <c r="A168" s="1"/>
      <c r="B168" s="2"/>
      <c r="C168" s="1"/>
      <c r="D168" s="1"/>
      <c r="E168" s="1"/>
      <c r="F168" s="1"/>
      <c r="G168" s="1"/>
      <c r="H168" s="3"/>
      <c r="I168" s="1"/>
      <c r="J168" s="1"/>
      <c r="K168" s="1"/>
      <c r="L168" s="1"/>
      <c r="M168" s="1"/>
      <c r="N168" s="1"/>
    </row>
    <row r="169">
      <c r="A169" s="1"/>
      <c r="B169" s="2"/>
      <c r="C169" s="1"/>
      <c r="D169" s="1"/>
      <c r="E169" s="1"/>
      <c r="F169" s="1"/>
      <c r="G169" s="1"/>
      <c r="H169" s="3"/>
      <c r="I169" s="1"/>
      <c r="J169" s="1"/>
      <c r="K169" s="1"/>
      <c r="L169" s="1"/>
      <c r="M169" s="1"/>
      <c r="N169" s="1"/>
    </row>
    <row r="170">
      <c r="A170" s="1"/>
      <c r="B170" s="2"/>
      <c r="C170" s="1"/>
      <c r="D170" s="1"/>
      <c r="E170" s="1"/>
      <c r="F170" s="1"/>
      <c r="G170" s="1"/>
      <c r="H170" s="3"/>
      <c r="I170" s="1"/>
      <c r="J170" s="1"/>
      <c r="K170" s="1"/>
      <c r="L170" s="1"/>
      <c r="M170" s="1"/>
      <c r="N170" s="1"/>
    </row>
    <row r="171">
      <c r="A171" s="1"/>
      <c r="B171" s="2"/>
      <c r="C171" s="1"/>
      <c r="D171" s="1"/>
      <c r="E171" s="1"/>
      <c r="F171" s="1"/>
      <c r="G171" s="1"/>
      <c r="H171" s="3"/>
      <c r="I171" s="1"/>
      <c r="J171" s="1"/>
      <c r="K171" s="1"/>
      <c r="L171" s="1"/>
      <c r="M171" s="1"/>
      <c r="N171" s="1"/>
    </row>
    <row r="172">
      <c r="A172" s="1"/>
      <c r="B172" s="2"/>
      <c r="C172" s="1"/>
      <c r="D172" s="1"/>
      <c r="E172" s="1"/>
      <c r="F172" s="1"/>
      <c r="G172" s="1"/>
      <c r="H172" s="3"/>
      <c r="I172" s="1"/>
      <c r="J172" s="1"/>
      <c r="K172" s="1"/>
      <c r="L172" s="1"/>
      <c r="M172" s="1"/>
      <c r="N172" s="1"/>
    </row>
    <row r="173">
      <c r="A173" s="1"/>
      <c r="B173" s="2"/>
      <c r="C173" s="1"/>
      <c r="D173" s="1"/>
      <c r="E173" s="1"/>
      <c r="F173" s="1"/>
      <c r="G173" s="1"/>
      <c r="H173" s="3"/>
      <c r="I173" s="1"/>
      <c r="J173" s="1"/>
      <c r="K173" s="1"/>
      <c r="L173" s="1"/>
      <c r="M173" s="1"/>
      <c r="N173" s="1"/>
    </row>
    <row r="174">
      <c r="A174" s="1"/>
      <c r="B174" s="2"/>
      <c r="C174" s="1"/>
      <c r="D174" s="1"/>
      <c r="E174" s="1"/>
      <c r="F174" s="1"/>
      <c r="G174" s="1"/>
      <c r="H174" s="3"/>
      <c r="I174" s="1"/>
      <c r="J174" s="1"/>
      <c r="K174" s="1"/>
      <c r="L174" s="1"/>
      <c r="M174" s="1"/>
      <c r="N174" s="1"/>
    </row>
    <row r="175">
      <c r="A175" s="1"/>
      <c r="B175" s="2"/>
      <c r="C175" s="1"/>
      <c r="D175" s="1"/>
      <c r="E175" s="1"/>
      <c r="F175" s="1"/>
      <c r="G175" s="1"/>
      <c r="H175" s="3"/>
      <c r="I175" s="1"/>
      <c r="J175" s="1"/>
      <c r="K175" s="1"/>
      <c r="L175" s="1"/>
      <c r="M175" s="1"/>
      <c r="N175" s="1"/>
    </row>
    <row r="176">
      <c r="A176" s="1"/>
      <c r="B176" s="2"/>
      <c r="C176" s="1"/>
      <c r="D176" s="1"/>
      <c r="E176" s="1"/>
      <c r="F176" s="1"/>
      <c r="G176" s="1"/>
      <c r="H176" s="3"/>
      <c r="I176" s="1"/>
      <c r="J176" s="1"/>
      <c r="K176" s="1"/>
      <c r="L176" s="1"/>
      <c r="M176" s="1"/>
      <c r="N176" s="1"/>
    </row>
    <row r="177">
      <c r="A177" s="1"/>
      <c r="B177" s="2"/>
      <c r="C177" s="1"/>
      <c r="D177" s="1"/>
      <c r="E177" s="1"/>
      <c r="F177" s="1"/>
      <c r="G177" s="1"/>
      <c r="H177" s="3"/>
      <c r="I177" s="1"/>
      <c r="J177" s="1"/>
      <c r="K177" s="1"/>
      <c r="L177" s="1"/>
      <c r="M177" s="1"/>
      <c r="N177" s="1"/>
    </row>
    <row r="178">
      <c r="A178" s="1"/>
      <c r="B178" s="2"/>
      <c r="C178" s="1"/>
      <c r="D178" s="1"/>
      <c r="E178" s="1"/>
      <c r="F178" s="1"/>
      <c r="G178" s="1"/>
      <c r="H178" s="3"/>
      <c r="I178" s="1"/>
      <c r="J178" s="1"/>
      <c r="K178" s="1"/>
      <c r="L178" s="1"/>
      <c r="M178" s="1"/>
      <c r="N178" s="1"/>
    </row>
    <row r="179">
      <c r="A179" s="1"/>
      <c r="B179" s="2"/>
      <c r="C179" s="1"/>
      <c r="D179" s="1"/>
      <c r="E179" s="1"/>
      <c r="F179" s="1"/>
      <c r="G179" s="1"/>
      <c r="H179" s="3"/>
      <c r="I179" s="1"/>
      <c r="J179" s="1"/>
      <c r="K179" s="1"/>
      <c r="L179" s="1"/>
      <c r="M179" s="1"/>
      <c r="N179" s="1"/>
    </row>
    <row r="180">
      <c r="A180" s="1"/>
      <c r="B180" s="2"/>
      <c r="C180" s="1"/>
      <c r="D180" s="1"/>
      <c r="E180" s="1"/>
      <c r="F180" s="1"/>
      <c r="G180" s="1"/>
      <c r="H180" s="3"/>
      <c r="I180" s="1"/>
      <c r="J180" s="1"/>
      <c r="K180" s="1"/>
      <c r="L180" s="1"/>
      <c r="M180" s="1"/>
      <c r="N180" s="1"/>
    </row>
    <row r="181">
      <c r="A181" s="1"/>
      <c r="B181" s="2"/>
      <c r="C181" s="1"/>
      <c r="D181" s="1"/>
      <c r="E181" s="1"/>
      <c r="F181" s="1"/>
      <c r="G181" s="1"/>
      <c r="H181" s="3"/>
      <c r="I181" s="1"/>
      <c r="J181" s="1"/>
      <c r="K181" s="1"/>
      <c r="L181" s="1"/>
      <c r="M181" s="1"/>
      <c r="N181" s="1"/>
    </row>
    <row r="182">
      <c r="A182" s="1"/>
      <c r="B182" s="2"/>
      <c r="C182" s="1"/>
      <c r="D182" s="1"/>
      <c r="E182" s="1"/>
      <c r="F182" s="1"/>
      <c r="G182" s="1"/>
      <c r="H182" s="3"/>
      <c r="I182" s="1"/>
      <c r="J182" s="1"/>
      <c r="K182" s="1"/>
      <c r="L182" s="1"/>
      <c r="M182" s="1"/>
      <c r="N182" s="1"/>
    </row>
    <row r="183">
      <c r="A183" s="1"/>
      <c r="B183" s="2"/>
      <c r="C183" s="1"/>
      <c r="D183" s="1"/>
      <c r="E183" s="1"/>
      <c r="F183" s="1"/>
      <c r="G183" s="1"/>
      <c r="H183" s="3"/>
      <c r="I183" s="1"/>
      <c r="J183" s="1"/>
      <c r="K183" s="1"/>
      <c r="L183" s="1"/>
      <c r="M183" s="1"/>
      <c r="N183" s="1"/>
    </row>
    <row r="184">
      <c r="A184" s="1"/>
      <c r="B184" s="2"/>
      <c r="C184" s="1"/>
      <c r="D184" s="1"/>
      <c r="E184" s="1"/>
      <c r="F184" s="1"/>
      <c r="G184" s="1"/>
      <c r="H184" s="3"/>
      <c r="I184" s="1"/>
      <c r="J184" s="1"/>
      <c r="K184" s="1"/>
      <c r="L184" s="1"/>
      <c r="M184" s="1"/>
      <c r="N184" s="1"/>
    </row>
    <row r="185">
      <c r="A185" s="1"/>
      <c r="B185" s="2"/>
      <c r="C185" s="1"/>
      <c r="D185" s="1"/>
      <c r="E185" s="1"/>
      <c r="F185" s="1"/>
      <c r="G185" s="1"/>
      <c r="H185" s="3"/>
      <c r="I185" s="1"/>
      <c r="J185" s="1"/>
      <c r="K185" s="1"/>
      <c r="L185" s="1"/>
      <c r="M185" s="1"/>
      <c r="N185" s="1"/>
    </row>
    <row r="186">
      <c r="A186" s="1"/>
      <c r="B186" s="2"/>
      <c r="C186" s="1"/>
      <c r="D186" s="1"/>
      <c r="E186" s="1"/>
      <c r="F186" s="1"/>
      <c r="G186" s="1"/>
      <c r="H186" s="3"/>
      <c r="I186" s="1"/>
      <c r="J186" s="1"/>
      <c r="K186" s="1"/>
      <c r="L186" s="1"/>
      <c r="M186" s="1"/>
      <c r="N186" s="1"/>
    </row>
    <row r="187">
      <c r="A187" s="1"/>
      <c r="B187" s="2"/>
      <c r="C187" s="1"/>
      <c r="D187" s="1"/>
      <c r="E187" s="1"/>
      <c r="F187" s="1"/>
      <c r="G187" s="1"/>
      <c r="H187" s="3"/>
      <c r="I187" s="1"/>
      <c r="J187" s="1"/>
      <c r="K187" s="1"/>
      <c r="L187" s="1"/>
      <c r="M187" s="1"/>
      <c r="N187" s="1"/>
    </row>
    <row r="188">
      <c r="A188" s="1"/>
      <c r="B188" s="2"/>
      <c r="C188" s="1"/>
      <c r="D188" s="1"/>
      <c r="E188" s="1"/>
      <c r="F188" s="1"/>
      <c r="G188" s="1"/>
      <c r="H188" s="3"/>
      <c r="I188" s="1"/>
      <c r="J188" s="1"/>
      <c r="K188" s="1"/>
      <c r="L188" s="1"/>
      <c r="M188" s="1"/>
      <c r="N188" s="1"/>
    </row>
    <row r="189">
      <c r="A189" s="1"/>
      <c r="B189" s="2"/>
      <c r="C189" s="1"/>
      <c r="D189" s="1"/>
      <c r="E189" s="1"/>
      <c r="F189" s="1"/>
      <c r="G189" s="1"/>
      <c r="H189" s="3"/>
      <c r="I189" s="1"/>
      <c r="J189" s="1"/>
      <c r="K189" s="1"/>
      <c r="L189" s="1"/>
      <c r="M189" s="1"/>
      <c r="N189" s="1"/>
    </row>
    <row r="190">
      <c r="A190" s="1"/>
      <c r="B190" s="2"/>
      <c r="C190" s="1"/>
      <c r="D190" s="1"/>
      <c r="E190" s="1"/>
      <c r="F190" s="1"/>
      <c r="G190" s="1"/>
      <c r="H190" s="3"/>
      <c r="I190" s="1"/>
      <c r="J190" s="1"/>
      <c r="K190" s="1"/>
      <c r="L190" s="1"/>
      <c r="M190" s="1"/>
      <c r="N190" s="1"/>
    </row>
    <row r="191">
      <c r="A191" s="1"/>
      <c r="B191" s="2"/>
      <c r="C191" s="1"/>
      <c r="D191" s="1"/>
      <c r="E191" s="1"/>
      <c r="F191" s="1"/>
      <c r="G191" s="1"/>
      <c r="H191" s="3"/>
      <c r="I191" s="1"/>
      <c r="J191" s="1"/>
      <c r="K191" s="1"/>
      <c r="L191" s="1"/>
      <c r="M191" s="1"/>
      <c r="N191" s="1"/>
    </row>
    <row r="192">
      <c r="A192" s="1"/>
      <c r="B192" s="2"/>
      <c r="C192" s="1"/>
      <c r="D192" s="1"/>
      <c r="E192" s="1"/>
      <c r="F192" s="1"/>
      <c r="G192" s="1"/>
      <c r="H192" s="3"/>
      <c r="I192" s="1"/>
      <c r="J192" s="1"/>
      <c r="K192" s="1"/>
      <c r="L192" s="1"/>
      <c r="M192" s="1"/>
      <c r="N192" s="1"/>
    </row>
    <row r="193">
      <c r="A193" s="1"/>
      <c r="B193" s="2"/>
      <c r="C193" s="1"/>
      <c r="D193" s="1"/>
      <c r="E193" s="1"/>
      <c r="F193" s="1"/>
      <c r="G193" s="1"/>
      <c r="H193" s="3"/>
      <c r="I193" s="1"/>
      <c r="J193" s="1"/>
      <c r="K193" s="1"/>
      <c r="L193" s="1"/>
      <c r="M193" s="1"/>
      <c r="N193" s="1"/>
    </row>
    <row r="194">
      <c r="A194" s="1"/>
      <c r="B194" s="2"/>
      <c r="C194" s="1"/>
      <c r="D194" s="1"/>
      <c r="E194" s="1"/>
      <c r="F194" s="1"/>
      <c r="G194" s="1"/>
      <c r="H194" s="3"/>
      <c r="I194" s="1"/>
      <c r="J194" s="1"/>
      <c r="K194" s="1"/>
      <c r="L194" s="1"/>
      <c r="M194" s="1"/>
      <c r="N194" s="3"/>
    </row>
    <row r="195">
      <c r="A195" s="1"/>
      <c r="B195" s="2"/>
      <c r="C195" s="1"/>
      <c r="D195" s="1"/>
      <c r="E195" s="1"/>
      <c r="F195" s="1"/>
      <c r="G195" s="1"/>
      <c r="H195" s="3"/>
      <c r="I195" s="1"/>
      <c r="J195" s="1"/>
      <c r="K195" s="1"/>
      <c r="L195" s="1"/>
      <c r="M195" s="1"/>
      <c r="N195" s="1"/>
    </row>
    <row r="196">
      <c r="A196" s="1"/>
      <c r="B196" s="2"/>
      <c r="C196" s="1"/>
      <c r="D196" s="1"/>
      <c r="E196" s="1"/>
      <c r="F196" s="1"/>
      <c r="G196" s="1"/>
      <c r="H196" s="3"/>
      <c r="I196" s="1"/>
      <c r="J196" s="1"/>
      <c r="K196" s="1"/>
      <c r="L196" s="1"/>
      <c r="M196" s="1"/>
      <c r="N196" s="1"/>
    </row>
    <row r="197">
      <c r="A197" s="1"/>
      <c r="B197" s="2"/>
      <c r="C197" s="1"/>
      <c r="D197" s="1"/>
      <c r="E197" s="1"/>
      <c r="F197" s="1"/>
      <c r="G197" s="1"/>
      <c r="H197" s="3"/>
      <c r="I197" s="1"/>
      <c r="J197" s="1"/>
      <c r="K197" s="1"/>
      <c r="L197" s="1"/>
      <c r="M197" s="1"/>
      <c r="N197" s="1"/>
    </row>
    <row r="198">
      <c r="A198" s="1"/>
      <c r="B198" s="2"/>
      <c r="C198" s="1"/>
      <c r="D198" s="1"/>
      <c r="E198" s="1"/>
      <c r="F198" s="1"/>
      <c r="G198" s="1"/>
      <c r="H198" s="3"/>
      <c r="I198" s="1"/>
      <c r="J198" s="1"/>
      <c r="K198" s="1"/>
      <c r="L198" s="1"/>
      <c r="M198" s="1"/>
      <c r="N198" s="1"/>
    </row>
    <row r="199">
      <c r="A199" s="1"/>
      <c r="B199" s="2"/>
      <c r="C199" s="1"/>
      <c r="D199" s="1"/>
      <c r="E199" s="1"/>
      <c r="F199" s="1"/>
      <c r="G199" s="1"/>
      <c r="H199" s="3"/>
      <c r="I199" s="1"/>
      <c r="J199" s="1"/>
      <c r="K199" s="1"/>
      <c r="L199" s="1"/>
      <c r="M199" s="1"/>
      <c r="N199" s="1"/>
    </row>
    <row r="200">
      <c r="A200" s="1"/>
      <c r="B200" s="2"/>
      <c r="C200" s="1"/>
      <c r="D200" s="1"/>
      <c r="E200" s="1"/>
      <c r="F200" s="1"/>
      <c r="G200" s="1"/>
      <c r="H200" s="3"/>
      <c r="I200" s="1"/>
      <c r="J200" s="1"/>
      <c r="K200" s="1"/>
      <c r="L200" s="1"/>
      <c r="M200" s="1"/>
      <c r="N200" s="1"/>
    </row>
    <row r="201">
      <c r="A201" s="1"/>
      <c r="B201" s="2"/>
      <c r="C201" s="1"/>
      <c r="D201" s="1"/>
      <c r="E201" s="1"/>
      <c r="F201" s="1"/>
      <c r="G201" s="1"/>
      <c r="H201" s="3"/>
      <c r="I201" s="1"/>
      <c r="J201" s="1"/>
      <c r="K201" s="1"/>
      <c r="L201" s="1"/>
      <c r="M201" s="1"/>
      <c r="N201" s="1"/>
    </row>
    <row r="202">
      <c r="A202" s="1"/>
      <c r="B202" s="2"/>
      <c r="C202" s="1"/>
      <c r="D202" s="1"/>
      <c r="E202" s="1"/>
      <c r="F202" s="1"/>
      <c r="G202" s="1"/>
      <c r="H202" s="3"/>
      <c r="I202" s="1"/>
      <c r="J202" s="1"/>
      <c r="K202" s="1"/>
      <c r="L202" s="1"/>
      <c r="M202" s="1"/>
      <c r="N202" s="1"/>
    </row>
    <row r="203">
      <c r="A203" s="1"/>
      <c r="B203" s="2"/>
      <c r="C203" s="1"/>
      <c r="D203" s="1"/>
      <c r="E203" s="1"/>
      <c r="F203" s="1"/>
      <c r="G203" s="1"/>
      <c r="H203" s="3"/>
      <c r="I203" s="1"/>
      <c r="J203" s="1"/>
      <c r="K203" s="1"/>
      <c r="L203" s="1"/>
      <c r="M203" s="1"/>
      <c r="N203" s="1"/>
    </row>
    <row r="204">
      <c r="A204" s="1"/>
      <c r="B204" s="2"/>
      <c r="C204" s="1"/>
      <c r="D204" s="1"/>
      <c r="E204" s="1"/>
      <c r="F204" s="1"/>
      <c r="G204" s="1"/>
      <c r="H204" s="3"/>
      <c r="I204" s="1"/>
      <c r="J204" s="1"/>
      <c r="K204" s="1"/>
      <c r="L204" s="1"/>
      <c r="M204" s="1"/>
      <c r="N204" s="1"/>
    </row>
    <row r="205">
      <c r="A205" s="1"/>
      <c r="B205" s="2"/>
      <c r="C205" s="1"/>
      <c r="D205" s="1"/>
      <c r="E205" s="1"/>
      <c r="F205" s="1"/>
      <c r="G205" s="1"/>
      <c r="H205" s="3"/>
      <c r="I205" s="1"/>
      <c r="J205" s="1"/>
      <c r="K205" s="1"/>
      <c r="L205" s="1"/>
      <c r="M205" s="1"/>
      <c r="N205" s="1"/>
    </row>
    <row r="206">
      <c r="A206" s="1"/>
      <c r="B206" s="2"/>
      <c r="C206" s="1"/>
      <c r="D206" s="1"/>
      <c r="E206" s="1"/>
      <c r="F206" s="1"/>
      <c r="G206" s="1"/>
      <c r="H206" s="3"/>
      <c r="I206" s="1"/>
      <c r="J206" s="1"/>
      <c r="K206" s="1"/>
      <c r="L206" s="1"/>
      <c r="M206" s="1"/>
      <c r="N206" s="1"/>
    </row>
    <row r="207">
      <c r="A207" s="1"/>
      <c r="B207" s="2"/>
      <c r="C207" s="1"/>
      <c r="D207" s="1"/>
      <c r="E207" s="1"/>
      <c r="F207" s="1"/>
      <c r="G207" s="1"/>
      <c r="H207" s="3"/>
      <c r="I207" s="1"/>
      <c r="J207" s="1"/>
      <c r="K207" s="1"/>
      <c r="L207" s="1"/>
      <c r="M207" s="1"/>
      <c r="N207" s="1"/>
    </row>
    <row r="208">
      <c r="A208" s="1"/>
      <c r="B208" s="2"/>
      <c r="C208" s="1"/>
      <c r="D208" s="1"/>
      <c r="E208" s="1"/>
      <c r="F208" s="1"/>
      <c r="G208" s="1"/>
      <c r="H208" s="3"/>
      <c r="I208" s="1"/>
      <c r="J208" s="1"/>
      <c r="K208" s="1"/>
      <c r="L208" s="1"/>
      <c r="M208" s="1"/>
      <c r="N208" s="1"/>
    </row>
    <row r="209">
      <c r="A209" s="1"/>
      <c r="B209" s="2"/>
      <c r="C209" s="1"/>
      <c r="D209" s="1"/>
      <c r="E209" s="1"/>
      <c r="F209" s="1"/>
      <c r="G209" s="1"/>
      <c r="H209" s="3"/>
      <c r="I209" s="1"/>
      <c r="J209" s="1"/>
      <c r="K209" s="1"/>
      <c r="L209" s="1"/>
      <c r="M209" s="1"/>
      <c r="N209" s="1"/>
    </row>
    <row r="210">
      <c r="A210" s="1"/>
      <c r="B210" s="2"/>
      <c r="C210" s="1"/>
      <c r="D210" s="1"/>
      <c r="E210" s="1"/>
      <c r="F210" s="1"/>
      <c r="G210" s="1"/>
      <c r="H210" s="3"/>
      <c r="I210" s="1"/>
      <c r="J210" s="1"/>
      <c r="K210" s="1"/>
      <c r="L210" s="1"/>
      <c r="M210" s="1"/>
      <c r="N210" s="1"/>
    </row>
    <row r="211">
      <c r="A211" s="1"/>
      <c r="B211" s="2"/>
      <c r="C211" s="1"/>
      <c r="D211" s="1"/>
      <c r="E211" s="1"/>
      <c r="F211" s="1"/>
      <c r="G211" s="1"/>
      <c r="H211" s="3"/>
      <c r="I211" s="1"/>
      <c r="J211" s="1"/>
      <c r="K211" s="1"/>
      <c r="L211" s="1"/>
      <c r="M211" s="1"/>
      <c r="N211" s="1"/>
    </row>
    <row r="212">
      <c r="A212" s="1"/>
      <c r="B212" s="2"/>
      <c r="C212" s="1"/>
      <c r="D212" s="1"/>
      <c r="E212" s="1"/>
      <c r="F212" s="1"/>
      <c r="G212" s="1"/>
      <c r="H212" s="3"/>
      <c r="I212" s="1"/>
      <c r="J212" s="1"/>
      <c r="K212" s="1"/>
      <c r="L212" s="1"/>
      <c r="M212" s="1"/>
      <c r="N212" s="1"/>
    </row>
    <row r="213">
      <c r="A213" s="1"/>
      <c r="B213" s="2"/>
      <c r="C213" s="1"/>
      <c r="D213" s="1"/>
      <c r="E213" s="1"/>
      <c r="F213" s="1"/>
      <c r="G213" s="1"/>
      <c r="H213" s="3"/>
      <c r="I213" s="1"/>
      <c r="J213" s="1"/>
      <c r="K213" s="1"/>
      <c r="L213" s="1"/>
      <c r="M213" s="1"/>
      <c r="N213" s="1"/>
    </row>
    <row r="214">
      <c r="A214" s="3"/>
      <c r="B214" s="5"/>
      <c r="C214" s="3"/>
      <c r="D214" s="1"/>
      <c r="E214" s="3"/>
      <c r="F214" s="1"/>
      <c r="G214" s="3"/>
      <c r="H214" s="3"/>
      <c r="I214" s="3"/>
      <c r="J214" s="1"/>
      <c r="K214" s="3"/>
      <c r="L214" s="3"/>
      <c r="M214" s="1"/>
      <c r="N214" s="3"/>
    </row>
    <row r="215">
      <c r="A215" s="1"/>
      <c r="B215" s="2"/>
      <c r="C215" s="1"/>
      <c r="D215" s="1"/>
      <c r="E215" s="1"/>
      <c r="F215" s="1"/>
      <c r="G215" s="1"/>
      <c r="H215" s="3"/>
      <c r="I215" s="1"/>
      <c r="J215" s="1"/>
      <c r="K215" s="1"/>
      <c r="L215" s="1"/>
      <c r="M215" s="1"/>
      <c r="N215" s="1"/>
    </row>
    <row r="216">
      <c r="A216" s="1"/>
      <c r="B216" s="2"/>
      <c r="C216" s="1"/>
      <c r="D216" s="1"/>
      <c r="E216" s="1"/>
      <c r="F216" s="1"/>
      <c r="G216" s="1"/>
      <c r="H216" s="3"/>
      <c r="I216" s="1"/>
      <c r="J216" s="1"/>
      <c r="K216" s="1"/>
      <c r="L216" s="1"/>
      <c r="M216" s="1"/>
      <c r="N216" s="1"/>
    </row>
    <row r="217">
      <c r="A217" s="3"/>
      <c r="B217" s="5"/>
      <c r="C217" s="3"/>
      <c r="D217" s="1"/>
      <c r="E217" s="3"/>
      <c r="F217" s="1"/>
      <c r="G217" s="3"/>
      <c r="H217" s="3"/>
      <c r="I217" s="3"/>
      <c r="J217" s="1"/>
      <c r="K217" s="3"/>
      <c r="L217" s="3"/>
      <c r="M217" s="1"/>
      <c r="N217" s="3"/>
    </row>
    <row r="218">
      <c r="A218" s="3"/>
      <c r="B218" s="5"/>
      <c r="C218" s="3"/>
      <c r="D218" s="1"/>
      <c r="E218" s="3"/>
      <c r="F218" s="1"/>
      <c r="G218" s="3"/>
      <c r="H218" s="3"/>
      <c r="I218" s="3"/>
      <c r="J218" s="1"/>
      <c r="K218" s="3"/>
      <c r="L218" s="3"/>
      <c r="M218" s="1"/>
      <c r="N218" s="3"/>
    </row>
    <row r="219">
      <c r="A219" s="3"/>
      <c r="B219" s="5"/>
      <c r="C219" s="3"/>
      <c r="D219" s="1"/>
      <c r="E219" s="3"/>
      <c r="F219" s="1"/>
      <c r="G219" s="3"/>
      <c r="H219" s="3"/>
      <c r="I219" s="3"/>
      <c r="J219" s="1"/>
      <c r="K219" s="3"/>
      <c r="L219" s="3"/>
      <c r="M219" s="1"/>
      <c r="N219" s="3"/>
    </row>
    <row r="220">
      <c r="A220" s="3"/>
      <c r="B220" s="5"/>
      <c r="C220" s="3"/>
      <c r="D220" s="1"/>
      <c r="E220" s="3"/>
      <c r="F220" s="1"/>
      <c r="G220" s="3"/>
      <c r="H220" s="3"/>
      <c r="I220" s="3"/>
      <c r="J220" s="1"/>
      <c r="K220" s="3"/>
      <c r="L220" s="3"/>
      <c r="M220" s="1"/>
      <c r="N220" s="3"/>
    </row>
    <row r="221">
      <c r="A221" s="3"/>
      <c r="B221" s="5"/>
      <c r="C221" s="3"/>
      <c r="D221" s="1"/>
      <c r="E221" s="3"/>
      <c r="F221" s="1"/>
      <c r="G221" s="3"/>
      <c r="H221" s="3"/>
      <c r="I221" s="3"/>
      <c r="J221" s="1"/>
      <c r="K221" s="3"/>
      <c r="L221" s="3"/>
      <c r="M221" s="1"/>
      <c r="N221" s="3"/>
    </row>
    <row r="222">
      <c r="A222" s="3"/>
      <c r="B222" s="5"/>
      <c r="C222" s="3"/>
      <c r="D222" s="1"/>
      <c r="E222" s="3"/>
      <c r="F222" s="1"/>
      <c r="G222" s="3"/>
      <c r="H222" s="3"/>
      <c r="I222" s="3"/>
      <c r="J222" s="1"/>
      <c r="K222" s="3"/>
      <c r="L222" s="3"/>
      <c r="M222" s="1"/>
      <c r="N222" s="3"/>
    </row>
    <row r="223">
      <c r="A223" s="3"/>
      <c r="B223" s="5"/>
      <c r="C223" s="3"/>
      <c r="D223" s="1"/>
      <c r="E223" s="3"/>
      <c r="F223" s="1"/>
      <c r="G223" s="3"/>
      <c r="H223" s="3"/>
      <c r="I223" s="3"/>
      <c r="J223" s="1"/>
      <c r="K223" s="3"/>
      <c r="L223" s="3"/>
      <c r="M223" s="1"/>
      <c r="N223" s="3"/>
    </row>
    <row r="224">
      <c r="A224" s="3"/>
      <c r="B224" s="5"/>
      <c r="C224" s="3"/>
      <c r="D224" s="1"/>
      <c r="E224" s="3"/>
      <c r="F224" s="1"/>
      <c r="G224" s="3"/>
      <c r="H224" s="3"/>
      <c r="I224" s="3"/>
      <c r="J224" s="1"/>
      <c r="K224" s="3"/>
      <c r="L224" s="3"/>
      <c r="M224" s="1"/>
      <c r="N224" s="3"/>
    </row>
    <row r="225">
      <c r="A225" s="3"/>
      <c r="B225" s="5"/>
      <c r="C225" s="3"/>
      <c r="D225" s="1"/>
      <c r="E225" s="3"/>
      <c r="F225" s="1"/>
      <c r="G225" s="3"/>
      <c r="H225" s="3"/>
      <c r="I225" s="3"/>
      <c r="J225" s="1"/>
      <c r="K225" s="3"/>
      <c r="L225" s="3"/>
      <c r="M225" s="1"/>
      <c r="N225" s="3"/>
    </row>
    <row r="226">
      <c r="A226" s="3"/>
      <c r="B226" s="5"/>
      <c r="C226" s="3"/>
      <c r="D226" s="1"/>
      <c r="E226" s="3"/>
      <c r="F226" s="1"/>
      <c r="G226" s="3"/>
      <c r="H226" s="3"/>
      <c r="I226" s="3"/>
      <c r="J226" s="1"/>
      <c r="K226" s="3"/>
      <c r="L226" s="3"/>
      <c r="M226" s="1"/>
      <c r="N226" s="3"/>
    </row>
    <row r="227">
      <c r="A227" s="3"/>
      <c r="B227" s="5"/>
      <c r="C227" s="3"/>
      <c r="D227" s="1"/>
      <c r="E227" s="3"/>
      <c r="F227" s="1"/>
      <c r="G227" s="3"/>
      <c r="H227" s="3"/>
      <c r="I227" s="3"/>
      <c r="J227" s="1"/>
      <c r="K227" s="3"/>
      <c r="L227" s="3"/>
      <c r="M227" s="1"/>
      <c r="N227" s="3"/>
    </row>
    <row r="228">
      <c r="A228" s="3"/>
      <c r="B228" s="5"/>
      <c r="C228" s="3"/>
      <c r="D228" s="1"/>
      <c r="E228" s="3"/>
      <c r="F228" s="1"/>
      <c r="G228" s="3"/>
      <c r="H228" s="3"/>
      <c r="I228" s="3"/>
      <c r="J228" s="1"/>
      <c r="K228" s="3"/>
      <c r="L228" s="3"/>
      <c r="M228" s="1"/>
      <c r="N228" s="3"/>
    </row>
    <row r="229">
      <c r="A229" s="3"/>
      <c r="B229" s="5"/>
      <c r="C229" s="3"/>
      <c r="D229" s="1"/>
      <c r="E229" s="3"/>
      <c r="F229" s="1"/>
      <c r="G229" s="3"/>
      <c r="H229" s="3"/>
      <c r="I229" s="3"/>
      <c r="J229" s="1"/>
      <c r="K229" s="3"/>
      <c r="L229" s="3"/>
      <c r="M229" s="1"/>
      <c r="N229" s="3"/>
    </row>
    <row r="230">
      <c r="A230" s="3"/>
      <c r="B230" s="5"/>
      <c r="C230" s="3"/>
      <c r="D230" s="1"/>
      <c r="E230" s="3"/>
      <c r="F230" s="1"/>
      <c r="G230" s="3"/>
      <c r="H230" s="3"/>
      <c r="I230" s="3"/>
      <c r="J230" s="1"/>
      <c r="K230" s="3"/>
      <c r="L230" s="3"/>
      <c r="M230" s="1"/>
      <c r="N230" s="3"/>
    </row>
    <row r="231">
      <c r="A231" s="3"/>
      <c r="B231" s="5"/>
      <c r="C231" s="3"/>
      <c r="D231" s="1"/>
      <c r="E231" s="3"/>
      <c r="F231" s="1"/>
      <c r="G231" s="3"/>
      <c r="H231" s="3"/>
      <c r="I231" s="3"/>
      <c r="J231" s="1"/>
      <c r="K231" s="3"/>
      <c r="L231" s="3"/>
      <c r="M231" s="1"/>
      <c r="N231" s="3"/>
    </row>
    <row r="232">
      <c r="A232" s="3"/>
      <c r="B232" s="5"/>
      <c r="C232" s="3"/>
      <c r="D232" s="1"/>
      <c r="E232" s="3"/>
      <c r="F232" s="1"/>
      <c r="G232" s="3"/>
      <c r="H232" s="3"/>
      <c r="I232" s="3"/>
      <c r="J232" s="1"/>
      <c r="K232" s="3"/>
      <c r="L232" s="3"/>
      <c r="M232" s="1"/>
      <c r="N232" s="3"/>
    </row>
    <row r="233">
      <c r="A233" s="3"/>
      <c r="B233" s="5"/>
      <c r="C233" s="3"/>
      <c r="D233" s="1"/>
      <c r="E233" s="3"/>
      <c r="F233" s="1"/>
      <c r="G233" s="3"/>
      <c r="H233" s="3"/>
      <c r="I233" s="3"/>
      <c r="J233" s="1"/>
      <c r="K233" s="3"/>
      <c r="L233" s="3"/>
      <c r="M233" s="1"/>
      <c r="N233" s="3"/>
    </row>
    <row r="234">
      <c r="A234" s="3"/>
      <c r="B234" s="5"/>
      <c r="C234" s="3"/>
      <c r="D234" s="1"/>
      <c r="E234" s="3"/>
      <c r="F234" s="1"/>
      <c r="G234" s="3"/>
      <c r="H234" s="3"/>
      <c r="I234" s="3"/>
      <c r="J234" s="1"/>
      <c r="K234" s="3"/>
      <c r="L234" s="3"/>
      <c r="M234" s="1"/>
      <c r="N234" s="3"/>
    </row>
    <row r="235">
      <c r="A235" s="3"/>
      <c r="B235" s="5"/>
      <c r="C235" s="3"/>
      <c r="D235" s="1"/>
      <c r="E235" s="3"/>
      <c r="F235" s="1"/>
      <c r="G235" s="3"/>
      <c r="H235" s="3"/>
      <c r="I235" s="3"/>
      <c r="J235" s="1"/>
      <c r="K235" s="3"/>
      <c r="L235" s="3"/>
      <c r="M235" s="1"/>
      <c r="N235" s="3"/>
    </row>
    <row r="236">
      <c r="A236" s="3"/>
      <c r="B236" s="5"/>
      <c r="C236" s="3"/>
      <c r="D236" s="1"/>
      <c r="E236" s="3"/>
      <c r="F236" s="1"/>
      <c r="G236" s="3"/>
      <c r="H236" s="3"/>
      <c r="I236" s="3"/>
      <c r="J236" s="1"/>
      <c r="K236" s="3"/>
      <c r="L236" s="3"/>
      <c r="M236" s="1"/>
      <c r="N236" s="3"/>
    </row>
    <row r="237">
      <c r="A237" s="3"/>
      <c r="B237" s="5"/>
      <c r="C237" s="3"/>
      <c r="D237" s="1"/>
      <c r="E237" s="3"/>
      <c r="F237" s="1"/>
      <c r="G237" s="3"/>
      <c r="H237" s="3"/>
      <c r="I237" s="3"/>
      <c r="J237" s="1"/>
      <c r="K237" s="3"/>
      <c r="L237" s="3"/>
      <c r="M237" s="1"/>
      <c r="N237" s="3"/>
    </row>
    <row r="238">
      <c r="A238" s="3"/>
      <c r="B238" s="5"/>
      <c r="C238" s="3"/>
      <c r="D238" s="1"/>
      <c r="E238" s="3"/>
      <c r="F238" s="1"/>
      <c r="G238" s="3"/>
      <c r="H238" s="3"/>
      <c r="I238" s="3"/>
      <c r="J238" s="1"/>
      <c r="K238" s="3"/>
      <c r="L238" s="3"/>
      <c r="M238" s="1"/>
      <c r="N238" s="3"/>
    </row>
    <row r="239">
      <c r="A239" s="3"/>
      <c r="B239" s="5"/>
      <c r="C239" s="3"/>
      <c r="D239" s="1"/>
      <c r="E239" s="3"/>
      <c r="F239" s="1"/>
      <c r="G239" s="3"/>
      <c r="H239" s="3"/>
      <c r="I239" s="3"/>
      <c r="J239" s="1"/>
      <c r="K239" s="3"/>
      <c r="L239" s="3"/>
      <c r="M239" s="1"/>
      <c r="N239" s="3"/>
    </row>
    <row r="240">
      <c r="A240" s="3"/>
      <c r="B240" s="5"/>
      <c r="C240" s="3"/>
      <c r="D240" s="1"/>
      <c r="E240" s="3"/>
      <c r="F240" s="1"/>
      <c r="G240" s="3"/>
      <c r="H240" s="3"/>
      <c r="I240" s="3"/>
      <c r="J240" s="1"/>
      <c r="K240" s="3"/>
      <c r="L240" s="3"/>
      <c r="M240" s="1"/>
      <c r="N240" s="3"/>
    </row>
    <row r="241">
      <c r="A241" s="3"/>
      <c r="B241" s="5"/>
      <c r="C241" s="3"/>
      <c r="D241" s="1"/>
      <c r="E241" s="3"/>
      <c r="F241" s="1"/>
      <c r="G241" s="3"/>
      <c r="H241" s="3"/>
      <c r="I241" s="3"/>
      <c r="J241" s="1"/>
      <c r="K241" s="3"/>
      <c r="L241" s="3"/>
      <c r="M241" s="1"/>
      <c r="N241" s="3"/>
    </row>
    <row r="242">
      <c r="A242" s="3"/>
      <c r="B242" s="5"/>
      <c r="C242" s="3"/>
      <c r="D242" s="1"/>
      <c r="E242" s="3"/>
      <c r="F242" s="1"/>
      <c r="G242" s="3"/>
      <c r="H242" s="3"/>
      <c r="I242" s="3"/>
      <c r="J242" s="1"/>
      <c r="K242" s="3"/>
      <c r="L242" s="3"/>
      <c r="M242" s="1"/>
      <c r="N242" s="3"/>
    </row>
    <row r="243">
      <c r="A243" s="3"/>
      <c r="B243" s="5"/>
      <c r="C243" s="3"/>
      <c r="D243" s="1"/>
      <c r="E243" s="3"/>
      <c r="F243" s="1"/>
      <c r="G243" s="3"/>
      <c r="H243" s="3"/>
      <c r="I243" s="3"/>
      <c r="J243" s="1"/>
      <c r="K243" s="3"/>
      <c r="L243" s="3"/>
      <c r="M243" s="1"/>
      <c r="N243" s="3"/>
    </row>
    <row r="244">
      <c r="A244" s="3"/>
      <c r="B244" s="5"/>
      <c r="C244" s="3"/>
      <c r="D244" s="1"/>
      <c r="E244" s="3"/>
      <c r="F244" s="1"/>
      <c r="G244" s="3"/>
      <c r="H244" s="3"/>
      <c r="I244" s="3"/>
      <c r="J244" s="1"/>
      <c r="K244" s="3"/>
      <c r="L244" s="3"/>
      <c r="M244" s="1"/>
      <c r="N244" s="3"/>
    </row>
    <row r="245">
      <c r="A245" s="3"/>
      <c r="B245" s="5"/>
      <c r="C245" s="3"/>
      <c r="D245" s="1"/>
      <c r="E245" s="3"/>
      <c r="F245" s="1"/>
      <c r="G245" s="3"/>
      <c r="H245" s="3"/>
      <c r="I245" s="3"/>
      <c r="J245" s="1"/>
      <c r="K245" s="3"/>
      <c r="L245" s="3"/>
      <c r="M245" s="1"/>
      <c r="N245" s="3"/>
    </row>
    <row r="246">
      <c r="A246" s="1"/>
      <c r="B246" s="2"/>
      <c r="C246" s="1"/>
      <c r="D246" s="1"/>
      <c r="E246" s="1"/>
      <c r="F246" s="1"/>
      <c r="G246" s="1"/>
      <c r="H246" s="3"/>
      <c r="I246" s="1"/>
      <c r="J246" s="1"/>
      <c r="K246" s="1"/>
      <c r="L246" s="1"/>
      <c r="M246" s="1"/>
      <c r="N246" s="1"/>
    </row>
    <row r="247">
      <c r="A247" s="1"/>
      <c r="B247" s="2"/>
      <c r="C247" s="1"/>
      <c r="D247" s="1"/>
      <c r="E247" s="1"/>
      <c r="F247" s="1"/>
      <c r="G247" s="1"/>
      <c r="H247" s="3"/>
      <c r="I247" s="1"/>
      <c r="J247" s="1"/>
      <c r="K247" s="1"/>
      <c r="L247" s="1"/>
      <c r="M247" s="1"/>
      <c r="N247" s="1"/>
    </row>
    <row r="248">
      <c r="A248" s="1"/>
      <c r="B248" s="2"/>
      <c r="C248" s="1"/>
      <c r="D248" s="1"/>
      <c r="E248" s="1"/>
      <c r="F248" s="1"/>
      <c r="G248" s="1"/>
      <c r="H248" s="3"/>
      <c r="I248" s="1"/>
      <c r="J248" s="1"/>
      <c r="K248" s="1"/>
      <c r="L248" s="1"/>
      <c r="M248" s="1"/>
      <c r="N248" s="1"/>
    </row>
    <row r="249">
      <c r="A249" s="3"/>
      <c r="B249" s="5"/>
      <c r="C249" s="3"/>
      <c r="D249" s="1"/>
      <c r="E249" s="3"/>
      <c r="F249" s="1"/>
      <c r="G249" s="3"/>
      <c r="H249" s="3"/>
      <c r="I249" s="3"/>
      <c r="J249" s="1"/>
      <c r="K249" s="3"/>
      <c r="L249" s="3"/>
      <c r="M249" s="1"/>
      <c r="N249" s="3"/>
    </row>
    <row r="250">
      <c r="A250" s="1"/>
      <c r="B250" s="2"/>
      <c r="C250" s="1"/>
      <c r="D250" s="1"/>
      <c r="E250" s="1"/>
      <c r="F250" s="1"/>
      <c r="G250" s="1"/>
      <c r="H250" s="3"/>
      <c r="I250" s="1"/>
      <c r="J250" s="1"/>
      <c r="K250" s="1"/>
      <c r="L250" s="1"/>
      <c r="M250" s="1"/>
      <c r="N250" s="1"/>
    </row>
    <row r="251">
      <c r="A251" s="1"/>
      <c r="B251" s="2"/>
      <c r="C251" s="1"/>
      <c r="D251" s="1"/>
      <c r="E251" s="1"/>
      <c r="F251" s="1"/>
      <c r="G251" s="1"/>
      <c r="H251" s="3"/>
      <c r="I251" s="1"/>
      <c r="J251" s="1"/>
      <c r="K251" s="1"/>
      <c r="L251" s="1"/>
      <c r="M251" s="1"/>
      <c r="N251" s="1"/>
    </row>
    <row r="252">
      <c r="A252" s="1"/>
      <c r="B252" s="2"/>
      <c r="C252" s="1"/>
      <c r="D252" s="1"/>
      <c r="E252" s="1"/>
      <c r="F252" s="1"/>
      <c r="G252" s="1"/>
      <c r="H252" s="3"/>
      <c r="I252" s="1"/>
      <c r="J252" s="1"/>
      <c r="K252" s="1"/>
      <c r="L252" s="1"/>
      <c r="M252" s="1"/>
      <c r="N252" s="1"/>
    </row>
    <row r="253">
      <c r="A253" s="1"/>
      <c r="B253" s="2"/>
      <c r="C253" s="1"/>
      <c r="D253" s="1"/>
      <c r="E253" s="1"/>
      <c r="F253" s="1"/>
      <c r="G253" s="1"/>
      <c r="H253" s="3"/>
      <c r="I253" s="1"/>
      <c r="J253" s="1"/>
      <c r="K253" s="1"/>
      <c r="L253" s="1"/>
      <c r="M253" s="1"/>
      <c r="N253" s="1"/>
    </row>
    <row r="254">
      <c r="A254" s="3"/>
      <c r="B254" s="5"/>
      <c r="C254" s="3"/>
      <c r="D254" s="1"/>
      <c r="E254" s="3"/>
      <c r="F254" s="1"/>
      <c r="G254" s="3"/>
      <c r="H254" s="3"/>
      <c r="I254" s="3"/>
      <c r="J254" s="1"/>
      <c r="K254" s="3"/>
      <c r="L254" s="3"/>
      <c r="M254" s="1"/>
      <c r="N254" s="3"/>
    </row>
    <row r="255">
      <c r="A255" s="3"/>
      <c r="B255" s="5"/>
      <c r="C255" s="3"/>
      <c r="D255" s="1"/>
      <c r="E255" s="3"/>
      <c r="F255" s="1"/>
      <c r="G255" s="3"/>
      <c r="H255" s="3"/>
      <c r="I255" s="3"/>
      <c r="J255" s="1"/>
      <c r="K255" s="3"/>
      <c r="L255" s="3"/>
      <c r="M255" s="1"/>
      <c r="N255" s="3"/>
    </row>
    <row r="256">
      <c r="A256" s="1"/>
      <c r="B256" s="2"/>
      <c r="C256" s="1"/>
      <c r="D256" s="1"/>
      <c r="E256" s="1"/>
      <c r="F256" s="1"/>
      <c r="G256" s="1"/>
      <c r="H256" s="3"/>
      <c r="I256" s="1"/>
      <c r="J256" s="1"/>
      <c r="K256" s="1"/>
      <c r="L256" s="1"/>
      <c r="M256" s="1"/>
      <c r="N256" s="1"/>
    </row>
    <row r="257">
      <c r="A257" s="3"/>
      <c r="B257" s="5"/>
      <c r="C257" s="3"/>
      <c r="D257" s="1"/>
      <c r="E257" s="3"/>
      <c r="F257" s="1"/>
      <c r="G257" s="3"/>
      <c r="H257" s="3"/>
      <c r="I257" s="3"/>
      <c r="J257" s="1"/>
      <c r="K257" s="3"/>
      <c r="L257" s="3"/>
      <c r="M257" s="1"/>
      <c r="N257" s="3"/>
    </row>
    <row r="258">
      <c r="A258" s="3"/>
      <c r="B258" s="5"/>
      <c r="C258" s="3"/>
      <c r="D258" s="1"/>
      <c r="E258" s="3"/>
      <c r="F258" s="1"/>
      <c r="G258" s="3"/>
      <c r="H258" s="3"/>
      <c r="I258" s="3"/>
      <c r="J258" s="1"/>
      <c r="K258" s="3"/>
      <c r="L258" s="3"/>
      <c r="M258" s="1"/>
      <c r="N258" s="3"/>
    </row>
    <row r="259">
      <c r="A259" s="1"/>
      <c r="B259" s="2"/>
      <c r="C259" s="1"/>
      <c r="D259" s="1"/>
      <c r="E259" s="1"/>
      <c r="F259" s="1"/>
      <c r="G259" s="1"/>
      <c r="H259" s="3"/>
      <c r="I259" s="1"/>
      <c r="J259" s="1"/>
      <c r="K259" s="1"/>
      <c r="L259" s="1"/>
      <c r="M259" s="1"/>
      <c r="N259" s="1"/>
    </row>
    <row r="260">
      <c r="A260" s="3"/>
      <c r="B260" s="5"/>
      <c r="C260" s="3"/>
      <c r="D260" s="1"/>
      <c r="E260" s="3"/>
      <c r="F260" s="1"/>
      <c r="G260" s="3"/>
      <c r="H260" s="3"/>
      <c r="I260" s="3"/>
      <c r="J260" s="1"/>
      <c r="K260" s="3"/>
      <c r="L260" s="3"/>
      <c r="M260" s="1"/>
      <c r="N260" s="3"/>
    </row>
    <row r="261">
      <c r="A261" s="3"/>
      <c r="B261" s="5"/>
      <c r="C261" s="3"/>
      <c r="D261" s="1"/>
      <c r="E261" s="3"/>
      <c r="F261" s="1"/>
      <c r="G261" s="3"/>
      <c r="H261" s="3"/>
      <c r="I261" s="3"/>
      <c r="J261" s="1"/>
      <c r="K261" s="3"/>
      <c r="L261" s="3"/>
      <c r="M261" s="1"/>
      <c r="N261" s="3"/>
    </row>
    <row r="262">
      <c r="A262" s="3"/>
      <c r="B262" s="5"/>
      <c r="C262" s="3"/>
      <c r="D262" s="1"/>
      <c r="E262" s="3"/>
      <c r="F262" s="1"/>
      <c r="G262" s="3"/>
      <c r="H262" s="3"/>
      <c r="I262" s="3"/>
      <c r="J262" s="1"/>
      <c r="K262" s="3"/>
      <c r="L262" s="3"/>
      <c r="M262" s="1"/>
      <c r="N262" s="3"/>
    </row>
    <row r="263">
      <c r="A263" s="1"/>
      <c r="B263" s="2"/>
      <c r="C263" s="1"/>
      <c r="D263" s="1"/>
      <c r="E263" s="1"/>
      <c r="F263" s="1"/>
      <c r="G263" s="1"/>
      <c r="H263" s="3"/>
      <c r="I263" s="1"/>
      <c r="J263" s="1"/>
      <c r="K263" s="1"/>
      <c r="L263" s="1"/>
      <c r="M263" s="1"/>
      <c r="N263" s="1"/>
    </row>
    <row r="264">
      <c r="A264" s="3"/>
      <c r="B264" s="5"/>
      <c r="C264" s="3"/>
      <c r="D264" s="1"/>
      <c r="E264" s="3"/>
      <c r="F264" s="1"/>
      <c r="G264" s="3"/>
      <c r="H264" s="3"/>
      <c r="I264" s="3"/>
      <c r="J264" s="1"/>
      <c r="K264" s="3"/>
      <c r="L264" s="3"/>
      <c r="M264" s="1"/>
      <c r="N264" s="3"/>
    </row>
    <row r="265">
      <c r="A265" s="3"/>
      <c r="B265" s="5"/>
      <c r="C265" s="3"/>
      <c r="D265" s="1"/>
      <c r="E265" s="3"/>
      <c r="F265" s="1"/>
      <c r="G265" s="3"/>
      <c r="H265" s="3"/>
      <c r="I265" s="3"/>
      <c r="J265" s="1"/>
      <c r="K265" s="3"/>
      <c r="L265" s="3"/>
      <c r="M265" s="1"/>
      <c r="N265" s="3"/>
    </row>
    <row r="266">
      <c r="A266" s="3"/>
      <c r="B266" s="5"/>
      <c r="C266" s="3"/>
      <c r="D266" s="1"/>
      <c r="E266" s="3"/>
      <c r="F266" s="1"/>
      <c r="G266" s="3"/>
      <c r="H266" s="3"/>
      <c r="I266" s="3"/>
      <c r="J266" s="1"/>
      <c r="K266" s="3"/>
      <c r="L266" s="3"/>
      <c r="M266" s="1"/>
      <c r="N266" s="3"/>
    </row>
    <row r="267">
      <c r="A267" s="1"/>
      <c r="B267" s="2"/>
      <c r="C267" s="1"/>
      <c r="D267" s="1"/>
      <c r="E267" s="1"/>
      <c r="F267" s="1"/>
      <c r="G267" s="1"/>
      <c r="H267" s="3"/>
      <c r="I267" s="1"/>
      <c r="J267" s="1"/>
      <c r="K267" s="1"/>
      <c r="L267" s="1"/>
      <c r="M267" s="1"/>
      <c r="N267" s="1"/>
    </row>
    <row r="268">
      <c r="A268" s="3"/>
      <c r="B268" s="5"/>
      <c r="C268" s="3"/>
      <c r="D268" s="1"/>
      <c r="E268" s="3"/>
      <c r="F268" s="1"/>
      <c r="G268" s="3"/>
      <c r="H268" s="3"/>
      <c r="I268" s="3"/>
      <c r="J268" s="1"/>
      <c r="K268" s="3"/>
      <c r="L268" s="3"/>
      <c r="M268" s="1"/>
      <c r="N268" s="3"/>
    </row>
    <row r="269">
      <c r="A269" s="1"/>
      <c r="B269" s="2"/>
      <c r="C269" s="1"/>
      <c r="D269" s="1"/>
      <c r="E269" s="1"/>
      <c r="F269" s="1"/>
      <c r="G269" s="1"/>
      <c r="H269" s="3"/>
      <c r="I269" s="1"/>
      <c r="J269" s="1"/>
      <c r="K269" s="1"/>
      <c r="L269" s="1"/>
      <c r="M269" s="1"/>
      <c r="N269" s="1"/>
    </row>
    <row r="270">
      <c r="A270" s="3"/>
      <c r="B270" s="5"/>
      <c r="C270" s="3"/>
      <c r="D270" s="1"/>
      <c r="E270" s="3"/>
      <c r="F270" s="1"/>
      <c r="G270" s="3"/>
      <c r="H270" s="3"/>
      <c r="I270" s="3"/>
      <c r="J270" s="1"/>
      <c r="K270" s="3"/>
      <c r="L270" s="3"/>
      <c r="M270" s="1"/>
      <c r="N270" s="3"/>
    </row>
    <row r="271">
      <c r="A271" s="3"/>
      <c r="B271" s="5"/>
      <c r="C271" s="3"/>
      <c r="D271" s="1"/>
      <c r="E271" s="3"/>
      <c r="F271" s="1"/>
      <c r="G271" s="3"/>
      <c r="H271" s="3"/>
      <c r="I271" s="3"/>
      <c r="J271" s="1"/>
      <c r="K271" s="3"/>
      <c r="L271" s="3"/>
      <c r="M271" s="1"/>
      <c r="N271" s="3"/>
    </row>
    <row r="272">
      <c r="A272" s="1"/>
      <c r="B272" s="2"/>
      <c r="C272" s="1"/>
      <c r="D272" s="1"/>
      <c r="E272" s="1"/>
      <c r="F272" s="1"/>
      <c r="G272" s="1"/>
      <c r="H272" s="3"/>
      <c r="I272" s="1"/>
      <c r="J272" s="1"/>
      <c r="K272" s="1"/>
      <c r="L272" s="1"/>
      <c r="M272" s="1"/>
      <c r="N272" s="1"/>
    </row>
    <row r="273">
      <c r="A273" s="3"/>
      <c r="B273" s="5"/>
      <c r="C273" s="3"/>
      <c r="D273" s="1"/>
      <c r="E273" s="3"/>
      <c r="F273" s="1"/>
      <c r="G273" s="3"/>
      <c r="H273" s="3"/>
      <c r="I273" s="3"/>
      <c r="J273" s="1"/>
      <c r="K273" s="3"/>
      <c r="L273" s="3"/>
      <c r="M273" s="1"/>
      <c r="N273" s="3"/>
    </row>
    <row r="274">
      <c r="A274" s="3"/>
      <c r="B274" s="5"/>
      <c r="C274" s="3"/>
      <c r="D274" s="1"/>
      <c r="E274" s="3"/>
      <c r="F274" s="1"/>
      <c r="G274" s="3"/>
      <c r="H274" s="3"/>
      <c r="I274" s="3"/>
      <c r="J274" s="1"/>
      <c r="K274" s="3"/>
      <c r="L274" s="3"/>
      <c r="M274" s="1"/>
      <c r="N274" s="3"/>
    </row>
    <row r="275">
      <c r="A275" s="3"/>
      <c r="B275" s="5"/>
      <c r="C275" s="3"/>
      <c r="D275" s="1"/>
      <c r="E275" s="3"/>
      <c r="F275" s="1"/>
      <c r="G275" s="3"/>
      <c r="H275" s="3"/>
      <c r="I275" s="3"/>
      <c r="J275" s="1"/>
      <c r="K275" s="3"/>
      <c r="L275" s="3"/>
      <c r="M275" s="1"/>
      <c r="N275" s="3"/>
    </row>
    <row r="276">
      <c r="A276" s="3"/>
      <c r="B276" s="5"/>
      <c r="C276" s="3"/>
      <c r="D276" s="1"/>
      <c r="E276" s="3"/>
      <c r="F276" s="1"/>
      <c r="G276" s="3"/>
      <c r="H276" s="3"/>
      <c r="I276" s="3"/>
      <c r="J276" s="1"/>
      <c r="K276" s="3"/>
      <c r="L276" s="3"/>
      <c r="M276" s="1"/>
      <c r="N276" s="3"/>
    </row>
    <row r="277">
      <c r="A277" s="3"/>
      <c r="B277" s="5"/>
      <c r="C277" s="3"/>
      <c r="D277" s="1"/>
      <c r="E277" s="3"/>
      <c r="F277" s="1"/>
      <c r="G277" s="3"/>
      <c r="H277" s="3"/>
      <c r="I277" s="3"/>
      <c r="J277" s="1"/>
      <c r="K277" s="3"/>
      <c r="L277" s="3"/>
      <c r="M277" s="1"/>
      <c r="N277" s="3"/>
    </row>
    <row r="278">
      <c r="A278" s="3"/>
      <c r="B278" s="5"/>
      <c r="C278" s="3"/>
      <c r="D278" s="1"/>
      <c r="E278" s="3"/>
      <c r="F278" s="1"/>
      <c r="G278" s="3"/>
      <c r="H278" s="3"/>
      <c r="I278" s="3"/>
      <c r="J278" s="1"/>
      <c r="K278" s="3"/>
      <c r="L278" s="3"/>
      <c r="M278" s="1"/>
      <c r="N278" s="3"/>
    </row>
    <row r="279">
      <c r="A279" s="3"/>
      <c r="B279" s="5"/>
      <c r="C279" s="3"/>
      <c r="D279" s="1"/>
      <c r="E279" s="3"/>
      <c r="F279" s="1"/>
      <c r="G279" s="3"/>
      <c r="H279" s="3"/>
      <c r="I279" s="3"/>
      <c r="J279" s="1"/>
      <c r="K279" s="3"/>
      <c r="L279" s="3"/>
      <c r="M279" s="1"/>
      <c r="N279" s="3"/>
    </row>
    <row r="280">
      <c r="A280" s="3"/>
      <c r="B280" s="5"/>
      <c r="C280" s="3"/>
      <c r="D280" s="1"/>
      <c r="E280" s="3"/>
      <c r="F280" s="1"/>
      <c r="G280" s="3"/>
      <c r="H280" s="3"/>
      <c r="I280" s="3"/>
      <c r="J280" s="1"/>
      <c r="K280" s="3"/>
      <c r="L280" s="3"/>
      <c r="M280" s="1"/>
      <c r="N280" s="3"/>
    </row>
    <row r="281">
      <c r="A281" s="1"/>
      <c r="B281" s="2"/>
      <c r="C281" s="1"/>
      <c r="D281" s="1"/>
      <c r="E281" s="1"/>
      <c r="F281" s="1"/>
      <c r="G281" s="1"/>
      <c r="H281" s="3"/>
      <c r="I281" s="1"/>
      <c r="J281" s="1"/>
      <c r="K281" s="1"/>
      <c r="L281" s="1"/>
      <c r="M281" s="1"/>
      <c r="N281" s="1"/>
    </row>
    <row r="282">
      <c r="A282" s="3"/>
      <c r="B282" s="5"/>
      <c r="C282" s="3"/>
      <c r="D282" s="1"/>
      <c r="E282" s="3"/>
      <c r="F282" s="1"/>
      <c r="G282" s="3"/>
      <c r="H282" s="3"/>
      <c r="I282" s="3"/>
      <c r="J282" s="1"/>
      <c r="K282" s="3"/>
      <c r="L282" s="3"/>
      <c r="M282" s="1"/>
      <c r="N282" s="3"/>
    </row>
    <row r="283">
      <c r="A283" s="3"/>
      <c r="B283" s="5"/>
      <c r="C283" s="3"/>
      <c r="D283" s="1"/>
      <c r="E283" s="3"/>
      <c r="F283" s="1"/>
      <c r="G283" s="3"/>
      <c r="H283" s="3"/>
      <c r="I283" s="3"/>
      <c r="J283" s="1"/>
      <c r="K283" s="3"/>
      <c r="L283" s="3"/>
      <c r="M283" s="1"/>
      <c r="N283" s="3"/>
    </row>
    <row r="284">
      <c r="A284" s="3"/>
      <c r="B284" s="5"/>
      <c r="C284" s="3"/>
      <c r="D284" s="1"/>
      <c r="E284" s="3"/>
      <c r="F284" s="1"/>
      <c r="G284" s="3"/>
      <c r="H284" s="3"/>
      <c r="I284" s="3"/>
      <c r="J284" s="1"/>
      <c r="K284" s="3"/>
      <c r="L284" s="3"/>
      <c r="M284" s="1"/>
      <c r="N284" s="3"/>
    </row>
    <row r="285">
      <c r="A285" s="3"/>
      <c r="B285" s="5"/>
      <c r="C285" s="3"/>
      <c r="D285" s="1"/>
      <c r="E285" s="3"/>
      <c r="F285" s="1"/>
      <c r="G285" s="3"/>
      <c r="H285" s="3"/>
      <c r="I285" s="3"/>
      <c r="J285" s="1"/>
      <c r="K285" s="3"/>
      <c r="L285" s="3"/>
      <c r="M285" s="1"/>
      <c r="N285" s="3"/>
    </row>
    <row r="286">
      <c r="A286" s="3"/>
      <c r="B286" s="5"/>
      <c r="C286" s="3"/>
      <c r="D286" s="1"/>
      <c r="E286" s="3"/>
      <c r="F286" s="1"/>
      <c r="G286" s="3"/>
      <c r="H286" s="3"/>
      <c r="I286" s="3"/>
      <c r="J286" s="1"/>
      <c r="K286" s="3"/>
      <c r="L286" s="3"/>
      <c r="M286" s="1"/>
      <c r="N286" s="3"/>
    </row>
    <row r="287">
      <c r="A287" s="3"/>
      <c r="B287" s="5"/>
      <c r="C287" s="3"/>
      <c r="D287" s="1"/>
      <c r="E287" s="3"/>
      <c r="F287" s="1"/>
      <c r="G287" s="3"/>
      <c r="H287" s="3"/>
      <c r="I287" s="3"/>
      <c r="J287" s="1"/>
      <c r="K287" s="3"/>
      <c r="L287" s="3"/>
      <c r="M287" s="1"/>
      <c r="N287" s="3"/>
    </row>
    <row r="288">
      <c r="A288" s="1"/>
      <c r="B288" s="2"/>
      <c r="C288" s="1"/>
      <c r="D288" s="1"/>
      <c r="E288" s="1"/>
      <c r="F288" s="1"/>
      <c r="G288" s="1"/>
      <c r="H288" s="3"/>
      <c r="I288" s="1"/>
      <c r="J288" s="1"/>
      <c r="K288" s="1"/>
      <c r="L288" s="1"/>
      <c r="M288" s="1"/>
      <c r="N288" s="1"/>
    </row>
    <row r="289">
      <c r="A289" s="3"/>
      <c r="B289" s="5"/>
      <c r="C289" s="3"/>
      <c r="D289" s="1"/>
      <c r="E289" s="3"/>
      <c r="F289" s="1"/>
      <c r="G289" s="3"/>
      <c r="H289" s="3"/>
      <c r="I289" s="3"/>
      <c r="J289" s="1"/>
      <c r="K289" s="3"/>
      <c r="L289" s="3"/>
      <c r="M289" s="1"/>
      <c r="N289" s="3"/>
    </row>
    <row r="290">
      <c r="A290" s="3"/>
      <c r="B290" s="5"/>
      <c r="C290" s="3"/>
      <c r="D290" s="1"/>
      <c r="E290" s="3"/>
      <c r="F290" s="1"/>
      <c r="G290" s="3"/>
      <c r="H290" s="3"/>
      <c r="I290" s="3"/>
      <c r="J290" s="1"/>
      <c r="K290" s="3"/>
      <c r="L290" s="3"/>
      <c r="M290" s="1"/>
      <c r="N290" s="3"/>
    </row>
    <row r="291">
      <c r="A291" s="3"/>
      <c r="B291" s="5"/>
      <c r="C291" s="3"/>
      <c r="D291" s="1"/>
      <c r="E291" s="3"/>
      <c r="F291" s="1"/>
      <c r="G291" s="3"/>
      <c r="H291" s="3"/>
      <c r="I291" s="3"/>
      <c r="J291" s="1"/>
      <c r="K291" s="3"/>
      <c r="L291" s="3"/>
      <c r="M291" s="1"/>
      <c r="N291" s="3"/>
    </row>
    <row r="292">
      <c r="A292" s="1"/>
      <c r="B292" s="2"/>
      <c r="C292" s="1"/>
      <c r="D292" s="1"/>
      <c r="E292" s="1"/>
      <c r="F292" s="1"/>
      <c r="G292" s="1"/>
      <c r="H292" s="3"/>
      <c r="I292" s="1"/>
      <c r="J292" s="1"/>
      <c r="K292" s="1"/>
      <c r="L292" s="1"/>
      <c r="M292" s="1"/>
      <c r="N292" s="1"/>
    </row>
    <row r="293">
      <c r="A293" s="3"/>
      <c r="B293" s="5"/>
      <c r="C293" s="3"/>
      <c r="D293" s="1"/>
      <c r="E293" s="3"/>
      <c r="F293" s="1"/>
      <c r="G293" s="3"/>
      <c r="H293" s="3"/>
      <c r="I293" s="3"/>
      <c r="J293" s="1"/>
      <c r="K293" s="3"/>
      <c r="L293" s="3"/>
      <c r="M293" s="1"/>
      <c r="N293" s="3"/>
    </row>
    <row r="294">
      <c r="A294" s="1"/>
      <c r="B294" s="2"/>
      <c r="C294" s="1"/>
      <c r="D294" s="1"/>
      <c r="E294" s="1"/>
      <c r="F294" s="1"/>
      <c r="G294" s="1"/>
      <c r="H294" s="3"/>
      <c r="I294" s="1"/>
      <c r="J294" s="1"/>
      <c r="K294" s="1"/>
      <c r="L294" s="1"/>
      <c r="M294" s="1"/>
      <c r="N294" s="1"/>
    </row>
    <row r="295">
      <c r="A295" s="3"/>
      <c r="B295" s="5"/>
      <c r="C295" s="3"/>
      <c r="D295" s="1"/>
      <c r="E295" s="3"/>
      <c r="F295" s="1"/>
      <c r="G295" s="3"/>
      <c r="H295" s="3"/>
      <c r="I295" s="3"/>
      <c r="J295" s="1"/>
      <c r="K295" s="3"/>
      <c r="L295" s="3"/>
      <c r="M295" s="1"/>
      <c r="N295" s="3"/>
    </row>
    <row r="296">
      <c r="A296" s="3"/>
      <c r="B296" s="5"/>
      <c r="C296" s="3"/>
      <c r="D296" s="1"/>
      <c r="E296" s="3"/>
      <c r="F296" s="1"/>
      <c r="G296" s="3"/>
      <c r="H296" s="3"/>
      <c r="I296" s="3"/>
      <c r="J296" s="1"/>
      <c r="K296" s="3"/>
      <c r="L296" s="3"/>
      <c r="M296" s="1"/>
      <c r="N296" s="3"/>
    </row>
    <row r="297">
      <c r="A297" s="3"/>
      <c r="B297" s="5"/>
      <c r="C297" s="3"/>
      <c r="D297" s="1"/>
      <c r="E297" s="3"/>
      <c r="F297" s="1"/>
      <c r="G297" s="3"/>
      <c r="H297" s="3"/>
      <c r="I297" s="3"/>
      <c r="J297" s="1"/>
      <c r="K297" s="3"/>
      <c r="L297" s="3"/>
      <c r="M297" s="1"/>
      <c r="N297" s="3"/>
    </row>
    <row r="298">
      <c r="A298" s="3"/>
      <c r="B298" s="5"/>
      <c r="C298" s="3"/>
      <c r="D298" s="1"/>
      <c r="E298" s="3"/>
      <c r="F298" s="1"/>
      <c r="G298" s="3"/>
      <c r="H298" s="3"/>
      <c r="I298" s="3"/>
      <c r="J298" s="1"/>
      <c r="K298" s="3"/>
      <c r="L298" s="3"/>
      <c r="M298" s="1"/>
      <c r="N298" s="3"/>
    </row>
    <row r="299">
      <c r="A299" s="3"/>
      <c r="B299" s="5"/>
      <c r="C299" s="3"/>
      <c r="D299" s="1"/>
      <c r="E299" s="3"/>
      <c r="F299" s="1"/>
      <c r="G299" s="3"/>
      <c r="H299" s="3"/>
      <c r="I299" s="3"/>
      <c r="J299" s="1"/>
      <c r="K299" s="3"/>
      <c r="L299" s="3"/>
      <c r="M299" s="1"/>
      <c r="N299" s="3"/>
    </row>
    <row r="300">
      <c r="A300" s="1"/>
      <c r="B300" s="2"/>
      <c r="C300" s="1"/>
      <c r="D300" s="1"/>
      <c r="E300" s="1"/>
      <c r="F300" s="1"/>
      <c r="G300" s="1"/>
      <c r="H300" s="3"/>
      <c r="I300" s="1"/>
      <c r="J300" s="1"/>
      <c r="K300" s="1"/>
      <c r="L300" s="1"/>
      <c r="M300" s="1"/>
      <c r="N300" s="1"/>
    </row>
    <row r="301">
      <c r="A301" s="1"/>
      <c r="B301" s="2"/>
      <c r="C301" s="1"/>
      <c r="D301" s="1"/>
      <c r="E301" s="1"/>
      <c r="F301" s="1"/>
      <c r="G301" s="1"/>
      <c r="H301" s="3"/>
      <c r="I301" s="1"/>
      <c r="J301" s="1"/>
      <c r="K301" s="1"/>
      <c r="L301" s="1"/>
      <c r="M301" s="1"/>
      <c r="N301" s="1"/>
    </row>
    <row r="302">
      <c r="A302" s="3"/>
      <c r="B302" s="5"/>
      <c r="C302" s="3"/>
      <c r="D302" s="1"/>
      <c r="E302" s="3"/>
      <c r="F302" s="1"/>
      <c r="G302" s="3"/>
      <c r="H302" s="3"/>
      <c r="I302" s="3"/>
      <c r="J302" s="1"/>
      <c r="K302" s="3"/>
      <c r="L302" s="3"/>
      <c r="M302" s="1"/>
      <c r="N302" s="3"/>
    </row>
    <row r="303">
      <c r="A303" s="1"/>
      <c r="B303" s="2"/>
      <c r="C303" s="1"/>
      <c r="D303" s="1"/>
      <c r="E303" s="1"/>
      <c r="F303" s="1"/>
      <c r="G303" s="1"/>
      <c r="H303" s="3"/>
      <c r="I303" s="1"/>
      <c r="J303" s="1"/>
      <c r="K303" s="1"/>
      <c r="L303" s="1"/>
      <c r="M303" s="1"/>
      <c r="N303" s="1"/>
    </row>
    <row r="304">
      <c r="A304" s="3"/>
      <c r="B304" s="5"/>
      <c r="C304" s="3"/>
      <c r="D304" s="1"/>
      <c r="E304" s="3"/>
      <c r="F304" s="1"/>
      <c r="G304" s="3"/>
      <c r="H304" s="3"/>
      <c r="I304" s="3"/>
      <c r="J304" s="1"/>
      <c r="K304" s="3"/>
      <c r="L304" s="3"/>
      <c r="M304" s="1"/>
      <c r="N304" s="3"/>
    </row>
    <row r="305">
      <c r="A305" s="3"/>
      <c r="B305" s="5"/>
      <c r="C305" s="3"/>
      <c r="D305" s="1"/>
      <c r="E305" s="3"/>
      <c r="F305" s="1"/>
      <c r="G305" s="3"/>
      <c r="H305" s="3"/>
      <c r="I305" s="3"/>
      <c r="J305" s="1"/>
      <c r="K305" s="3"/>
      <c r="L305" s="3"/>
      <c r="M305" s="1"/>
      <c r="N305" s="3"/>
    </row>
    <row r="306">
      <c r="A306" s="3"/>
      <c r="B306" s="5"/>
      <c r="C306" s="3"/>
      <c r="D306" s="1"/>
      <c r="E306" s="3"/>
      <c r="F306" s="1"/>
      <c r="G306" s="3"/>
      <c r="H306" s="3"/>
      <c r="I306" s="3"/>
      <c r="J306" s="1"/>
      <c r="K306" s="3"/>
      <c r="L306" s="3"/>
      <c r="M306" s="1"/>
      <c r="N306" s="3"/>
    </row>
    <row r="307">
      <c r="A307" s="3"/>
      <c r="B307" s="5"/>
      <c r="C307" s="3"/>
      <c r="D307" s="1"/>
      <c r="E307" s="3"/>
      <c r="F307" s="1"/>
      <c r="G307" s="3"/>
      <c r="H307" s="3"/>
      <c r="I307" s="3"/>
      <c r="J307" s="1"/>
      <c r="K307" s="3"/>
      <c r="L307" s="3"/>
      <c r="M307" s="1"/>
      <c r="N307" s="3"/>
    </row>
    <row r="308">
      <c r="A308" s="3"/>
      <c r="B308" s="5"/>
      <c r="C308" s="3"/>
      <c r="D308" s="1"/>
      <c r="E308" s="3"/>
      <c r="F308" s="1"/>
      <c r="G308" s="3"/>
      <c r="H308" s="3"/>
      <c r="I308" s="3"/>
      <c r="J308" s="1"/>
      <c r="K308" s="3"/>
      <c r="L308" s="3"/>
      <c r="M308" s="1"/>
      <c r="N308" s="3"/>
    </row>
    <row r="309">
      <c r="A309" s="3"/>
      <c r="B309" s="5"/>
      <c r="C309" s="3"/>
      <c r="D309" s="1"/>
      <c r="E309" s="3"/>
      <c r="F309" s="1"/>
      <c r="G309" s="3"/>
      <c r="H309" s="3"/>
      <c r="I309" s="3"/>
      <c r="J309" s="1"/>
      <c r="K309" s="3"/>
      <c r="L309" s="3"/>
      <c r="M309" s="1"/>
      <c r="N309" s="3"/>
    </row>
    <row r="310">
      <c r="A310" s="1"/>
      <c r="B310" s="2"/>
      <c r="C310" s="1"/>
      <c r="D310" s="1"/>
      <c r="E310" s="1"/>
      <c r="F310" s="1"/>
      <c r="G310" s="1"/>
      <c r="H310" s="3"/>
      <c r="I310" s="1"/>
      <c r="J310" s="1"/>
      <c r="K310" s="1"/>
      <c r="L310" s="1"/>
      <c r="M310" s="1"/>
      <c r="N310" s="1"/>
    </row>
    <row r="311">
      <c r="A311" s="3"/>
      <c r="B311" s="5"/>
      <c r="C311" s="3"/>
      <c r="D311" s="1"/>
      <c r="E311" s="3"/>
      <c r="F311" s="1"/>
      <c r="G311" s="3"/>
      <c r="H311" s="3"/>
      <c r="I311" s="3"/>
      <c r="J311" s="1"/>
      <c r="K311" s="3"/>
      <c r="L311" s="3"/>
      <c r="M311" s="1"/>
      <c r="N311" s="3"/>
    </row>
    <row r="312">
      <c r="A312" s="3"/>
      <c r="B312" s="5"/>
      <c r="C312" s="3"/>
      <c r="D312" s="1"/>
      <c r="E312" s="3"/>
      <c r="F312" s="1"/>
      <c r="G312" s="3"/>
      <c r="H312" s="3"/>
      <c r="I312" s="3"/>
      <c r="J312" s="1"/>
      <c r="K312" s="3"/>
      <c r="L312" s="3"/>
      <c r="M312" s="1"/>
      <c r="N312" s="3"/>
    </row>
    <row r="313">
      <c r="A313" s="3"/>
      <c r="B313" s="5"/>
      <c r="C313" s="3"/>
      <c r="D313" s="1"/>
      <c r="E313" s="3"/>
      <c r="F313" s="1"/>
      <c r="G313" s="3"/>
      <c r="H313" s="3"/>
      <c r="I313" s="3"/>
      <c r="J313" s="1"/>
      <c r="K313" s="3"/>
      <c r="L313" s="3"/>
      <c r="M313" s="1"/>
      <c r="N313" s="3"/>
    </row>
    <row r="314">
      <c r="A314" s="3"/>
      <c r="B314" s="5"/>
      <c r="C314" s="3"/>
      <c r="D314" s="1"/>
      <c r="E314" s="3"/>
      <c r="F314" s="1"/>
      <c r="G314" s="3"/>
      <c r="H314" s="3"/>
      <c r="I314" s="3"/>
      <c r="J314" s="1"/>
      <c r="K314" s="3"/>
      <c r="L314" s="3"/>
      <c r="M314" s="1"/>
      <c r="N314" s="3"/>
    </row>
    <row r="315">
      <c r="A315" s="3"/>
      <c r="B315" s="5"/>
      <c r="C315" s="3"/>
      <c r="D315" s="1"/>
      <c r="E315" s="3"/>
      <c r="F315" s="1"/>
      <c r="G315" s="3"/>
      <c r="H315" s="3"/>
      <c r="I315" s="3"/>
      <c r="J315" s="1"/>
      <c r="K315" s="3"/>
      <c r="L315" s="3"/>
      <c r="M315" s="1"/>
      <c r="N315" s="3"/>
    </row>
    <row r="316">
      <c r="A316" s="3"/>
      <c r="B316" s="5"/>
      <c r="C316" s="3"/>
      <c r="D316" s="1"/>
      <c r="E316" s="3"/>
      <c r="F316" s="1"/>
      <c r="G316" s="3"/>
      <c r="H316" s="3"/>
      <c r="I316" s="3"/>
      <c r="J316" s="1"/>
      <c r="K316" s="3"/>
      <c r="L316" s="3"/>
      <c r="M316" s="1"/>
      <c r="N316" s="3"/>
    </row>
    <row r="317">
      <c r="A317" s="3"/>
      <c r="B317" s="5"/>
      <c r="C317" s="3"/>
      <c r="D317" s="1"/>
      <c r="E317" s="3"/>
      <c r="F317" s="1"/>
      <c r="G317" s="3"/>
      <c r="H317" s="3"/>
      <c r="I317" s="3"/>
      <c r="J317" s="1"/>
      <c r="K317" s="3"/>
      <c r="L317" s="3"/>
      <c r="M317" s="1"/>
      <c r="N317" s="3"/>
    </row>
    <row r="318">
      <c r="A318" s="3"/>
      <c r="B318" s="5"/>
      <c r="C318" s="3"/>
      <c r="D318" s="1"/>
      <c r="E318" s="3"/>
      <c r="F318" s="1"/>
      <c r="G318" s="3"/>
      <c r="H318" s="3"/>
      <c r="I318" s="3"/>
      <c r="J318" s="1"/>
      <c r="K318" s="3"/>
      <c r="L318" s="3"/>
      <c r="M318" s="1"/>
      <c r="N318" s="3"/>
    </row>
    <row r="319">
      <c r="A319" s="1"/>
      <c r="B319" s="2"/>
      <c r="C319" s="1"/>
      <c r="D319" s="1"/>
      <c r="E319" s="1"/>
      <c r="F319" s="1"/>
      <c r="G319" s="1"/>
      <c r="H319" s="3"/>
      <c r="I319" s="1"/>
      <c r="J319" s="1"/>
      <c r="K319" s="1"/>
      <c r="L319" s="1"/>
      <c r="M319" s="1"/>
      <c r="N319" s="1"/>
    </row>
    <row r="320">
      <c r="A320" s="3"/>
      <c r="B320" s="5"/>
      <c r="C320" s="3"/>
      <c r="D320" s="1"/>
      <c r="E320" s="3"/>
      <c r="F320" s="1"/>
      <c r="G320" s="3"/>
      <c r="H320" s="3"/>
      <c r="I320" s="3"/>
      <c r="J320" s="1"/>
      <c r="K320" s="3"/>
      <c r="L320" s="3"/>
      <c r="M320" s="1"/>
      <c r="N320" s="3"/>
    </row>
    <row r="321">
      <c r="A321" s="3"/>
      <c r="B321" s="5"/>
      <c r="C321" s="3"/>
      <c r="D321" s="1"/>
      <c r="E321" s="3"/>
      <c r="F321" s="1"/>
      <c r="G321" s="3"/>
      <c r="H321" s="3"/>
      <c r="I321" s="3"/>
      <c r="J321" s="1"/>
      <c r="K321" s="3"/>
      <c r="L321" s="3"/>
      <c r="M321" s="1"/>
      <c r="N321" s="3"/>
    </row>
    <row r="322">
      <c r="A322" s="3"/>
      <c r="B322" s="5"/>
      <c r="C322" s="3"/>
      <c r="D322" s="1"/>
      <c r="E322" s="3"/>
      <c r="F322" s="1"/>
      <c r="G322" s="3"/>
      <c r="H322" s="3"/>
      <c r="I322" s="3"/>
      <c r="J322" s="1"/>
      <c r="K322" s="3"/>
      <c r="L322" s="3"/>
      <c r="M322" s="1"/>
      <c r="N322" s="3"/>
    </row>
    <row r="323">
      <c r="A323" s="1"/>
      <c r="B323" s="2"/>
      <c r="C323" s="1"/>
      <c r="D323" s="1"/>
      <c r="E323" s="1"/>
      <c r="F323" s="1"/>
      <c r="G323" s="1"/>
      <c r="H323" s="3"/>
      <c r="I323" s="1"/>
      <c r="J323" s="1"/>
      <c r="K323" s="1"/>
      <c r="L323" s="1"/>
      <c r="M323" s="1"/>
      <c r="N323" s="1"/>
    </row>
    <row r="324">
      <c r="A324" s="1"/>
      <c r="B324" s="2"/>
      <c r="C324" s="1"/>
      <c r="D324" s="1"/>
      <c r="E324" s="1"/>
      <c r="F324" s="1"/>
      <c r="G324" s="1"/>
      <c r="H324" s="3"/>
      <c r="I324" s="1"/>
      <c r="J324" s="1"/>
      <c r="K324" s="1"/>
      <c r="L324" s="1"/>
      <c r="M324" s="1"/>
      <c r="N324" s="1"/>
    </row>
    <row r="325">
      <c r="A325" s="3"/>
      <c r="B325" s="5"/>
      <c r="C325" s="3"/>
      <c r="D325" s="1"/>
      <c r="E325" s="3"/>
      <c r="F325" s="1"/>
      <c r="G325" s="3"/>
      <c r="H325" s="3"/>
      <c r="I325" s="3"/>
      <c r="J325" s="1"/>
      <c r="K325" s="3"/>
      <c r="L325" s="3"/>
      <c r="M325" s="1"/>
      <c r="N325" s="3"/>
    </row>
    <row r="326">
      <c r="A326" s="3"/>
      <c r="B326" s="5"/>
      <c r="C326" s="3"/>
      <c r="D326" s="1"/>
      <c r="E326" s="3"/>
      <c r="F326" s="1"/>
      <c r="G326" s="3"/>
      <c r="H326" s="3"/>
      <c r="I326" s="3"/>
      <c r="J326" s="1"/>
      <c r="K326" s="3"/>
      <c r="L326" s="3"/>
      <c r="M326" s="1"/>
      <c r="N326" s="3"/>
    </row>
    <row r="327">
      <c r="A327" s="1"/>
      <c r="B327" s="2"/>
      <c r="C327" s="1"/>
      <c r="D327" s="1"/>
      <c r="E327" s="1"/>
      <c r="F327" s="1"/>
      <c r="G327" s="1"/>
      <c r="H327" s="3"/>
      <c r="I327" s="1"/>
      <c r="J327" s="1"/>
      <c r="K327" s="1"/>
      <c r="L327" s="1"/>
      <c r="M327" s="1"/>
      <c r="N327" s="1"/>
    </row>
    <row r="328">
      <c r="A328" s="3"/>
      <c r="B328" s="5"/>
      <c r="C328" s="3"/>
      <c r="D328" s="1"/>
      <c r="E328" s="3"/>
      <c r="F328" s="1"/>
      <c r="G328" s="3"/>
      <c r="H328" s="3"/>
      <c r="I328" s="3"/>
      <c r="J328" s="1"/>
      <c r="K328" s="3"/>
      <c r="L328" s="3"/>
      <c r="M328" s="1"/>
      <c r="N328" s="3"/>
    </row>
    <row r="329">
      <c r="A329" s="1"/>
      <c r="B329" s="2"/>
      <c r="C329" s="1"/>
      <c r="D329" s="1"/>
      <c r="E329" s="1"/>
      <c r="F329" s="1"/>
      <c r="G329" s="1"/>
      <c r="H329" s="3"/>
      <c r="I329" s="1"/>
      <c r="J329" s="1"/>
      <c r="K329" s="1"/>
      <c r="L329" s="1"/>
      <c r="M329" s="1"/>
      <c r="N329" s="1"/>
    </row>
    <row r="330">
      <c r="A330" s="3"/>
      <c r="B330" s="5"/>
      <c r="C330" s="3"/>
      <c r="D330" s="1"/>
      <c r="E330" s="3"/>
      <c r="F330" s="1"/>
      <c r="G330" s="3"/>
      <c r="H330" s="3"/>
      <c r="I330" s="3"/>
      <c r="J330" s="1"/>
      <c r="K330" s="3"/>
      <c r="L330" s="3"/>
      <c r="M330" s="1"/>
      <c r="N330" s="3"/>
    </row>
    <row r="331">
      <c r="A331" s="1"/>
      <c r="B331" s="2"/>
      <c r="C331" s="1"/>
      <c r="D331" s="1"/>
      <c r="E331" s="1"/>
      <c r="F331" s="1"/>
      <c r="G331" s="1"/>
      <c r="H331" s="3"/>
      <c r="I331" s="1"/>
      <c r="J331" s="1"/>
      <c r="K331" s="1"/>
      <c r="L331" s="1"/>
      <c r="M331" s="1"/>
      <c r="N331" s="1"/>
    </row>
    <row r="332">
      <c r="A332" s="3"/>
      <c r="B332" s="5"/>
      <c r="C332" s="3"/>
      <c r="D332" s="1"/>
      <c r="E332" s="3"/>
      <c r="F332" s="1"/>
      <c r="G332" s="3"/>
      <c r="H332" s="3"/>
      <c r="I332" s="3"/>
      <c r="J332" s="1"/>
      <c r="K332" s="3"/>
      <c r="L332" s="3"/>
      <c r="M332" s="1"/>
      <c r="N332" s="3"/>
    </row>
    <row r="333">
      <c r="A333" s="1"/>
      <c r="B333" s="2"/>
      <c r="C333" s="1"/>
      <c r="D333" s="1"/>
      <c r="E333" s="1"/>
      <c r="F333" s="1"/>
      <c r="G333" s="1"/>
      <c r="H333" s="3"/>
      <c r="I333" s="1"/>
      <c r="J333" s="1"/>
      <c r="K333" s="1"/>
      <c r="L333" s="1"/>
      <c r="M333" s="1"/>
      <c r="N333" s="1"/>
    </row>
    <row r="334">
      <c r="A334" s="1"/>
      <c r="B334" s="2"/>
      <c r="C334" s="1"/>
      <c r="D334" s="1"/>
      <c r="E334" s="1"/>
      <c r="F334" s="1"/>
      <c r="G334" s="1"/>
      <c r="H334" s="3"/>
      <c r="I334" s="1"/>
      <c r="J334" s="1"/>
      <c r="K334" s="1"/>
      <c r="L334" s="1"/>
      <c r="M334" s="1"/>
      <c r="N334" s="1"/>
    </row>
    <row r="335">
      <c r="A335" s="1"/>
      <c r="B335" s="2"/>
      <c r="C335" s="1"/>
      <c r="D335" s="1"/>
      <c r="E335" s="1"/>
      <c r="F335" s="1"/>
      <c r="G335" s="1"/>
      <c r="H335" s="3"/>
      <c r="I335" s="1"/>
      <c r="J335" s="1"/>
      <c r="K335" s="1"/>
      <c r="L335" s="1"/>
      <c r="M335" s="1"/>
      <c r="N335" s="1"/>
    </row>
    <row r="336">
      <c r="A336" s="1"/>
      <c r="B336" s="2"/>
      <c r="C336" s="1"/>
      <c r="D336" s="1"/>
      <c r="E336" s="1"/>
      <c r="F336" s="1"/>
      <c r="G336" s="1"/>
      <c r="H336" s="3"/>
      <c r="I336" s="1"/>
      <c r="J336" s="1"/>
      <c r="K336" s="1"/>
      <c r="L336" s="1"/>
      <c r="M336" s="1"/>
      <c r="N336" s="1"/>
    </row>
    <row r="337">
      <c r="A337" s="3"/>
      <c r="B337" s="5"/>
      <c r="C337" s="3"/>
      <c r="D337" s="1"/>
      <c r="E337" s="3"/>
      <c r="F337" s="1"/>
      <c r="G337" s="3"/>
      <c r="H337" s="3"/>
      <c r="I337" s="3"/>
      <c r="J337" s="1"/>
      <c r="K337" s="3"/>
      <c r="L337" s="3"/>
      <c r="M337" s="1"/>
      <c r="N337" s="3"/>
    </row>
    <row r="338">
      <c r="A338" s="3"/>
      <c r="B338" s="5"/>
      <c r="C338" s="3"/>
      <c r="D338" s="1"/>
      <c r="E338" s="3"/>
      <c r="F338" s="1"/>
      <c r="G338" s="3"/>
      <c r="H338" s="3"/>
      <c r="I338" s="3"/>
      <c r="J338" s="1"/>
      <c r="K338" s="3"/>
      <c r="L338" s="3"/>
      <c r="M338" s="1"/>
      <c r="N338" s="3"/>
    </row>
    <row r="339">
      <c r="A339" s="1"/>
      <c r="B339" s="2"/>
      <c r="C339" s="1"/>
      <c r="D339" s="1"/>
      <c r="E339" s="1"/>
      <c r="F339" s="1"/>
      <c r="G339" s="1"/>
      <c r="H339" s="3"/>
      <c r="I339" s="1"/>
      <c r="J339" s="1"/>
      <c r="K339" s="1"/>
      <c r="L339" s="1"/>
      <c r="M339" s="1"/>
      <c r="N339" s="1"/>
    </row>
    <row r="340">
      <c r="A340" s="3"/>
      <c r="B340" s="5"/>
      <c r="C340" s="3"/>
      <c r="D340" s="1"/>
      <c r="E340" s="3"/>
      <c r="F340" s="1"/>
      <c r="G340" s="3"/>
      <c r="H340" s="3"/>
      <c r="I340" s="3"/>
      <c r="J340" s="1"/>
      <c r="K340" s="3"/>
      <c r="L340" s="3"/>
      <c r="M340" s="1"/>
      <c r="N340" s="3"/>
    </row>
    <row r="341">
      <c r="A341" s="3"/>
      <c r="B341" s="5"/>
      <c r="C341" s="3"/>
      <c r="D341" s="1"/>
      <c r="E341" s="3"/>
      <c r="F341" s="1"/>
      <c r="G341" s="3"/>
      <c r="H341" s="3"/>
      <c r="I341" s="3"/>
      <c r="J341" s="1"/>
      <c r="K341" s="3"/>
      <c r="L341" s="3"/>
      <c r="M341" s="1"/>
      <c r="N341" s="3"/>
    </row>
    <row r="342">
      <c r="A342" s="3"/>
      <c r="B342" s="5"/>
      <c r="C342" s="3"/>
      <c r="D342" s="1"/>
      <c r="E342" s="3"/>
      <c r="F342" s="1"/>
      <c r="G342" s="3"/>
      <c r="H342" s="3"/>
      <c r="I342" s="3"/>
      <c r="J342" s="1"/>
      <c r="K342" s="3"/>
      <c r="L342" s="3"/>
      <c r="M342" s="1"/>
      <c r="N342" s="3"/>
    </row>
    <row r="343">
      <c r="A343" s="1"/>
      <c r="B343" s="2"/>
      <c r="C343" s="1"/>
      <c r="D343" s="1"/>
      <c r="E343" s="1"/>
      <c r="F343" s="1"/>
      <c r="G343" s="1"/>
      <c r="H343" s="3"/>
      <c r="I343" s="1"/>
      <c r="J343" s="1"/>
      <c r="K343" s="1"/>
      <c r="L343" s="1"/>
      <c r="M343" s="1"/>
      <c r="N343" s="1"/>
    </row>
    <row r="344">
      <c r="A344" s="3"/>
      <c r="B344" s="5"/>
      <c r="C344" s="3"/>
      <c r="D344" s="1"/>
      <c r="E344" s="3"/>
      <c r="F344" s="1"/>
      <c r="G344" s="3"/>
      <c r="H344" s="3"/>
      <c r="I344" s="3"/>
      <c r="J344" s="1"/>
      <c r="K344" s="3"/>
      <c r="L344" s="3"/>
      <c r="M344" s="1"/>
      <c r="N344" s="3"/>
    </row>
    <row r="345">
      <c r="A345" s="3"/>
      <c r="B345" s="5"/>
      <c r="C345" s="3"/>
      <c r="D345" s="1"/>
      <c r="E345" s="3"/>
      <c r="F345" s="1"/>
      <c r="G345" s="3"/>
      <c r="H345" s="3"/>
      <c r="I345" s="3"/>
      <c r="J345" s="1"/>
      <c r="K345" s="3"/>
      <c r="L345" s="3"/>
      <c r="M345" s="1"/>
      <c r="N345" s="3"/>
    </row>
    <row r="346">
      <c r="A346" s="3"/>
      <c r="B346" s="5"/>
      <c r="C346" s="3"/>
      <c r="D346" s="1"/>
      <c r="E346" s="3"/>
      <c r="F346" s="1"/>
      <c r="G346" s="3"/>
      <c r="H346" s="3"/>
      <c r="I346" s="3"/>
      <c r="J346" s="1"/>
      <c r="K346" s="3"/>
      <c r="L346" s="3"/>
      <c r="M346" s="1"/>
      <c r="N346" s="3"/>
    </row>
    <row r="347">
      <c r="A347" s="3"/>
      <c r="B347" s="5"/>
      <c r="C347" s="3"/>
      <c r="D347" s="1"/>
      <c r="E347" s="3"/>
      <c r="F347" s="1"/>
      <c r="G347" s="3"/>
      <c r="H347" s="3"/>
      <c r="I347" s="3"/>
      <c r="J347" s="1"/>
      <c r="K347" s="3"/>
      <c r="L347" s="3"/>
      <c r="M347" s="1"/>
      <c r="N347" s="3"/>
    </row>
    <row r="348">
      <c r="A348" s="3"/>
      <c r="B348" s="5"/>
      <c r="C348" s="3"/>
      <c r="D348" s="1"/>
      <c r="E348" s="3"/>
      <c r="F348" s="1"/>
      <c r="G348" s="3"/>
      <c r="H348" s="3"/>
      <c r="I348" s="3"/>
      <c r="J348" s="1"/>
      <c r="K348" s="3"/>
      <c r="L348" s="3"/>
      <c r="M348" s="1"/>
      <c r="N348" s="3"/>
    </row>
    <row r="349">
      <c r="A349" s="3"/>
      <c r="B349" s="5"/>
      <c r="C349" s="3"/>
      <c r="D349" s="1"/>
      <c r="E349" s="3"/>
      <c r="F349" s="1"/>
      <c r="G349" s="3"/>
      <c r="H349" s="3"/>
      <c r="I349" s="3"/>
      <c r="J349" s="1"/>
      <c r="K349" s="3"/>
      <c r="L349" s="3"/>
      <c r="M349" s="1"/>
      <c r="N349" s="3"/>
    </row>
    <row r="350">
      <c r="A350" s="1"/>
      <c r="B350" s="2"/>
      <c r="C350" s="1"/>
      <c r="D350" s="1"/>
      <c r="E350" s="1"/>
      <c r="F350" s="1"/>
      <c r="G350" s="1"/>
      <c r="H350" s="3"/>
      <c r="I350" s="1"/>
      <c r="J350" s="1"/>
      <c r="K350" s="1"/>
      <c r="L350" s="1"/>
      <c r="M350" s="1"/>
      <c r="N350" s="1"/>
    </row>
    <row r="351">
      <c r="A351" s="3"/>
      <c r="B351" s="5"/>
      <c r="C351" s="3"/>
      <c r="D351" s="1"/>
      <c r="E351" s="3"/>
      <c r="F351" s="1"/>
      <c r="G351" s="3"/>
      <c r="H351" s="3"/>
      <c r="I351" s="3"/>
      <c r="J351" s="1"/>
      <c r="K351" s="3"/>
      <c r="L351" s="3"/>
      <c r="M351" s="1"/>
      <c r="N351" s="3"/>
    </row>
    <row r="352">
      <c r="A352" s="3"/>
      <c r="B352" s="5"/>
      <c r="C352" s="3"/>
      <c r="D352" s="1"/>
      <c r="E352" s="3"/>
      <c r="F352" s="1"/>
      <c r="G352" s="3"/>
      <c r="H352" s="3"/>
      <c r="I352" s="3"/>
      <c r="J352" s="1"/>
      <c r="K352" s="3"/>
      <c r="L352" s="3"/>
      <c r="M352" s="1"/>
      <c r="N352" s="3"/>
    </row>
    <row r="353">
      <c r="A353" s="3"/>
      <c r="B353" s="5"/>
      <c r="C353" s="3"/>
      <c r="D353" s="1"/>
      <c r="E353" s="3"/>
      <c r="F353" s="1"/>
      <c r="G353" s="3"/>
      <c r="H353" s="3"/>
      <c r="I353" s="3"/>
      <c r="J353" s="1"/>
      <c r="K353" s="3"/>
      <c r="L353" s="3"/>
      <c r="M353" s="1"/>
      <c r="N353" s="3"/>
    </row>
    <row r="354">
      <c r="A354" s="3"/>
      <c r="B354" s="5"/>
      <c r="C354" s="3"/>
      <c r="D354" s="1"/>
      <c r="E354" s="3"/>
      <c r="F354" s="1"/>
      <c r="G354" s="3"/>
      <c r="H354" s="3"/>
      <c r="I354" s="3"/>
      <c r="J354" s="1"/>
      <c r="K354" s="3"/>
      <c r="L354" s="3"/>
      <c r="M354" s="1"/>
      <c r="N354" s="3"/>
    </row>
    <row r="355">
      <c r="A355" s="3"/>
      <c r="B355" s="5"/>
      <c r="C355" s="3"/>
      <c r="D355" s="1"/>
      <c r="E355" s="3"/>
      <c r="F355" s="1"/>
      <c r="G355" s="3"/>
      <c r="H355" s="3"/>
      <c r="I355" s="3"/>
      <c r="J355" s="1"/>
      <c r="K355" s="3"/>
      <c r="L355" s="3"/>
      <c r="M355" s="1"/>
      <c r="N355" s="3"/>
    </row>
    <row r="356">
      <c r="A356" s="3"/>
      <c r="B356" s="5"/>
      <c r="C356" s="3"/>
      <c r="D356" s="1"/>
      <c r="E356" s="3"/>
      <c r="F356" s="1"/>
      <c r="G356" s="3"/>
      <c r="H356" s="3"/>
      <c r="I356" s="3"/>
      <c r="J356" s="1"/>
      <c r="K356" s="3"/>
      <c r="L356" s="3"/>
      <c r="M356" s="1"/>
      <c r="N356" s="3"/>
    </row>
    <row r="357">
      <c r="A357" s="3"/>
      <c r="B357" s="5"/>
      <c r="C357" s="3"/>
      <c r="D357" s="1"/>
      <c r="E357" s="3"/>
      <c r="F357" s="1"/>
      <c r="G357" s="3"/>
      <c r="H357" s="3"/>
      <c r="I357" s="3"/>
      <c r="J357" s="1"/>
      <c r="K357" s="3"/>
      <c r="L357" s="3"/>
      <c r="M357" s="1"/>
      <c r="N357" s="3"/>
    </row>
    <row r="358">
      <c r="A358" s="3"/>
      <c r="B358" s="5"/>
      <c r="C358" s="3"/>
      <c r="D358" s="1"/>
      <c r="E358" s="3"/>
      <c r="F358" s="1"/>
      <c r="G358" s="3"/>
      <c r="H358" s="3"/>
      <c r="I358" s="3"/>
      <c r="J358" s="1"/>
      <c r="K358" s="3"/>
      <c r="L358" s="3"/>
      <c r="M358" s="1"/>
      <c r="N358" s="3"/>
    </row>
    <row r="359">
      <c r="A359" s="3"/>
      <c r="B359" s="5"/>
      <c r="C359" s="3"/>
      <c r="D359" s="1"/>
      <c r="E359" s="3"/>
      <c r="F359" s="1"/>
      <c r="G359" s="3"/>
      <c r="H359" s="3"/>
      <c r="I359" s="3"/>
      <c r="J359" s="1"/>
      <c r="K359" s="3"/>
      <c r="L359" s="3"/>
      <c r="M359" s="1"/>
      <c r="N359" s="3"/>
    </row>
    <row r="360">
      <c r="A360" s="3"/>
      <c r="B360" s="5"/>
      <c r="C360" s="3"/>
      <c r="D360" s="1"/>
      <c r="E360" s="3"/>
      <c r="F360" s="1"/>
      <c r="G360" s="3"/>
      <c r="H360" s="3"/>
      <c r="I360" s="3"/>
      <c r="J360" s="1"/>
      <c r="K360" s="3"/>
      <c r="L360" s="3"/>
      <c r="M360" s="1"/>
      <c r="N360" s="3"/>
    </row>
    <row r="361">
      <c r="A361" s="3"/>
      <c r="B361" s="5"/>
      <c r="C361" s="3"/>
      <c r="D361" s="1"/>
      <c r="E361" s="3"/>
      <c r="F361" s="1"/>
      <c r="G361" s="3"/>
      <c r="H361" s="3"/>
      <c r="I361" s="3"/>
      <c r="J361" s="1"/>
      <c r="K361" s="3"/>
      <c r="L361" s="3"/>
      <c r="M361" s="1"/>
      <c r="N361" s="3"/>
    </row>
    <row r="362">
      <c r="A362" s="3"/>
      <c r="B362" s="5"/>
      <c r="C362" s="3"/>
      <c r="D362" s="1"/>
      <c r="E362" s="3"/>
      <c r="F362" s="1"/>
      <c r="G362" s="3"/>
      <c r="H362" s="3"/>
      <c r="I362" s="3"/>
      <c r="J362" s="1"/>
      <c r="K362" s="3"/>
      <c r="L362" s="3"/>
      <c r="M362" s="1"/>
      <c r="N362" s="3"/>
    </row>
    <row r="363">
      <c r="A363" s="3"/>
      <c r="B363" s="5"/>
      <c r="C363" s="3"/>
      <c r="D363" s="1"/>
      <c r="E363" s="3"/>
      <c r="F363" s="1"/>
      <c r="G363" s="3"/>
      <c r="H363" s="3"/>
      <c r="I363" s="3"/>
      <c r="J363" s="1"/>
      <c r="K363" s="3"/>
      <c r="L363" s="3"/>
      <c r="M363" s="1"/>
      <c r="N363" s="3"/>
    </row>
    <row r="364">
      <c r="A364" s="1"/>
      <c r="B364" s="2"/>
      <c r="C364" s="1"/>
      <c r="D364" s="1"/>
      <c r="E364" s="1"/>
      <c r="F364" s="1"/>
      <c r="G364" s="1"/>
      <c r="H364" s="3"/>
      <c r="I364" s="1"/>
      <c r="J364" s="1"/>
      <c r="K364" s="1"/>
      <c r="L364" s="1"/>
      <c r="M364" s="1"/>
      <c r="N364" s="1"/>
    </row>
    <row r="365">
      <c r="A365" s="3"/>
      <c r="B365" s="5"/>
      <c r="C365" s="3"/>
      <c r="D365" s="1"/>
      <c r="E365" s="3"/>
      <c r="F365" s="1"/>
      <c r="G365" s="3"/>
      <c r="H365" s="3"/>
      <c r="I365" s="3"/>
      <c r="J365" s="1"/>
      <c r="K365" s="3"/>
      <c r="L365" s="3"/>
      <c r="M365" s="1"/>
      <c r="N365" s="3"/>
    </row>
    <row r="366">
      <c r="A366" s="3"/>
      <c r="B366" s="5"/>
      <c r="C366" s="3"/>
      <c r="D366" s="1"/>
      <c r="E366" s="3"/>
      <c r="F366" s="1"/>
      <c r="G366" s="3"/>
      <c r="H366" s="3"/>
      <c r="I366" s="3"/>
      <c r="J366" s="1"/>
      <c r="K366" s="3"/>
      <c r="L366" s="3"/>
      <c r="M366" s="1"/>
      <c r="N366" s="3"/>
    </row>
    <row r="367">
      <c r="A367" s="3"/>
      <c r="B367" s="5"/>
      <c r="C367" s="3"/>
      <c r="D367" s="1"/>
      <c r="E367" s="3"/>
      <c r="F367" s="1"/>
      <c r="G367" s="3"/>
      <c r="H367" s="3"/>
      <c r="I367" s="3"/>
      <c r="J367" s="1"/>
      <c r="K367" s="3"/>
      <c r="L367" s="3"/>
      <c r="M367" s="1"/>
      <c r="N367" s="3"/>
    </row>
    <row r="368">
      <c r="A368" s="3"/>
      <c r="B368" s="5"/>
      <c r="C368" s="3"/>
      <c r="D368" s="1"/>
      <c r="E368" s="3"/>
      <c r="F368" s="1"/>
      <c r="G368" s="3"/>
      <c r="H368" s="3"/>
      <c r="I368" s="3"/>
      <c r="J368" s="1"/>
      <c r="K368" s="3"/>
      <c r="L368" s="3"/>
      <c r="M368" s="1"/>
      <c r="N368" s="3"/>
    </row>
    <row r="369">
      <c r="A369" s="3"/>
      <c r="B369" s="5"/>
      <c r="C369" s="3"/>
      <c r="D369" s="1"/>
      <c r="E369" s="3"/>
      <c r="F369" s="1"/>
      <c r="G369" s="3"/>
      <c r="H369" s="3"/>
      <c r="I369" s="3"/>
      <c r="J369" s="1"/>
      <c r="K369" s="3"/>
      <c r="L369" s="3"/>
      <c r="M369" s="1"/>
      <c r="N369" s="3"/>
    </row>
    <row r="370">
      <c r="A370" s="3"/>
      <c r="B370" s="5"/>
      <c r="C370" s="3"/>
      <c r="D370" s="1"/>
      <c r="E370" s="3"/>
      <c r="F370" s="1"/>
      <c r="G370" s="3"/>
      <c r="H370" s="3"/>
      <c r="I370" s="3"/>
      <c r="J370" s="1"/>
      <c r="K370" s="3"/>
      <c r="L370" s="3"/>
      <c r="M370" s="1"/>
      <c r="N370" s="3"/>
    </row>
    <row r="371">
      <c r="A371" s="3"/>
      <c r="B371" s="5"/>
      <c r="C371" s="3"/>
      <c r="D371" s="1"/>
      <c r="E371" s="3"/>
      <c r="F371" s="1"/>
      <c r="G371" s="3"/>
      <c r="H371" s="3"/>
      <c r="I371" s="3"/>
      <c r="J371" s="1"/>
      <c r="K371" s="3"/>
      <c r="L371" s="3"/>
      <c r="M371" s="1"/>
      <c r="N371" s="3"/>
    </row>
    <row r="372">
      <c r="A372" s="3"/>
      <c r="B372" s="5"/>
      <c r="C372" s="3"/>
      <c r="D372" s="1"/>
      <c r="E372" s="3"/>
      <c r="F372" s="1"/>
      <c r="G372" s="3"/>
      <c r="H372" s="3"/>
      <c r="I372" s="3"/>
      <c r="J372" s="1"/>
      <c r="K372" s="3"/>
      <c r="L372" s="3"/>
      <c r="M372" s="1"/>
      <c r="N372" s="3"/>
    </row>
    <row r="373">
      <c r="A373" s="3"/>
      <c r="B373" s="5"/>
      <c r="C373" s="3"/>
      <c r="D373" s="1"/>
      <c r="E373" s="3"/>
      <c r="F373" s="1"/>
      <c r="G373" s="3"/>
      <c r="H373" s="3"/>
      <c r="I373" s="3"/>
      <c r="J373" s="1"/>
      <c r="K373" s="3"/>
      <c r="L373" s="3"/>
      <c r="M373" s="1"/>
      <c r="N373" s="3"/>
    </row>
    <row r="374">
      <c r="A374" s="3"/>
      <c r="B374" s="5"/>
      <c r="C374" s="3"/>
      <c r="D374" s="1"/>
      <c r="E374" s="3"/>
      <c r="F374" s="1"/>
      <c r="G374" s="3"/>
      <c r="H374" s="3"/>
      <c r="I374" s="3"/>
      <c r="J374" s="1"/>
      <c r="K374" s="3"/>
      <c r="L374" s="3"/>
      <c r="M374" s="1"/>
      <c r="N374" s="3"/>
    </row>
    <row r="375">
      <c r="A375" s="3"/>
      <c r="B375" s="5"/>
      <c r="C375" s="3"/>
      <c r="D375" s="1"/>
      <c r="E375" s="3"/>
      <c r="F375" s="1"/>
      <c r="G375" s="3"/>
      <c r="H375" s="3"/>
      <c r="I375" s="3"/>
      <c r="J375" s="1"/>
      <c r="K375" s="3"/>
      <c r="L375" s="3"/>
      <c r="M375" s="1"/>
      <c r="N375" s="3"/>
    </row>
    <row r="376">
      <c r="A376" s="3"/>
      <c r="B376" s="5"/>
      <c r="C376" s="3"/>
      <c r="D376" s="1"/>
      <c r="E376" s="3"/>
      <c r="F376" s="1"/>
      <c r="G376" s="3"/>
      <c r="H376" s="3"/>
      <c r="I376" s="3"/>
      <c r="J376" s="1"/>
      <c r="K376" s="3"/>
      <c r="L376" s="3"/>
      <c r="M376" s="1"/>
      <c r="N376" s="3"/>
    </row>
    <row r="377">
      <c r="A377" s="3"/>
      <c r="B377" s="5"/>
      <c r="C377" s="3"/>
      <c r="D377" s="1"/>
      <c r="E377" s="3"/>
      <c r="F377" s="1"/>
      <c r="G377" s="3"/>
      <c r="H377" s="3"/>
      <c r="I377" s="3"/>
      <c r="J377" s="1"/>
      <c r="K377" s="3"/>
      <c r="L377" s="3"/>
      <c r="M377" s="1"/>
      <c r="N377" s="3"/>
    </row>
    <row r="378">
      <c r="A378" s="3"/>
      <c r="B378" s="5"/>
      <c r="C378" s="3"/>
      <c r="D378" s="1"/>
      <c r="E378" s="3"/>
      <c r="F378" s="1"/>
      <c r="G378" s="3"/>
      <c r="H378" s="3"/>
      <c r="I378" s="3"/>
      <c r="J378" s="1"/>
      <c r="K378" s="3"/>
      <c r="L378" s="3"/>
      <c r="M378" s="1"/>
      <c r="N378" s="3"/>
    </row>
    <row r="379">
      <c r="A379" s="3"/>
      <c r="B379" s="5"/>
      <c r="C379" s="3"/>
      <c r="D379" s="1"/>
      <c r="E379" s="3"/>
      <c r="F379" s="1"/>
      <c r="G379" s="3"/>
      <c r="H379" s="3"/>
      <c r="I379" s="3"/>
      <c r="J379" s="1"/>
      <c r="K379" s="3"/>
      <c r="L379" s="3"/>
      <c r="M379" s="1"/>
      <c r="N379" s="3"/>
    </row>
    <row r="380">
      <c r="A380" s="3"/>
      <c r="B380" s="5"/>
      <c r="C380" s="3"/>
      <c r="D380" s="1"/>
      <c r="E380" s="3"/>
      <c r="F380" s="1"/>
      <c r="G380" s="3"/>
      <c r="H380" s="3"/>
      <c r="I380" s="3"/>
      <c r="J380" s="1"/>
      <c r="K380" s="3"/>
      <c r="L380" s="3"/>
      <c r="M380" s="1"/>
      <c r="N380" s="3"/>
    </row>
    <row r="381">
      <c r="A381" s="3"/>
      <c r="B381" s="5"/>
      <c r="C381" s="3"/>
      <c r="D381" s="1"/>
      <c r="E381" s="3"/>
      <c r="F381" s="1"/>
      <c r="G381" s="3"/>
      <c r="H381" s="3"/>
      <c r="I381" s="3"/>
      <c r="J381" s="1"/>
      <c r="K381" s="3"/>
      <c r="L381" s="3"/>
      <c r="M381" s="1"/>
      <c r="N381" s="3"/>
    </row>
    <row r="382">
      <c r="A382" s="3"/>
      <c r="B382" s="5"/>
      <c r="C382" s="3"/>
      <c r="D382" s="1"/>
      <c r="E382" s="3"/>
      <c r="F382" s="1"/>
      <c r="G382" s="3"/>
      <c r="H382" s="3"/>
      <c r="I382" s="3"/>
      <c r="J382" s="1"/>
      <c r="K382" s="3"/>
      <c r="L382" s="3"/>
      <c r="M382" s="1"/>
      <c r="N382" s="3"/>
    </row>
    <row r="383">
      <c r="A383" s="3"/>
      <c r="B383" s="5"/>
      <c r="C383" s="3"/>
      <c r="D383" s="1"/>
      <c r="E383" s="3"/>
      <c r="F383" s="1"/>
      <c r="G383" s="3"/>
      <c r="H383" s="3"/>
      <c r="I383" s="3"/>
      <c r="J383" s="1"/>
      <c r="K383" s="3"/>
      <c r="L383" s="3"/>
      <c r="M383" s="1"/>
      <c r="N383" s="3"/>
    </row>
    <row r="384">
      <c r="A384" s="3"/>
      <c r="B384" s="5"/>
      <c r="C384" s="3"/>
      <c r="D384" s="1"/>
      <c r="E384" s="3"/>
      <c r="F384" s="1"/>
      <c r="G384" s="3"/>
      <c r="H384" s="3"/>
      <c r="I384" s="3"/>
      <c r="J384" s="1"/>
      <c r="K384" s="3"/>
      <c r="L384" s="3"/>
      <c r="M384" s="1"/>
      <c r="N384" s="3"/>
    </row>
    <row r="385">
      <c r="A385" s="3"/>
      <c r="B385" s="5"/>
      <c r="C385" s="3"/>
      <c r="D385" s="1"/>
      <c r="E385" s="3"/>
      <c r="F385" s="1"/>
      <c r="G385" s="3"/>
      <c r="H385" s="3"/>
      <c r="I385" s="3"/>
      <c r="J385" s="1"/>
      <c r="K385" s="3"/>
      <c r="L385" s="3"/>
      <c r="M385" s="1"/>
      <c r="N385" s="3"/>
    </row>
    <row r="386">
      <c r="A386" s="3"/>
      <c r="B386" s="5"/>
      <c r="C386" s="3"/>
      <c r="D386" s="1"/>
      <c r="E386" s="3"/>
      <c r="F386" s="1"/>
      <c r="G386" s="3"/>
      <c r="H386" s="3"/>
      <c r="I386" s="3"/>
      <c r="J386" s="1"/>
      <c r="K386" s="3"/>
      <c r="L386" s="3"/>
      <c r="M386" s="1"/>
      <c r="N386" s="3"/>
    </row>
    <row r="387">
      <c r="A387" s="3"/>
      <c r="B387" s="5"/>
      <c r="C387" s="3"/>
      <c r="D387" s="1"/>
      <c r="E387" s="3"/>
      <c r="F387" s="1"/>
      <c r="G387" s="3"/>
      <c r="H387" s="3"/>
      <c r="I387" s="3"/>
      <c r="J387" s="1"/>
      <c r="K387" s="3"/>
      <c r="L387" s="3"/>
      <c r="M387" s="1"/>
      <c r="N387" s="3"/>
    </row>
    <row r="388">
      <c r="A388" s="3"/>
      <c r="B388" s="5"/>
      <c r="C388" s="3"/>
      <c r="D388" s="1"/>
      <c r="E388" s="3"/>
      <c r="F388" s="1"/>
      <c r="G388" s="3"/>
      <c r="H388" s="3"/>
      <c r="I388" s="3"/>
      <c r="J388" s="1"/>
      <c r="K388" s="3"/>
      <c r="L388" s="3"/>
      <c r="M388" s="1"/>
      <c r="N388" s="3"/>
    </row>
    <row r="389">
      <c r="A389" s="3"/>
      <c r="B389" s="5"/>
      <c r="C389" s="3"/>
      <c r="D389" s="1"/>
      <c r="E389" s="3"/>
      <c r="F389" s="1"/>
      <c r="G389" s="3"/>
      <c r="H389" s="3"/>
      <c r="I389" s="3"/>
      <c r="J389" s="1"/>
      <c r="K389" s="3"/>
      <c r="L389" s="3"/>
      <c r="M389" s="1"/>
      <c r="N389" s="3"/>
    </row>
    <row r="390">
      <c r="A390" s="3"/>
      <c r="B390" s="5"/>
      <c r="C390" s="3"/>
      <c r="D390" s="1"/>
      <c r="E390" s="3"/>
      <c r="F390" s="1"/>
      <c r="G390" s="3"/>
      <c r="H390" s="3"/>
      <c r="I390" s="3"/>
      <c r="J390" s="1"/>
      <c r="K390" s="3"/>
      <c r="L390" s="3"/>
      <c r="M390" s="1"/>
      <c r="N390" s="3"/>
    </row>
    <row r="391">
      <c r="A391" s="3"/>
      <c r="B391" s="5"/>
      <c r="C391" s="3"/>
      <c r="D391" s="1"/>
      <c r="E391" s="3"/>
      <c r="F391" s="1"/>
      <c r="G391" s="3"/>
      <c r="H391" s="3"/>
      <c r="I391" s="3"/>
      <c r="J391" s="1"/>
      <c r="K391" s="3"/>
      <c r="L391" s="3"/>
      <c r="M391" s="1"/>
      <c r="N391" s="3"/>
    </row>
    <row r="392">
      <c r="A392" s="3"/>
      <c r="B392" s="5"/>
      <c r="C392" s="3"/>
      <c r="D392" s="1"/>
      <c r="E392" s="3"/>
      <c r="F392" s="1"/>
      <c r="G392" s="3"/>
      <c r="H392" s="3"/>
      <c r="I392" s="3"/>
      <c r="J392" s="1"/>
      <c r="K392" s="3"/>
      <c r="L392" s="3"/>
      <c r="M392" s="1"/>
      <c r="N392" s="3"/>
    </row>
    <row r="393">
      <c r="A393" s="3"/>
      <c r="B393" s="5"/>
      <c r="C393" s="3"/>
      <c r="D393" s="1"/>
      <c r="E393" s="3"/>
      <c r="F393" s="1"/>
      <c r="G393" s="3"/>
      <c r="H393" s="3"/>
      <c r="I393" s="3"/>
      <c r="J393" s="1"/>
      <c r="K393" s="3"/>
      <c r="L393" s="3"/>
      <c r="M393" s="1"/>
      <c r="N393" s="3"/>
    </row>
    <row r="394">
      <c r="A394" s="3"/>
      <c r="B394" s="5"/>
      <c r="C394" s="3"/>
      <c r="D394" s="1"/>
      <c r="E394" s="3"/>
      <c r="F394" s="1"/>
      <c r="G394" s="3"/>
      <c r="H394" s="3"/>
      <c r="I394" s="3"/>
      <c r="J394" s="1"/>
      <c r="K394" s="3"/>
      <c r="L394" s="3"/>
      <c r="M394" s="1"/>
      <c r="N394" s="3"/>
    </row>
    <row r="395">
      <c r="A395" s="3"/>
      <c r="B395" s="5"/>
      <c r="C395" s="3"/>
      <c r="D395" s="1"/>
      <c r="E395" s="3"/>
      <c r="F395" s="1"/>
      <c r="G395" s="3"/>
      <c r="H395" s="3"/>
      <c r="I395" s="3"/>
      <c r="J395" s="1"/>
      <c r="K395" s="3"/>
      <c r="L395" s="3"/>
      <c r="M395" s="1"/>
      <c r="N395" s="3"/>
    </row>
    <row r="396">
      <c r="A396" s="3"/>
      <c r="B396" s="5"/>
      <c r="C396" s="3"/>
      <c r="D396" s="1"/>
      <c r="E396" s="3"/>
      <c r="F396" s="1"/>
      <c r="G396" s="3"/>
      <c r="H396" s="3"/>
      <c r="I396" s="3"/>
      <c r="J396" s="1"/>
      <c r="K396" s="3"/>
      <c r="L396" s="3"/>
      <c r="M396" s="1"/>
      <c r="N396" s="3"/>
    </row>
    <row r="397">
      <c r="A397" s="3"/>
      <c r="B397" s="5"/>
      <c r="C397" s="3"/>
      <c r="D397" s="1"/>
      <c r="E397" s="3"/>
      <c r="F397" s="1"/>
      <c r="G397" s="3"/>
      <c r="H397" s="3"/>
      <c r="I397" s="3"/>
      <c r="J397" s="1"/>
      <c r="K397" s="3"/>
      <c r="L397" s="3"/>
      <c r="M397" s="1"/>
      <c r="N397" s="3"/>
    </row>
    <row r="398">
      <c r="A398" s="3"/>
      <c r="B398" s="5"/>
      <c r="C398" s="3"/>
      <c r="D398" s="1"/>
      <c r="E398" s="3"/>
      <c r="F398" s="1"/>
      <c r="G398" s="3"/>
      <c r="H398" s="3"/>
      <c r="I398" s="3"/>
      <c r="J398" s="1"/>
      <c r="K398" s="3"/>
      <c r="L398" s="3"/>
      <c r="M398" s="1"/>
      <c r="N398" s="3"/>
    </row>
    <row r="399">
      <c r="A399" s="3"/>
      <c r="B399" s="5"/>
      <c r="C399" s="3"/>
      <c r="D399" s="1"/>
      <c r="E399" s="3"/>
      <c r="F399" s="1"/>
      <c r="G399" s="3"/>
      <c r="H399" s="3"/>
      <c r="I399" s="3"/>
      <c r="J399" s="1"/>
      <c r="K399" s="3"/>
      <c r="L399" s="3"/>
      <c r="M399" s="1"/>
      <c r="N399" s="3"/>
    </row>
    <row r="400">
      <c r="A400" s="3"/>
      <c r="B400" s="5"/>
      <c r="C400" s="3"/>
      <c r="D400" s="1"/>
      <c r="E400" s="3"/>
      <c r="F400" s="1"/>
      <c r="G400" s="3"/>
      <c r="H400" s="3"/>
      <c r="I400" s="3"/>
      <c r="J400" s="1"/>
      <c r="K400" s="3"/>
      <c r="L400" s="3"/>
      <c r="M400" s="1"/>
      <c r="N400" s="3"/>
    </row>
    <row r="401">
      <c r="A401" s="3"/>
      <c r="B401" s="5"/>
      <c r="C401" s="3"/>
      <c r="D401" s="1"/>
      <c r="E401" s="3"/>
      <c r="F401" s="1"/>
      <c r="G401" s="10"/>
      <c r="H401" s="3"/>
      <c r="I401" s="3"/>
      <c r="J401" s="1"/>
      <c r="K401" s="10"/>
      <c r="L401" s="3"/>
      <c r="M401" s="1"/>
      <c r="N401" s="10"/>
    </row>
    <row r="402">
      <c r="A402" s="3"/>
      <c r="B402" s="5"/>
      <c r="C402" s="3"/>
      <c r="D402" s="1"/>
      <c r="E402" s="3"/>
      <c r="F402" s="1"/>
      <c r="G402" s="3"/>
      <c r="H402" s="3"/>
      <c r="I402" s="3"/>
      <c r="J402" s="1"/>
      <c r="K402" s="3"/>
      <c r="L402" s="3"/>
      <c r="M402" s="1"/>
      <c r="N402" s="3"/>
    </row>
    <row r="403">
      <c r="A403" s="3"/>
      <c r="B403" s="5"/>
      <c r="C403" s="3"/>
      <c r="D403" s="1"/>
      <c r="E403" s="3"/>
      <c r="F403" s="1"/>
      <c r="G403" s="3"/>
      <c r="H403" s="3"/>
      <c r="I403" s="3"/>
      <c r="J403" s="1"/>
      <c r="K403" s="3"/>
      <c r="L403" s="3"/>
      <c r="M403" s="1"/>
      <c r="N403" s="3"/>
    </row>
    <row r="404">
      <c r="A404" s="3"/>
      <c r="B404" s="5"/>
      <c r="C404" s="3"/>
      <c r="D404" s="1"/>
      <c r="E404" s="3"/>
      <c r="F404" s="1"/>
      <c r="G404" s="3"/>
      <c r="H404" s="3"/>
      <c r="I404" s="3"/>
      <c r="J404" s="1"/>
      <c r="K404" s="3"/>
      <c r="L404" s="3"/>
      <c r="M404" s="1"/>
      <c r="N404" s="3"/>
    </row>
    <row r="405">
      <c r="A405" s="3"/>
      <c r="B405" s="5"/>
      <c r="C405" s="3"/>
      <c r="D405" s="1"/>
      <c r="E405" s="3"/>
      <c r="F405" s="1"/>
      <c r="G405" s="3"/>
      <c r="H405" s="3"/>
      <c r="I405" s="3"/>
      <c r="J405" s="1"/>
      <c r="K405" s="3"/>
      <c r="L405" s="3"/>
      <c r="M405" s="1"/>
      <c r="N405" s="3"/>
    </row>
    <row r="406">
      <c r="A406" s="3"/>
      <c r="B406" s="5"/>
      <c r="C406" s="3"/>
      <c r="D406" s="1"/>
      <c r="E406" s="3"/>
      <c r="F406" s="1"/>
      <c r="G406" s="3"/>
      <c r="H406" s="3"/>
      <c r="I406" s="3"/>
      <c r="J406" s="1"/>
      <c r="K406" s="3"/>
      <c r="L406" s="3"/>
      <c r="M406" s="1"/>
      <c r="N406" s="3"/>
    </row>
    <row r="407">
      <c r="A407" s="3"/>
      <c r="B407" s="5"/>
      <c r="C407" s="3"/>
      <c r="D407" s="1"/>
      <c r="E407" s="3"/>
      <c r="F407" s="1"/>
      <c r="G407" s="3"/>
      <c r="H407" s="3"/>
      <c r="I407" s="3"/>
      <c r="J407" s="1"/>
      <c r="K407" s="3"/>
      <c r="L407" s="3"/>
      <c r="M407" s="1"/>
      <c r="N407" s="3"/>
    </row>
    <row r="408">
      <c r="A408" s="3"/>
      <c r="B408" s="5"/>
      <c r="C408" s="3"/>
      <c r="D408" s="1"/>
      <c r="E408" s="3"/>
      <c r="F408" s="1"/>
      <c r="G408" s="3"/>
      <c r="H408" s="3"/>
      <c r="I408" s="3"/>
      <c r="J408" s="1"/>
      <c r="K408" s="3"/>
      <c r="L408" s="3"/>
      <c r="M408" s="1"/>
      <c r="N408" s="3"/>
    </row>
    <row r="409">
      <c r="A409" s="3"/>
      <c r="B409" s="5"/>
      <c r="C409" s="3"/>
      <c r="D409" s="1"/>
      <c r="E409" s="3"/>
      <c r="F409" s="1"/>
      <c r="G409" s="3"/>
      <c r="H409" s="3"/>
      <c r="I409" s="3"/>
      <c r="J409" s="1"/>
      <c r="K409" s="3"/>
      <c r="L409" s="3"/>
      <c r="M409" s="1"/>
      <c r="N409" s="3"/>
    </row>
    <row r="410">
      <c r="A410" s="3"/>
      <c r="B410" s="5"/>
      <c r="C410" s="3"/>
      <c r="D410" s="1"/>
      <c r="E410" s="3"/>
      <c r="F410" s="1"/>
      <c r="G410" s="3"/>
      <c r="H410" s="3"/>
      <c r="I410" s="3"/>
      <c r="J410" s="1"/>
      <c r="K410" s="3"/>
      <c r="L410" s="3"/>
      <c r="M410" s="1"/>
      <c r="N410" s="3"/>
    </row>
    <row r="411">
      <c r="A411" s="3"/>
      <c r="B411" s="5"/>
      <c r="C411" s="3"/>
      <c r="D411" s="1"/>
      <c r="E411" s="3"/>
      <c r="F411" s="1"/>
      <c r="G411" s="3"/>
      <c r="H411" s="3"/>
      <c r="I411" s="3"/>
      <c r="J411" s="1"/>
      <c r="K411" s="3"/>
      <c r="L411" s="3"/>
      <c r="M411" s="1"/>
      <c r="N411" s="3"/>
    </row>
    <row r="412">
      <c r="A412" s="3"/>
      <c r="B412" s="5"/>
      <c r="C412" s="3"/>
      <c r="D412" s="1"/>
      <c r="E412" s="3"/>
      <c r="F412" s="1"/>
      <c r="G412" s="3"/>
      <c r="H412" s="3"/>
      <c r="I412" s="3"/>
      <c r="J412" s="1"/>
      <c r="K412" s="3"/>
      <c r="L412" s="3"/>
      <c r="M412" s="1"/>
      <c r="N412" s="3"/>
    </row>
    <row r="413">
      <c r="A413" s="3"/>
      <c r="B413" s="5"/>
      <c r="C413" s="3"/>
      <c r="D413" s="1"/>
      <c r="E413" s="3"/>
      <c r="F413" s="1"/>
      <c r="G413" s="3"/>
      <c r="H413" s="3"/>
      <c r="I413" s="3"/>
      <c r="J413" s="1"/>
      <c r="K413" s="3"/>
      <c r="L413" s="3"/>
      <c r="M413" s="1"/>
      <c r="N413" s="3"/>
    </row>
    <row r="414">
      <c r="A414" s="3"/>
      <c r="B414" s="5"/>
      <c r="C414" s="3"/>
      <c r="D414" s="1"/>
      <c r="E414" s="3"/>
      <c r="F414" s="1"/>
      <c r="G414" s="3"/>
      <c r="H414" s="3"/>
      <c r="I414" s="3"/>
      <c r="J414" s="1"/>
      <c r="K414" s="3"/>
      <c r="L414" s="3"/>
      <c r="M414" s="1"/>
      <c r="N414" s="3"/>
    </row>
    <row r="415">
      <c r="A415" s="3"/>
      <c r="B415" s="5"/>
      <c r="C415" s="3"/>
      <c r="D415" s="1"/>
      <c r="E415" s="3"/>
      <c r="F415" s="1"/>
      <c r="G415" s="3"/>
      <c r="H415" s="3"/>
      <c r="I415" s="3"/>
      <c r="J415" s="1"/>
      <c r="K415" s="3"/>
      <c r="L415" s="3"/>
      <c r="M415" s="1"/>
      <c r="N415" s="3"/>
    </row>
    <row r="416">
      <c r="A416" s="3"/>
      <c r="B416" s="5"/>
      <c r="C416" s="3"/>
      <c r="D416" s="1"/>
      <c r="E416" s="3"/>
      <c r="F416" s="1"/>
      <c r="G416" s="3"/>
      <c r="H416" s="3"/>
      <c r="I416" s="3"/>
      <c r="J416" s="1"/>
      <c r="K416" s="3"/>
      <c r="L416" s="3"/>
      <c r="M416" s="1"/>
      <c r="N416" s="3"/>
    </row>
    <row r="417">
      <c r="A417" s="3"/>
      <c r="B417" s="5"/>
      <c r="C417" s="3"/>
      <c r="D417" s="1"/>
      <c r="E417" s="3"/>
      <c r="F417" s="1"/>
      <c r="G417" s="3"/>
      <c r="H417" s="3"/>
      <c r="I417" s="3"/>
      <c r="J417" s="1"/>
      <c r="K417" s="3"/>
      <c r="L417" s="3"/>
      <c r="M417" s="1"/>
      <c r="N417" s="3"/>
    </row>
    <row r="418">
      <c r="A418" s="3"/>
      <c r="B418" s="5"/>
      <c r="C418" s="3"/>
      <c r="D418" s="1"/>
      <c r="E418" s="3"/>
      <c r="F418" s="1"/>
      <c r="G418" s="3"/>
      <c r="H418" s="3"/>
      <c r="I418" s="3"/>
      <c r="J418" s="1"/>
      <c r="K418" s="3"/>
      <c r="L418" s="3"/>
      <c r="M418" s="1"/>
      <c r="N418" s="3"/>
    </row>
    <row r="419">
      <c r="A419" s="3"/>
      <c r="B419" s="5"/>
      <c r="C419" s="3"/>
      <c r="D419" s="1"/>
      <c r="E419" s="3"/>
      <c r="F419" s="1"/>
      <c r="G419" s="3"/>
      <c r="H419" s="3"/>
      <c r="I419" s="3"/>
      <c r="J419" s="1"/>
      <c r="K419" s="3"/>
      <c r="L419" s="3"/>
      <c r="M419" s="1"/>
      <c r="N419" s="3"/>
    </row>
    <row r="420">
      <c r="A420" s="3"/>
      <c r="B420" s="5"/>
      <c r="C420" s="3"/>
      <c r="D420" s="1"/>
      <c r="E420" s="3"/>
      <c r="F420" s="1"/>
      <c r="G420" s="3"/>
      <c r="H420" s="3"/>
      <c r="I420" s="3"/>
      <c r="J420" s="1"/>
      <c r="K420" s="3"/>
      <c r="L420" s="3"/>
      <c r="M420" s="1"/>
      <c r="N420" s="3"/>
    </row>
    <row r="421">
      <c r="A421" s="3"/>
      <c r="B421" s="5"/>
      <c r="C421" s="3"/>
      <c r="D421" s="1"/>
      <c r="E421" s="3"/>
      <c r="F421" s="1"/>
      <c r="G421" s="3"/>
      <c r="H421" s="3"/>
      <c r="I421" s="3"/>
      <c r="J421" s="1"/>
      <c r="K421" s="3"/>
      <c r="L421" s="3"/>
      <c r="M421" s="1"/>
      <c r="N421" s="3"/>
    </row>
    <row r="422">
      <c r="A422" s="3"/>
      <c r="B422" s="5"/>
      <c r="C422" s="3"/>
      <c r="D422" s="1"/>
      <c r="E422" s="3"/>
      <c r="F422" s="1"/>
      <c r="G422" s="3"/>
      <c r="H422" s="3"/>
      <c r="I422" s="3"/>
      <c r="J422" s="1"/>
      <c r="K422" s="3"/>
      <c r="L422" s="3"/>
      <c r="M422" s="1"/>
      <c r="N422" s="3"/>
    </row>
    <row r="423">
      <c r="A423" s="3"/>
      <c r="B423" s="5"/>
      <c r="C423" s="3"/>
      <c r="D423" s="1"/>
      <c r="E423" s="3"/>
      <c r="F423" s="1"/>
      <c r="G423" s="3"/>
      <c r="H423" s="3"/>
      <c r="I423" s="3"/>
      <c r="J423" s="1"/>
      <c r="K423" s="3"/>
      <c r="L423" s="3"/>
      <c r="M423" s="1"/>
      <c r="N423" s="3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/>
      <c r="C1" s="1"/>
      <c r="D1" s="1"/>
      <c r="E1" s="1"/>
      <c r="F1" s="1"/>
      <c r="G1" s="1"/>
      <c r="H1" s="3"/>
      <c r="I1" s="1"/>
      <c r="J1" s="1"/>
      <c r="K1" s="1"/>
      <c r="L1" s="1"/>
      <c r="M1" s="1"/>
      <c r="N1" s="1"/>
    </row>
    <row r="2">
      <c r="A2" s="1" t="s">
        <v>6</v>
      </c>
      <c r="B2" s="2">
        <v>165888.0</v>
      </c>
      <c r="C2" s="1" t="s">
        <v>1</v>
      </c>
      <c r="D2" s="1">
        <v>5.0</v>
      </c>
      <c r="E2" s="1" t="s">
        <v>7</v>
      </c>
      <c r="F2" s="1">
        <v>15.0</v>
      </c>
      <c r="G2" s="1" t="s">
        <v>8</v>
      </c>
      <c r="H2" s="3" t="s">
        <v>1044</v>
      </c>
      <c r="I2" s="1" t="s">
        <v>9</v>
      </c>
      <c r="J2" s="1">
        <v>5.0</v>
      </c>
      <c r="K2" s="1" t="s">
        <v>8</v>
      </c>
      <c r="L2" s="1" t="s">
        <v>10</v>
      </c>
      <c r="M2" s="1">
        <v>9.0</v>
      </c>
      <c r="N2" s="1" t="s">
        <v>8</v>
      </c>
      <c r="O2" s="4" t="s">
        <v>1045</v>
      </c>
      <c r="P2" s="4" t="s">
        <v>1046</v>
      </c>
    </row>
    <row r="3">
      <c r="A3" s="1" t="s">
        <v>17</v>
      </c>
      <c r="B3" s="2">
        <v>162647.0</v>
      </c>
      <c r="C3" s="1" t="s">
        <v>1</v>
      </c>
      <c r="D3" s="1">
        <v>5.0</v>
      </c>
      <c r="E3" s="1" t="s">
        <v>18</v>
      </c>
      <c r="F3" s="1">
        <v>22.0</v>
      </c>
      <c r="G3" s="1" t="s">
        <v>19</v>
      </c>
      <c r="H3" s="3" t="s">
        <v>1047</v>
      </c>
      <c r="I3" s="1" t="s">
        <v>20</v>
      </c>
      <c r="J3" s="1">
        <v>48.0</v>
      </c>
      <c r="K3" s="1" t="s">
        <v>19</v>
      </c>
      <c r="L3" s="1" t="s">
        <v>21</v>
      </c>
      <c r="M3" s="1">
        <v>10.0</v>
      </c>
      <c r="N3" s="1" t="s">
        <v>19</v>
      </c>
      <c r="O3" s="4" t="s">
        <v>1048</v>
      </c>
      <c r="P3" s="4" t="s">
        <v>1049</v>
      </c>
    </row>
    <row r="4">
      <c r="A4" s="1" t="s">
        <v>27</v>
      </c>
      <c r="B4" s="2">
        <v>110139.0</v>
      </c>
      <c r="C4" s="1" t="s">
        <v>1</v>
      </c>
      <c r="D4" s="1">
        <v>5.0</v>
      </c>
      <c r="E4" s="1" t="s">
        <v>28</v>
      </c>
      <c r="F4" s="1">
        <v>32.0</v>
      </c>
      <c r="G4" s="1" t="s">
        <v>29</v>
      </c>
      <c r="H4" s="3" t="s">
        <v>1050</v>
      </c>
      <c r="I4" s="1" t="s">
        <v>30</v>
      </c>
      <c r="J4" s="1">
        <v>13.0</v>
      </c>
      <c r="K4" s="1" t="s">
        <v>3</v>
      </c>
      <c r="L4" s="1" t="s">
        <v>2</v>
      </c>
      <c r="M4" s="1">
        <v>25.0</v>
      </c>
      <c r="N4" s="1" t="s">
        <v>3</v>
      </c>
      <c r="O4" s="4" t="s">
        <v>1051</v>
      </c>
      <c r="P4" s="4" t="s">
        <v>1052</v>
      </c>
    </row>
    <row r="5">
      <c r="A5" s="1" t="s">
        <v>31</v>
      </c>
      <c r="B5" s="2">
        <v>115831.0</v>
      </c>
      <c r="C5" s="1" t="s">
        <v>1</v>
      </c>
      <c r="D5" s="1">
        <v>5.0</v>
      </c>
      <c r="E5" s="1" t="s">
        <v>32</v>
      </c>
      <c r="F5" s="1">
        <v>11.0</v>
      </c>
      <c r="G5" s="1" t="s">
        <v>33</v>
      </c>
      <c r="H5" s="3" t="s">
        <v>1053</v>
      </c>
      <c r="I5" s="1" t="s">
        <v>34</v>
      </c>
      <c r="J5" s="1">
        <v>8.0</v>
      </c>
      <c r="K5" s="1" t="s">
        <v>33</v>
      </c>
      <c r="L5" s="1" t="s">
        <v>35</v>
      </c>
      <c r="M5" s="1">
        <v>45.0</v>
      </c>
      <c r="N5" s="1" t="s">
        <v>33</v>
      </c>
      <c r="O5" s="4" t="s">
        <v>1054</v>
      </c>
      <c r="P5" s="4" t="s">
        <v>1055</v>
      </c>
    </row>
    <row r="6">
      <c r="A6" s="3" t="s">
        <v>52</v>
      </c>
      <c r="B6" s="5">
        <v>111512.0</v>
      </c>
      <c r="C6" s="3" t="s">
        <v>1</v>
      </c>
      <c r="D6" s="1">
        <v>5.0</v>
      </c>
      <c r="E6" s="3" t="s">
        <v>20</v>
      </c>
      <c r="F6" s="1">
        <v>48.0</v>
      </c>
      <c r="G6" s="3" t="s">
        <v>53</v>
      </c>
      <c r="H6" s="3" t="s">
        <v>1056</v>
      </c>
      <c r="I6" s="3" t="s">
        <v>21</v>
      </c>
      <c r="J6" s="1">
        <v>10.0</v>
      </c>
      <c r="K6" s="3" t="s">
        <v>53</v>
      </c>
      <c r="L6" s="3" t="s">
        <v>34</v>
      </c>
      <c r="M6" s="1">
        <v>8.0</v>
      </c>
      <c r="N6" s="3" t="s">
        <v>53</v>
      </c>
      <c r="O6" s="4" t="s">
        <v>1057</v>
      </c>
      <c r="P6" s="4" t="s">
        <v>1058</v>
      </c>
    </row>
    <row r="7">
      <c r="A7" s="1" t="s">
        <v>54</v>
      </c>
      <c r="B7" s="2">
        <v>163664.0</v>
      </c>
      <c r="C7" s="1" t="s">
        <v>1</v>
      </c>
      <c r="D7" s="1">
        <v>5.0</v>
      </c>
      <c r="E7" s="1" t="s">
        <v>32</v>
      </c>
      <c r="F7" s="1">
        <v>11.0</v>
      </c>
      <c r="G7" s="11" t="s">
        <v>55</v>
      </c>
      <c r="H7" s="3" t="s">
        <v>1059</v>
      </c>
      <c r="I7" s="1" t="s">
        <v>34</v>
      </c>
      <c r="J7" s="1">
        <v>8.0</v>
      </c>
      <c r="K7" s="11" t="s">
        <v>55</v>
      </c>
      <c r="L7" s="1" t="s">
        <v>35</v>
      </c>
      <c r="M7" s="1">
        <v>45.0</v>
      </c>
      <c r="N7" s="11" t="s">
        <v>55</v>
      </c>
      <c r="O7" s="4" t="s">
        <v>1060</v>
      </c>
      <c r="P7" s="4" t="s">
        <v>1061</v>
      </c>
    </row>
    <row r="8">
      <c r="A8" s="1" t="s">
        <v>59</v>
      </c>
      <c r="B8" s="2">
        <v>120747.0</v>
      </c>
      <c r="C8" s="1" t="s">
        <v>60</v>
      </c>
      <c r="D8" s="1">
        <v>4.0</v>
      </c>
      <c r="E8" s="1" t="s">
        <v>61</v>
      </c>
      <c r="F8" s="1">
        <v>31.0</v>
      </c>
      <c r="G8" s="1" t="s">
        <v>62</v>
      </c>
      <c r="H8" s="3" t="s">
        <v>1062</v>
      </c>
      <c r="I8" s="1" t="s">
        <v>63</v>
      </c>
      <c r="J8" s="1">
        <v>29.0</v>
      </c>
      <c r="K8" s="1" t="s">
        <v>62</v>
      </c>
      <c r="L8" s="1" t="s">
        <v>64</v>
      </c>
      <c r="M8" s="1">
        <v>30.0</v>
      </c>
      <c r="N8" s="1" t="s">
        <v>62</v>
      </c>
      <c r="O8" s="4" t="s">
        <v>1063</v>
      </c>
      <c r="P8" s="4" t="s">
        <v>1064</v>
      </c>
    </row>
    <row r="9">
      <c r="A9" s="3" t="s">
        <v>68</v>
      </c>
      <c r="B9" s="5">
        <v>324008.0</v>
      </c>
      <c r="C9" s="3" t="s">
        <v>60</v>
      </c>
      <c r="D9" s="1">
        <v>4.0</v>
      </c>
      <c r="E9" s="3" t="s">
        <v>21</v>
      </c>
      <c r="F9" s="1">
        <v>10.0</v>
      </c>
      <c r="G9" s="3" t="s">
        <v>69</v>
      </c>
      <c r="H9" s="3" t="s">
        <v>1065</v>
      </c>
      <c r="I9" s="3" t="s">
        <v>26</v>
      </c>
      <c r="J9" s="1">
        <v>7.0</v>
      </c>
      <c r="K9" s="3" t="s">
        <v>69</v>
      </c>
      <c r="L9" s="3" t="s">
        <v>20</v>
      </c>
      <c r="M9" s="1">
        <v>48.0</v>
      </c>
      <c r="N9" s="3" t="s">
        <v>69</v>
      </c>
      <c r="O9" s="4" t="s">
        <v>1066</v>
      </c>
      <c r="P9" s="4" t="s">
        <v>1067</v>
      </c>
    </row>
    <row r="10">
      <c r="A10" s="1" t="s">
        <v>70</v>
      </c>
      <c r="B10" s="2">
        <v>110390.0</v>
      </c>
      <c r="C10" s="1" t="s">
        <v>60</v>
      </c>
      <c r="D10" s="1">
        <v>4.0</v>
      </c>
      <c r="E10" s="1" t="s">
        <v>9</v>
      </c>
      <c r="F10" s="1">
        <v>5.0</v>
      </c>
      <c r="G10" s="1" t="s">
        <v>71</v>
      </c>
      <c r="H10" s="3" t="s">
        <v>1068</v>
      </c>
      <c r="I10" s="1" t="s">
        <v>10</v>
      </c>
      <c r="J10" s="1">
        <v>9.0</v>
      </c>
      <c r="K10" s="1" t="s">
        <v>71</v>
      </c>
      <c r="L10" s="1" t="s">
        <v>72</v>
      </c>
      <c r="M10" s="1">
        <v>34.0</v>
      </c>
      <c r="N10" s="1" t="s">
        <v>71</v>
      </c>
      <c r="O10" s="4" t="s">
        <v>1069</v>
      </c>
      <c r="P10" s="4" t="s">
        <v>1070</v>
      </c>
    </row>
    <row r="11">
      <c r="A11" s="3" t="s">
        <v>73</v>
      </c>
      <c r="B11" s="5">
        <v>111134.0</v>
      </c>
      <c r="C11" s="3" t="s">
        <v>60</v>
      </c>
      <c r="D11" s="1">
        <v>4.0</v>
      </c>
      <c r="E11" s="3" t="s">
        <v>74</v>
      </c>
      <c r="F11" s="1">
        <v>50.0</v>
      </c>
      <c r="G11" s="3" t="s">
        <v>75</v>
      </c>
      <c r="H11" s="3" t="s">
        <v>1071</v>
      </c>
      <c r="I11" s="3" t="s">
        <v>76</v>
      </c>
      <c r="J11" s="1">
        <v>24.0</v>
      </c>
      <c r="K11" s="3" t="s">
        <v>75</v>
      </c>
      <c r="L11" s="3" t="s">
        <v>72</v>
      </c>
      <c r="M11" s="1">
        <v>34.0</v>
      </c>
      <c r="N11" s="3" t="s">
        <v>75</v>
      </c>
      <c r="O11" s="4" t="s">
        <v>1072</v>
      </c>
      <c r="P11" s="4" t="s">
        <v>1073</v>
      </c>
    </row>
    <row r="12">
      <c r="A12" s="3" t="s">
        <v>77</v>
      </c>
      <c r="B12" s="5">
        <v>164480.0</v>
      </c>
      <c r="C12" s="3" t="s">
        <v>60</v>
      </c>
      <c r="D12" s="1">
        <v>4.0</v>
      </c>
      <c r="E12" s="3" t="s">
        <v>18</v>
      </c>
      <c r="F12" s="1">
        <v>22.0</v>
      </c>
      <c r="G12" s="3" t="s">
        <v>78</v>
      </c>
      <c r="H12" s="3" t="s">
        <v>1074</v>
      </c>
      <c r="I12" s="3" t="s">
        <v>26</v>
      </c>
      <c r="J12" s="1">
        <v>7.0</v>
      </c>
      <c r="K12" s="3" t="s">
        <v>78</v>
      </c>
      <c r="L12" s="3" t="s">
        <v>21</v>
      </c>
      <c r="M12" s="1">
        <v>10.0</v>
      </c>
      <c r="N12" s="3" t="s">
        <v>78</v>
      </c>
      <c r="O12" s="4" t="s">
        <v>1075</v>
      </c>
      <c r="P12" s="4" t="s">
        <v>1076</v>
      </c>
    </row>
    <row r="13">
      <c r="A13" s="3" t="s">
        <v>79</v>
      </c>
      <c r="B13" s="5">
        <v>152136.0</v>
      </c>
      <c r="C13" s="3" t="s">
        <v>60</v>
      </c>
      <c r="D13" s="1">
        <v>4.0</v>
      </c>
      <c r="E13" s="3" t="s">
        <v>34</v>
      </c>
      <c r="F13" s="1">
        <v>8.0</v>
      </c>
      <c r="G13" s="3" t="s">
        <v>80</v>
      </c>
      <c r="H13" s="3" t="s">
        <v>1077</v>
      </c>
      <c r="I13" s="3" t="s">
        <v>64</v>
      </c>
      <c r="J13" s="1">
        <v>30.0</v>
      </c>
      <c r="K13" s="3" t="s">
        <v>80</v>
      </c>
      <c r="L13" s="3" t="s">
        <v>21</v>
      </c>
      <c r="M13" s="1">
        <v>10.0</v>
      </c>
      <c r="N13" s="3" t="s">
        <v>80</v>
      </c>
      <c r="O13" s="4" t="s">
        <v>1078</v>
      </c>
      <c r="P13" s="4" t="s">
        <v>1079</v>
      </c>
    </row>
    <row r="14">
      <c r="A14" s="1" t="s">
        <v>81</v>
      </c>
      <c r="B14" s="2">
        <v>119554.0</v>
      </c>
      <c r="C14" s="1" t="s">
        <v>60</v>
      </c>
      <c r="D14" s="1">
        <v>4.0</v>
      </c>
      <c r="E14" s="1" t="s">
        <v>74</v>
      </c>
      <c r="F14" s="1">
        <v>50.0</v>
      </c>
      <c r="G14" s="1" t="s">
        <v>82</v>
      </c>
      <c r="H14" s="3" t="s">
        <v>1080</v>
      </c>
      <c r="I14" s="1" t="s">
        <v>76</v>
      </c>
      <c r="J14" s="1">
        <v>24.0</v>
      </c>
      <c r="K14" s="1" t="s">
        <v>82</v>
      </c>
      <c r="L14" s="1" t="s">
        <v>10</v>
      </c>
      <c r="M14" s="1">
        <v>9.0</v>
      </c>
      <c r="N14" s="1" t="s">
        <v>82</v>
      </c>
      <c r="O14" s="4" t="s">
        <v>1081</v>
      </c>
      <c r="P14" s="4" t="s">
        <v>1082</v>
      </c>
    </row>
    <row r="15">
      <c r="A15" s="1" t="s">
        <v>84</v>
      </c>
      <c r="B15" s="2">
        <v>177495.0</v>
      </c>
      <c r="C15" s="1" t="s">
        <v>60</v>
      </c>
      <c r="D15" s="1">
        <v>4.0</v>
      </c>
      <c r="E15" s="1" t="s">
        <v>21</v>
      </c>
      <c r="F15" s="1">
        <v>10.0</v>
      </c>
      <c r="G15" s="1" t="s">
        <v>85</v>
      </c>
      <c r="H15" s="3" t="s">
        <v>1083</v>
      </c>
      <c r="I15" s="1" t="s">
        <v>20</v>
      </c>
      <c r="J15" s="1">
        <v>48.0</v>
      </c>
      <c r="K15" s="1" t="s">
        <v>86</v>
      </c>
      <c r="L15" s="1" t="s">
        <v>18</v>
      </c>
      <c r="M15" s="1">
        <v>22.0</v>
      </c>
      <c r="N15" s="1" t="s">
        <v>85</v>
      </c>
      <c r="O15" s="4" t="s">
        <v>1084</v>
      </c>
      <c r="P15" s="4" t="s">
        <v>1085</v>
      </c>
    </row>
    <row r="16">
      <c r="A16" s="1" t="s">
        <v>88</v>
      </c>
      <c r="B16" s="2">
        <v>139393.0</v>
      </c>
      <c r="C16" s="1" t="s">
        <v>60</v>
      </c>
      <c r="D16" s="1">
        <v>4.0</v>
      </c>
      <c r="E16" s="1" t="s">
        <v>61</v>
      </c>
      <c r="F16" s="1">
        <v>31.0</v>
      </c>
      <c r="G16" s="1" t="s">
        <v>89</v>
      </c>
      <c r="H16" s="3" t="s">
        <v>1086</v>
      </c>
      <c r="I16" s="1" t="s">
        <v>64</v>
      </c>
      <c r="J16" s="1">
        <v>30.0</v>
      </c>
      <c r="K16" s="1" t="s">
        <v>89</v>
      </c>
      <c r="L16" s="1" t="s">
        <v>63</v>
      </c>
      <c r="M16" s="1">
        <v>29.0</v>
      </c>
      <c r="N16" s="1" t="s">
        <v>89</v>
      </c>
      <c r="O16" s="4" t="s">
        <v>1087</v>
      </c>
      <c r="P16" s="4" t="s">
        <v>1088</v>
      </c>
    </row>
    <row r="17">
      <c r="A17" s="1" t="s">
        <v>92</v>
      </c>
      <c r="B17" s="2">
        <v>301144.0</v>
      </c>
      <c r="C17" s="1" t="s">
        <v>60</v>
      </c>
      <c r="D17" s="1">
        <v>4.0</v>
      </c>
      <c r="E17" s="1" t="s">
        <v>34</v>
      </c>
      <c r="F17" s="1">
        <v>8.0</v>
      </c>
      <c r="G17" s="1" t="s">
        <v>93</v>
      </c>
      <c r="H17" s="3" t="s">
        <v>1089</v>
      </c>
      <c r="I17" s="1" t="s">
        <v>64</v>
      </c>
      <c r="J17" s="1">
        <v>30.0</v>
      </c>
      <c r="K17" s="1" t="s">
        <v>93</v>
      </c>
      <c r="L17" s="1" t="s">
        <v>21</v>
      </c>
      <c r="M17" s="1">
        <v>10.0</v>
      </c>
      <c r="N17" s="1" t="s">
        <v>93</v>
      </c>
      <c r="O17" s="4" t="s">
        <v>1090</v>
      </c>
      <c r="P17" s="4" t="s">
        <v>1091</v>
      </c>
    </row>
    <row r="18">
      <c r="A18" s="1" t="s">
        <v>94</v>
      </c>
      <c r="B18" s="2">
        <v>111849.0</v>
      </c>
      <c r="C18" s="1" t="s">
        <v>60</v>
      </c>
      <c r="D18" s="1">
        <v>4.0</v>
      </c>
      <c r="E18" s="1" t="s">
        <v>10</v>
      </c>
      <c r="F18" s="1">
        <v>9.0</v>
      </c>
      <c r="G18" s="1" t="s">
        <v>95</v>
      </c>
      <c r="H18" s="3" t="s">
        <v>1092</v>
      </c>
      <c r="I18" s="1" t="s">
        <v>96</v>
      </c>
      <c r="J18" s="1">
        <v>47.0</v>
      </c>
      <c r="K18" s="1" t="s">
        <v>95</v>
      </c>
      <c r="L18" s="1" t="s">
        <v>16</v>
      </c>
      <c r="M18" s="1">
        <v>3.0</v>
      </c>
      <c r="N18" s="1" t="s">
        <v>95</v>
      </c>
      <c r="O18" s="4" t="s">
        <v>1093</v>
      </c>
      <c r="P18" s="4" t="s">
        <v>1094</v>
      </c>
    </row>
    <row r="19">
      <c r="A19" s="1" t="s">
        <v>98</v>
      </c>
      <c r="B19" s="2">
        <v>135551.0</v>
      </c>
      <c r="C19" s="1" t="s">
        <v>60</v>
      </c>
      <c r="D19" s="1">
        <v>4.0</v>
      </c>
      <c r="E19" s="1" t="s">
        <v>10</v>
      </c>
      <c r="F19" s="1">
        <v>9.0</v>
      </c>
      <c r="G19" s="1" t="s">
        <v>99</v>
      </c>
      <c r="H19" s="3" t="s">
        <v>1095</v>
      </c>
      <c r="I19" s="1" t="s">
        <v>96</v>
      </c>
      <c r="J19" s="1">
        <v>47.0</v>
      </c>
      <c r="K19" s="1" t="s">
        <v>99</v>
      </c>
      <c r="L19" s="1" t="s">
        <v>74</v>
      </c>
      <c r="M19" s="1">
        <v>50.0</v>
      </c>
      <c r="N19" s="1" t="s">
        <v>99</v>
      </c>
      <c r="O19" s="4" t="s">
        <v>1096</v>
      </c>
      <c r="P19" s="4" t="s">
        <v>1097</v>
      </c>
    </row>
    <row r="20">
      <c r="A20" s="1" t="s">
        <v>108</v>
      </c>
      <c r="B20" s="2">
        <v>139441.0</v>
      </c>
      <c r="C20" s="1" t="s">
        <v>60</v>
      </c>
      <c r="D20" s="1">
        <v>4.0</v>
      </c>
      <c r="E20" s="1" t="s">
        <v>109</v>
      </c>
      <c r="F20" s="1">
        <v>49.0</v>
      </c>
      <c r="G20" s="1" t="s">
        <v>110</v>
      </c>
      <c r="H20" s="3" t="s">
        <v>1098</v>
      </c>
      <c r="I20" s="1" t="s">
        <v>47</v>
      </c>
      <c r="J20" s="1">
        <v>27.0</v>
      </c>
      <c r="K20" s="1" t="s">
        <v>110</v>
      </c>
      <c r="L20" s="1" t="s">
        <v>111</v>
      </c>
      <c r="M20" s="1">
        <v>28.0</v>
      </c>
      <c r="N20" s="1" t="s">
        <v>110</v>
      </c>
      <c r="O20" s="4" t="s">
        <v>1099</v>
      </c>
      <c r="P20" s="4" t="s">
        <v>1100</v>
      </c>
    </row>
    <row r="21">
      <c r="A21" s="1" t="s">
        <v>112</v>
      </c>
      <c r="B21" s="2">
        <v>310712.0</v>
      </c>
      <c r="C21" s="1" t="s">
        <v>60</v>
      </c>
      <c r="D21" s="1">
        <v>4.0</v>
      </c>
      <c r="E21" s="1" t="s">
        <v>25</v>
      </c>
      <c r="F21" s="1">
        <v>18.0</v>
      </c>
      <c r="G21" s="1" t="s">
        <v>113</v>
      </c>
      <c r="H21" s="3" t="s">
        <v>1101</v>
      </c>
      <c r="I21" s="1" t="s">
        <v>114</v>
      </c>
      <c r="J21" s="1">
        <v>12.0</v>
      </c>
      <c r="K21" s="1" t="s">
        <v>115</v>
      </c>
      <c r="L21" s="1" t="s">
        <v>30</v>
      </c>
      <c r="M21" s="1">
        <v>13.0</v>
      </c>
      <c r="N21" s="1" t="s">
        <v>113</v>
      </c>
      <c r="O21" s="4" t="s">
        <v>1102</v>
      </c>
      <c r="P21" s="4" t="s">
        <v>1103</v>
      </c>
    </row>
    <row r="22">
      <c r="A22" s="1" t="s">
        <v>127</v>
      </c>
      <c r="B22" s="2">
        <v>153984.0</v>
      </c>
      <c r="C22" s="1" t="s">
        <v>118</v>
      </c>
      <c r="D22" s="1">
        <v>3.0</v>
      </c>
      <c r="E22" s="1" t="s">
        <v>9</v>
      </c>
      <c r="F22" s="1">
        <v>5.0</v>
      </c>
      <c r="G22" s="1" t="s">
        <v>128</v>
      </c>
      <c r="H22" s="3" t="s">
        <v>1104</v>
      </c>
      <c r="I22" s="1" t="s">
        <v>74</v>
      </c>
      <c r="J22" s="1">
        <v>50.0</v>
      </c>
      <c r="K22" s="1" t="s">
        <v>128</v>
      </c>
      <c r="L22" s="1" t="s">
        <v>72</v>
      </c>
      <c r="M22" s="1">
        <v>34.0</v>
      </c>
      <c r="N22" s="1" t="s">
        <v>128</v>
      </c>
      <c r="O22" s="4" t="s">
        <v>1105</v>
      </c>
      <c r="P22" s="4" t="s">
        <v>1106</v>
      </c>
    </row>
    <row r="23">
      <c r="A23" s="1" t="s">
        <v>129</v>
      </c>
      <c r="B23" s="2">
        <v>148882.0</v>
      </c>
      <c r="C23" s="1" t="s">
        <v>118</v>
      </c>
      <c r="D23" s="1">
        <v>3.0</v>
      </c>
      <c r="E23" s="1" t="s">
        <v>10</v>
      </c>
      <c r="F23" s="1">
        <v>9.0</v>
      </c>
      <c r="G23" s="1" t="s">
        <v>130</v>
      </c>
      <c r="H23" s="3" t="s">
        <v>1107</v>
      </c>
      <c r="I23" s="1" t="s">
        <v>96</v>
      </c>
      <c r="J23" s="1">
        <v>47.0</v>
      </c>
      <c r="K23" s="1" t="s">
        <v>130</v>
      </c>
      <c r="L23" s="1" t="s">
        <v>38</v>
      </c>
      <c r="M23" s="1">
        <v>6.0</v>
      </c>
      <c r="N23" s="1" t="s">
        <v>130</v>
      </c>
      <c r="O23" s="4" t="s">
        <v>1108</v>
      </c>
      <c r="P23" s="4" t="s">
        <v>1109</v>
      </c>
    </row>
    <row r="24">
      <c r="A24" s="1" t="s">
        <v>131</v>
      </c>
      <c r="B24" s="2">
        <v>119448.0</v>
      </c>
      <c r="C24" s="1" t="s">
        <v>118</v>
      </c>
      <c r="D24" s="1">
        <v>3.0</v>
      </c>
      <c r="E24" s="1" t="s">
        <v>47</v>
      </c>
      <c r="F24" s="1">
        <v>27.0</v>
      </c>
      <c r="G24" s="1" t="s">
        <v>132</v>
      </c>
      <c r="H24" s="3" t="s">
        <v>1110</v>
      </c>
      <c r="I24" s="1" t="s">
        <v>109</v>
      </c>
      <c r="J24" s="1">
        <v>49.0</v>
      </c>
      <c r="K24" s="1" t="s">
        <v>132</v>
      </c>
      <c r="L24" s="1" t="s">
        <v>28</v>
      </c>
      <c r="M24" s="1">
        <v>32.0</v>
      </c>
      <c r="N24" s="1" t="s">
        <v>132</v>
      </c>
      <c r="O24" s="4" t="s">
        <v>1111</v>
      </c>
      <c r="P24" s="4" t="s">
        <v>1112</v>
      </c>
    </row>
    <row r="25">
      <c r="A25" s="1" t="s">
        <v>133</v>
      </c>
      <c r="B25" s="2">
        <v>152872.0</v>
      </c>
      <c r="C25" s="1" t="s">
        <v>118</v>
      </c>
      <c r="D25" s="1">
        <v>3.0</v>
      </c>
      <c r="E25" s="1" t="s">
        <v>74</v>
      </c>
      <c r="F25" s="1">
        <v>50.0</v>
      </c>
      <c r="G25" s="1" t="s">
        <v>134</v>
      </c>
      <c r="H25" s="3" t="s">
        <v>1113</v>
      </c>
      <c r="I25" s="1" t="s">
        <v>96</v>
      </c>
      <c r="J25" s="1">
        <v>47.0</v>
      </c>
      <c r="K25" s="1" t="s">
        <v>134</v>
      </c>
      <c r="L25" s="1" t="s">
        <v>76</v>
      </c>
      <c r="M25" s="1">
        <v>24.0</v>
      </c>
      <c r="N25" s="1" t="s">
        <v>134</v>
      </c>
      <c r="O25" s="4" t="s">
        <v>1114</v>
      </c>
      <c r="P25" s="4" t="s">
        <v>1115</v>
      </c>
    </row>
    <row r="26">
      <c r="A26" s="1" t="s">
        <v>135</v>
      </c>
      <c r="B26" s="2">
        <v>110580.0</v>
      </c>
      <c r="C26" s="1" t="s">
        <v>118</v>
      </c>
      <c r="D26" s="1">
        <v>3.0</v>
      </c>
      <c r="E26" s="1" t="s">
        <v>30</v>
      </c>
      <c r="F26" s="1">
        <v>13.0</v>
      </c>
      <c r="G26" s="1" t="s">
        <v>136</v>
      </c>
      <c r="H26" s="3" t="s">
        <v>1116</v>
      </c>
      <c r="I26" s="1" t="s">
        <v>114</v>
      </c>
      <c r="J26" s="1">
        <v>12.0</v>
      </c>
      <c r="K26" s="1" t="s">
        <v>136</v>
      </c>
      <c r="L26" s="1" t="s">
        <v>34</v>
      </c>
      <c r="M26" s="1">
        <v>8.0</v>
      </c>
      <c r="N26" s="1" t="s">
        <v>3</v>
      </c>
      <c r="O26" s="4" t="s">
        <v>1117</v>
      </c>
      <c r="P26" s="4" t="s">
        <v>1118</v>
      </c>
    </row>
    <row r="27">
      <c r="A27" s="1" t="s">
        <v>137</v>
      </c>
      <c r="B27" s="2">
        <v>110176.0</v>
      </c>
      <c r="C27" s="1" t="s">
        <v>118</v>
      </c>
      <c r="D27" s="1">
        <v>3.0</v>
      </c>
      <c r="E27" s="1" t="s">
        <v>35</v>
      </c>
      <c r="F27" s="1">
        <v>45.0</v>
      </c>
      <c r="G27" s="1" t="s">
        <v>137</v>
      </c>
      <c r="H27" s="3" t="s">
        <v>1119</v>
      </c>
      <c r="I27" s="1" t="s">
        <v>26</v>
      </c>
      <c r="J27" s="1">
        <v>7.0</v>
      </c>
      <c r="K27" s="1" t="s">
        <v>137</v>
      </c>
      <c r="L27" s="1" t="s">
        <v>25</v>
      </c>
      <c r="M27" s="1">
        <v>18.0</v>
      </c>
      <c r="N27" s="1" t="s">
        <v>137</v>
      </c>
      <c r="O27" s="4" t="s">
        <v>1120</v>
      </c>
      <c r="P27" s="4" t="s">
        <v>1121</v>
      </c>
    </row>
    <row r="28">
      <c r="A28" s="1" t="s">
        <v>138</v>
      </c>
      <c r="B28" s="2">
        <v>136893.0</v>
      </c>
      <c r="C28" s="1" t="s">
        <v>118</v>
      </c>
      <c r="D28" s="1">
        <v>3.0</v>
      </c>
      <c r="E28" s="1" t="s">
        <v>139</v>
      </c>
      <c r="F28" s="1">
        <v>21.0</v>
      </c>
      <c r="G28" s="1" t="s">
        <v>140</v>
      </c>
      <c r="H28" s="3" t="s">
        <v>1122</v>
      </c>
      <c r="I28" s="1" t="s">
        <v>34</v>
      </c>
      <c r="J28" s="1">
        <v>8.0</v>
      </c>
      <c r="K28" s="1" t="s">
        <v>140</v>
      </c>
      <c r="L28" s="1" t="s">
        <v>28</v>
      </c>
      <c r="M28" s="1">
        <v>32.0</v>
      </c>
      <c r="N28" s="1" t="s">
        <v>140</v>
      </c>
      <c r="O28" s="4" t="s">
        <v>1123</v>
      </c>
      <c r="P28" s="4" t="s">
        <v>1124</v>
      </c>
    </row>
    <row r="29">
      <c r="A29" s="1" t="s">
        <v>144</v>
      </c>
      <c r="B29" s="2">
        <v>306538.0</v>
      </c>
      <c r="C29" s="1" t="s">
        <v>118</v>
      </c>
      <c r="D29" s="1">
        <v>3.0</v>
      </c>
      <c r="E29" s="1" t="s">
        <v>72</v>
      </c>
      <c r="F29" s="1">
        <v>34.0</v>
      </c>
      <c r="G29" s="1" t="s">
        <v>145</v>
      </c>
      <c r="H29" s="3" t="s">
        <v>1125</v>
      </c>
      <c r="I29" s="1" t="s">
        <v>10</v>
      </c>
      <c r="J29" s="1">
        <v>9.0</v>
      </c>
      <c r="K29" s="1" t="s">
        <v>145</v>
      </c>
      <c r="L29" s="1" t="s">
        <v>76</v>
      </c>
      <c r="M29" s="1">
        <v>24.0</v>
      </c>
      <c r="N29" s="1" t="s">
        <v>145</v>
      </c>
      <c r="O29" s="4" t="s">
        <v>1126</v>
      </c>
      <c r="P29" s="4" t="s">
        <v>1127</v>
      </c>
    </row>
    <row r="30">
      <c r="A30" s="1" t="s">
        <v>146</v>
      </c>
      <c r="B30" s="2">
        <v>110481.0</v>
      </c>
      <c r="C30" s="1" t="s">
        <v>118</v>
      </c>
      <c r="D30" s="1">
        <v>3.0</v>
      </c>
      <c r="E30" s="1" t="s">
        <v>111</v>
      </c>
      <c r="F30" s="1">
        <v>28.0</v>
      </c>
      <c r="G30" s="1" t="s">
        <v>147</v>
      </c>
      <c r="H30" s="3" t="s">
        <v>1128</v>
      </c>
      <c r="I30" s="1" t="s">
        <v>34</v>
      </c>
      <c r="J30" s="1">
        <v>8.0</v>
      </c>
      <c r="K30" s="1" t="s">
        <v>147</v>
      </c>
      <c r="L30" s="1" t="s">
        <v>109</v>
      </c>
      <c r="M30" s="1">
        <v>49.0</v>
      </c>
      <c r="N30" s="1" t="s">
        <v>147</v>
      </c>
      <c r="O30" s="4" t="s">
        <v>1129</v>
      </c>
      <c r="P30" s="4" t="s">
        <v>1130</v>
      </c>
    </row>
    <row r="31">
      <c r="A31" s="3" t="s">
        <v>150</v>
      </c>
      <c r="B31" s="5">
        <v>109886.0</v>
      </c>
      <c r="C31" s="3" t="s">
        <v>118</v>
      </c>
      <c r="D31" s="1">
        <v>3.0</v>
      </c>
      <c r="E31" s="3" t="s">
        <v>139</v>
      </c>
      <c r="F31" s="1">
        <v>21.0</v>
      </c>
      <c r="G31" s="3" t="s">
        <v>151</v>
      </c>
      <c r="H31" s="3" t="s">
        <v>1131</v>
      </c>
      <c r="I31" s="3" t="s">
        <v>34</v>
      </c>
      <c r="J31" s="1">
        <v>8.0</v>
      </c>
      <c r="K31" s="3" t="s">
        <v>151</v>
      </c>
      <c r="L31" s="3" t="s">
        <v>26</v>
      </c>
      <c r="M31" s="1">
        <v>7.0</v>
      </c>
      <c r="N31" s="3" t="s">
        <v>151</v>
      </c>
      <c r="O31" s="4" t="s">
        <v>1132</v>
      </c>
      <c r="P31" s="4" t="s">
        <v>1133</v>
      </c>
    </row>
    <row r="32">
      <c r="A32" s="3" t="s">
        <v>152</v>
      </c>
      <c r="B32" s="5">
        <v>309122.0</v>
      </c>
      <c r="C32" s="3" t="s">
        <v>153</v>
      </c>
      <c r="D32" s="1">
        <v>2.0</v>
      </c>
      <c r="E32" s="3" t="s">
        <v>109</v>
      </c>
      <c r="F32" s="1">
        <v>49.0</v>
      </c>
      <c r="G32" s="3" t="s">
        <v>154</v>
      </c>
      <c r="H32" s="3" t="s">
        <v>1134</v>
      </c>
      <c r="I32" s="3" t="s">
        <v>47</v>
      </c>
      <c r="J32" s="1">
        <v>27.0</v>
      </c>
      <c r="K32" s="3" t="s">
        <v>154</v>
      </c>
      <c r="L32" s="3" t="s">
        <v>30</v>
      </c>
      <c r="M32" s="1">
        <v>13.0</v>
      </c>
      <c r="N32" s="3" t="s">
        <v>154</v>
      </c>
      <c r="O32" s="4" t="s">
        <v>1135</v>
      </c>
      <c r="P32" s="4" t="s">
        <v>1136</v>
      </c>
    </row>
    <row r="33">
      <c r="A33" s="1" t="s">
        <v>168</v>
      </c>
      <c r="B33" s="2">
        <v>136686.0</v>
      </c>
      <c r="C33" s="1" t="s">
        <v>153</v>
      </c>
      <c r="D33" s="1">
        <v>2.0</v>
      </c>
      <c r="E33" s="1" t="s">
        <v>18</v>
      </c>
      <c r="F33" s="1">
        <v>22.0</v>
      </c>
      <c r="G33" s="1" t="s">
        <v>169</v>
      </c>
      <c r="H33" s="3" t="s">
        <v>1137</v>
      </c>
      <c r="I33" s="1" t="s">
        <v>26</v>
      </c>
      <c r="J33" s="1">
        <v>7.0</v>
      </c>
      <c r="K33" s="1" t="s">
        <v>169</v>
      </c>
      <c r="L33" s="1" t="s">
        <v>170</v>
      </c>
      <c r="M33" s="1">
        <v>16.0</v>
      </c>
      <c r="N33" s="1" t="s">
        <v>169</v>
      </c>
      <c r="O33" s="4" t="s">
        <v>1138</v>
      </c>
      <c r="P33" s="4" t="s">
        <v>1139</v>
      </c>
    </row>
    <row r="34">
      <c r="A34" s="1" t="s">
        <v>171</v>
      </c>
      <c r="B34" s="2">
        <v>119064.0</v>
      </c>
      <c r="C34" s="1" t="s">
        <v>153</v>
      </c>
      <c r="D34" s="1">
        <v>2.0</v>
      </c>
      <c r="E34" s="1" t="s">
        <v>32</v>
      </c>
      <c r="F34" s="1">
        <v>11.0</v>
      </c>
      <c r="G34" s="1" t="s">
        <v>172</v>
      </c>
      <c r="H34" s="3" t="s">
        <v>1140</v>
      </c>
      <c r="I34" s="1" t="s">
        <v>114</v>
      </c>
      <c r="J34" s="1">
        <v>12.0</v>
      </c>
      <c r="K34" s="1" t="s">
        <v>172</v>
      </c>
      <c r="L34" s="1" t="s">
        <v>47</v>
      </c>
      <c r="M34" s="1">
        <v>27.0</v>
      </c>
      <c r="N34" s="1" t="s">
        <v>172</v>
      </c>
      <c r="O34" s="4" t="s">
        <v>1141</v>
      </c>
      <c r="P34" s="4" t="s">
        <v>1142</v>
      </c>
    </row>
    <row r="35">
      <c r="A35" s="1" t="s">
        <v>177</v>
      </c>
      <c r="B35" s="2">
        <v>184175.0</v>
      </c>
      <c r="C35" s="1" t="s">
        <v>153</v>
      </c>
      <c r="D35" s="1">
        <v>2.0</v>
      </c>
      <c r="E35" s="1" t="s">
        <v>64</v>
      </c>
      <c r="F35" s="1">
        <v>30.0</v>
      </c>
      <c r="G35" s="1" t="s">
        <v>178</v>
      </c>
      <c r="H35" s="3" t="s">
        <v>1143</v>
      </c>
      <c r="I35" s="1" t="s">
        <v>63</v>
      </c>
      <c r="J35" s="1">
        <v>29.0</v>
      </c>
      <c r="K35" s="1" t="s">
        <v>178</v>
      </c>
      <c r="L35" s="1" t="s">
        <v>61</v>
      </c>
      <c r="M35" s="1">
        <v>31.0</v>
      </c>
      <c r="N35" s="1" t="s">
        <v>178</v>
      </c>
      <c r="O35" s="4" t="s">
        <v>1144</v>
      </c>
      <c r="P35" s="4" t="s">
        <v>1145</v>
      </c>
    </row>
    <row r="36">
      <c r="A36" s="1" t="s">
        <v>182</v>
      </c>
      <c r="B36" s="2">
        <v>138399.0</v>
      </c>
      <c r="C36" s="1" t="s">
        <v>153</v>
      </c>
      <c r="D36" s="1">
        <v>2.0</v>
      </c>
      <c r="E36" s="1" t="s">
        <v>18</v>
      </c>
      <c r="F36" s="1">
        <v>22.0</v>
      </c>
      <c r="G36" s="1" t="s">
        <v>183</v>
      </c>
      <c r="H36" s="3" t="s">
        <v>1146</v>
      </c>
      <c r="I36" s="1" t="s">
        <v>184</v>
      </c>
      <c r="J36" s="1">
        <v>4.0</v>
      </c>
      <c r="K36" s="1" t="s">
        <v>183</v>
      </c>
      <c r="L36" s="1" t="s">
        <v>26</v>
      </c>
      <c r="M36" s="1">
        <v>7.0</v>
      </c>
      <c r="N36" s="1" t="s">
        <v>183</v>
      </c>
      <c r="O36" s="4" t="s">
        <v>1147</v>
      </c>
      <c r="P36" s="4" t="s">
        <v>1148</v>
      </c>
    </row>
    <row r="37">
      <c r="A37" s="1" t="s">
        <v>185</v>
      </c>
      <c r="B37" s="2">
        <v>136292.0</v>
      </c>
      <c r="C37" s="1" t="s">
        <v>153</v>
      </c>
      <c r="D37" s="1">
        <v>2.0</v>
      </c>
      <c r="E37" s="1" t="s">
        <v>18</v>
      </c>
      <c r="F37" s="1">
        <v>22.0</v>
      </c>
      <c r="G37" s="1" t="s">
        <v>186</v>
      </c>
      <c r="H37" s="3" t="s">
        <v>1149</v>
      </c>
      <c r="I37" s="1" t="s">
        <v>26</v>
      </c>
      <c r="J37" s="1">
        <v>7.0</v>
      </c>
      <c r="K37" s="1" t="s">
        <v>186</v>
      </c>
      <c r="L37" s="1" t="s">
        <v>170</v>
      </c>
      <c r="M37" s="1">
        <v>16.0</v>
      </c>
      <c r="N37" s="3" t="s">
        <v>186</v>
      </c>
      <c r="O37" s="4" t="s">
        <v>1150</v>
      </c>
      <c r="P37" s="4" t="s">
        <v>1151</v>
      </c>
    </row>
    <row r="38">
      <c r="A38" s="1" t="s">
        <v>192</v>
      </c>
      <c r="B38" s="2">
        <v>154787.0</v>
      </c>
      <c r="C38" s="1" t="s">
        <v>153</v>
      </c>
      <c r="D38" s="1">
        <v>2.0</v>
      </c>
      <c r="E38" s="1" t="s">
        <v>111</v>
      </c>
      <c r="F38" s="1">
        <v>28.0</v>
      </c>
      <c r="G38" s="1" t="s">
        <v>193</v>
      </c>
      <c r="H38" s="3" t="s">
        <v>1152</v>
      </c>
      <c r="I38" s="1" t="s">
        <v>109</v>
      </c>
      <c r="J38" s="1">
        <v>49.0</v>
      </c>
      <c r="K38" s="1" t="s">
        <v>193</v>
      </c>
      <c r="L38" s="1" t="s">
        <v>184</v>
      </c>
      <c r="M38" s="1">
        <v>4.0</v>
      </c>
      <c r="N38" s="1" t="s">
        <v>193</v>
      </c>
      <c r="O38" s="4" t="s">
        <v>1153</v>
      </c>
      <c r="P38" s="4" t="s">
        <v>1154</v>
      </c>
    </row>
    <row r="39">
      <c r="A39" s="3" t="s">
        <v>195</v>
      </c>
      <c r="B39" s="5">
        <v>119330.0</v>
      </c>
      <c r="C39" s="3" t="s">
        <v>153</v>
      </c>
      <c r="D39" s="1">
        <v>2.0</v>
      </c>
      <c r="E39" s="3" t="s">
        <v>64</v>
      </c>
      <c r="F39" s="1">
        <v>30.0</v>
      </c>
      <c r="G39" s="3" t="s">
        <v>196</v>
      </c>
      <c r="H39" s="3" t="s">
        <v>1155</v>
      </c>
      <c r="I39" s="3" t="s">
        <v>63</v>
      </c>
      <c r="J39" s="1">
        <v>29.0</v>
      </c>
      <c r="K39" s="3" t="s">
        <v>196</v>
      </c>
      <c r="L39" s="3" t="s">
        <v>61</v>
      </c>
      <c r="M39" s="1">
        <v>31.0</v>
      </c>
      <c r="N39" s="3" t="s">
        <v>196</v>
      </c>
      <c r="O39" s="4" t="s">
        <v>1156</v>
      </c>
      <c r="P39" s="4" t="s">
        <v>1157</v>
      </c>
    </row>
    <row r="40">
      <c r="A40" s="1" t="s">
        <v>197</v>
      </c>
      <c r="B40" s="2">
        <v>190651.0</v>
      </c>
      <c r="C40" s="1" t="s">
        <v>153</v>
      </c>
      <c r="D40" s="1">
        <v>2.0</v>
      </c>
      <c r="E40" s="1" t="s">
        <v>64</v>
      </c>
      <c r="F40" s="1">
        <v>30.0</v>
      </c>
      <c r="G40" s="1" t="s">
        <v>198</v>
      </c>
      <c r="H40" s="3" t="s">
        <v>1158</v>
      </c>
      <c r="I40" s="1" t="s">
        <v>63</v>
      </c>
      <c r="J40" s="1">
        <v>29.0</v>
      </c>
      <c r="K40" s="1" t="s">
        <v>198</v>
      </c>
      <c r="L40" s="1" t="s">
        <v>61</v>
      </c>
      <c r="M40" s="1">
        <v>31.0</v>
      </c>
      <c r="N40" s="1" t="s">
        <v>198</v>
      </c>
      <c r="O40" s="4" t="s">
        <v>1159</v>
      </c>
      <c r="P40" s="4" t="s">
        <v>1160</v>
      </c>
    </row>
    <row r="41">
      <c r="A41" s="3" t="s">
        <v>209</v>
      </c>
      <c r="B41" s="5">
        <v>301809.0</v>
      </c>
      <c r="C41" s="3" t="s">
        <v>153</v>
      </c>
      <c r="D41" s="1">
        <v>2.0</v>
      </c>
      <c r="E41" s="3" t="s">
        <v>47</v>
      </c>
      <c r="F41" s="1">
        <v>27.0</v>
      </c>
      <c r="G41" s="3" t="s">
        <v>210</v>
      </c>
      <c r="H41" s="3" t="s">
        <v>1161</v>
      </c>
      <c r="I41" s="3" t="s">
        <v>25</v>
      </c>
      <c r="J41" s="1">
        <v>18.0</v>
      </c>
      <c r="K41" s="3" t="s">
        <v>210</v>
      </c>
      <c r="L41" s="3" t="s">
        <v>109</v>
      </c>
      <c r="M41" s="1">
        <v>49.0</v>
      </c>
      <c r="N41" s="3" t="s">
        <v>210</v>
      </c>
      <c r="O41" s="4" t="s">
        <v>1162</v>
      </c>
      <c r="P41" s="4" t="s">
        <v>1163</v>
      </c>
    </row>
    <row r="42">
      <c r="A42" s="3" t="s">
        <v>214</v>
      </c>
      <c r="B42" s="5">
        <v>324051.0</v>
      </c>
      <c r="C42" s="3" t="s">
        <v>153</v>
      </c>
      <c r="D42" s="1">
        <v>2.0</v>
      </c>
      <c r="E42" s="3" t="s">
        <v>74</v>
      </c>
      <c r="F42" s="1">
        <v>50.0</v>
      </c>
      <c r="G42" s="3" t="s">
        <v>215</v>
      </c>
      <c r="H42" s="3" t="s">
        <v>1164</v>
      </c>
      <c r="I42" s="3" t="s">
        <v>39</v>
      </c>
      <c r="J42" s="1">
        <v>20.0</v>
      </c>
      <c r="K42" s="3" t="s">
        <v>3</v>
      </c>
      <c r="L42" s="3" t="s">
        <v>15</v>
      </c>
      <c r="M42" s="1">
        <v>0.0</v>
      </c>
      <c r="N42" s="3" t="s">
        <v>3</v>
      </c>
      <c r="O42" s="4" t="s">
        <v>1165</v>
      </c>
      <c r="P42" s="4" t="s">
        <v>1166</v>
      </c>
    </row>
    <row r="43">
      <c r="A43" s="3" t="s">
        <v>216</v>
      </c>
      <c r="B43" s="5">
        <v>119930.0</v>
      </c>
      <c r="C43" s="3" t="s">
        <v>153</v>
      </c>
      <c r="D43" s="1">
        <v>2.0</v>
      </c>
      <c r="E43" s="3" t="s">
        <v>74</v>
      </c>
      <c r="F43" s="1">
        <v>50.0</v>
      </c>
      <c r="G43" s="3" t="s">
        <v>217</v>
      </c>
      <c r="H43" s="3" t="s">
        <v>1167</v>
      </c>
      <c r="I43" s="3" t="s">
        <v>76</v>
      </c>
      <c r="J43" s="1">
        <v>24.0</v>
      </c>
      <c r="K43" s="3" t="s">
        <v>217</v>
      </c>
      <c r="L43" s="3" t="s">
        <v>125</v>
      </c>
      <c r="M43" s="1">
        <v>19.0</v>
      </c>
      <c r="N43" s="3" t="s">
        <v>217</v>
      </c>
      <c r="O43" s="4" t="s">
        <v>1168</v>
      </c>
      <c r="P43" s="4" t="s">
        <v>1169</v>
      </c>
    </row>
    <row r="44">
      <c r="A44" s="1" t="s">
        <v>219</v>
      </c>
      <c r="B44" s="2">
        <v>109668.0</v>
      </c>
      <c r="C44" s="1" t="s">
        <v>153</v>
      </c>
      <c r="D44" s="1">
        <v>2.0</v>
      </c>
      <c r="E44" s="1" t="s">
        <v>32</v>
      </c>
      <c r="F44" s="1">
        <v>11.0</v>
      </c>
      <c r="G44" s="1" t="s">
        <v>220</v>
      </c>
      <c r="H44" s="3" t="s">
        <v>1170</v>
      </c>
      <c r="I44" s="1" t="s">
        <v>47</v>
      </c>
      <c r="J44" s="1">
        <v>27.0</v>
      </c>
      <c r="K44" s="1" t="s">
        <v>220</v>
      </c>
      <c r="L44" s="1" t="s">
        <v>111</v>
      </c>
      <c r="M44" s="1">
        <v>28.0</v>
      </c>
      <c r="N44" s="1" t="s">
        <v>220</v>
      </c>
      <c r="O44" s="4" t="s">
        <v>1171</v>
      </c>
      <c r="P44" s="4" t="s">
        <v>1172</v>
      </c>
    </row>
    <row r="45">
      <c r="A45" s="1" t="s">
        <v>223</v>
      </c>
      <c r="B45" s="2">
        <v>138492.0</v>
      </c>
      <c r="C45" s="1" t="s">
        <v>153</v>
      </c>
      <c r="D45" s="1">
        <v>2.0</v>
      </c>
      <c r="E45" s="1" t="s">
        <v>125</v>
      </c>
      <c r="F45" s="1">
        <v>19.0</v>
      </c>
      <c r="G45" s="1" t="s">
        <v>224</v>
      </c>
      <c r="H45" s="3" t="s">
        <v>1173</v>
      </c>
      <c r="I45" s="1" t="s">
        <v>9</v>
      </c>
      <c r="J45" s="1">
        <v>5.0</v>
      </c>
      <c r="K45" s="1" t="s">
        <v>224</v>
      </c>
      <c r="L45" s="1" t="s">
        <v>7</v>
      </c>
      <c r="M45" s="1">
        <v>15.0</v>
      </c>
      <c r="N45" s="1" t="s">
        <v>225</v>
      </c>
      <c r="O45" s="4" t="s">
        <v>1174</v>
      </c>
      <c r="P45" s="4" t="s">
        <v>1175</v>
      </c>
    </row>
    <row r="46">
      <c r="A46" s="1" t="s">
        <v>226</v>
      </c>
      <c r="B46" s="2">
        <v>193431.0</v>
      </c>
      <c r="C46" s="1" t="s">
        <v>153</v>
      </c>
      <c r="D46" s="1">
        <v>2.0</v>
      </c>
      <c r="E46" s="1" t="s">
        <v>111</v>
      </c>
      <c r="F46" s="1">
        <v>28.0</v>
      </c>
      <c r="G46" s="1" t="s">
        <v>227</v>
      </c>
      <c r="H46" s="3" t="s">
        <v>1176</v>
      </c>
      <c r="I46" s="1" t="s">
        <v>28</v>
      </c>
      <c r="J46" s="1">
        <v>32.0</v>
      </c>
      <c r="K46" s="1" t="s">
        <v>227</v>
      </c>
      <c r="L46" s="1" t="s">
        <v>109</v>
      </c>
      <c r="M46" s="1">
        <v>49.0</v>
      </c>
      <c r="N46" s="1" t="s">
        <v>227</v>
      </c>
      <c r="O46" s="4" t="s">
        <v>1177</v>
      </c>
      <c r="P46" s="4" t="s">
        <v>1178</v>
      </c>
    </row>
    <row r="47">
      <c r="A47" s="1" t="s">
        <v>234</v>
      </c>
      <c r="B47" s="2">
        <v>137962.0</v>
      </c>
      <c r="C47" s="1" t="s">
        <v>153</v>
      </c>
      <c r="D47" s="1">
        <v>2.0</v>
      </c>
      <c r="E47" s="1" t="s">
        <v>40</v>
      </c>
      <c r="F47" s="1">
        <v>44.0</v>
      </c>
      <c r="G47" s="1" t="s">
        <v>234</v>
      </c>
      <c r="H47" s="3" t="s">
        <v>1179</v>
      </c>
      <c r="I47" s="1" t="s">
        <v>38</v>
      </c>
      <c r="J47" s="1">
        <v>6.0</v>
      </c>
      <c r="K47" s="1" t="s">
        <v>234</v>
      </c>
      <c r="L47" s="1" t="s">
        <v>2</v>
      </c>
      <c r="M47" s="1">
        <v>25.0</v>
      </c>
      <c r="N47" s="1" t="s">
        <v>234</v>
      </c>
      <c r="O47" s="4" t="s">
        <v>1180</v>
      </c>
      <c r="P47" s="4" t="s">
        <v>1181</v>
      </c>
    </row>
    <row r="48">
      <c r="A48" s="1" t="s">
        <v>235</v>
      </c>
      <c r="B48" s="2">
        <v>119049.0</v>
      </c>
      <c r="C48" s="1" t="s">
        <v>153</v>
      </c>
      <c r="D48" s="1">
        <v>2.0</v>
      </c>
      <c r="E48" s="1" t="s">
        <v>10</v>
      </c>
      <c r="F48" s="1">
        <v>9.0</v>
      </c>
      <c r="G48" s="1" t="s">
        <v>236</v>
      </c>
      <c r="H48" s="3" t="s">
        <v>1182</v>
      </c>
      <c r="I48" s="1" t="s">
        <v>9</v>
      </c>
      <c r="J48" s="1">
        <v>5.0</v>
      </c>
      <c r="K48" s="1" t="s">
        <v>236</v>
      </c>
      <c r="L48" s="1" t="s">
        <v>74</v>
      </c>
      <c r="M48" s="1">
        <v>50.0</v>
      </c>
      <c r="N48" s="1" t="s">
        <v>236</v>
      </c>
      <c r="O48" s="4" t="s">
        <v>1183</v>
      </c>
      <c r="P48" s="4" t="s">
        <v>1184</v>
      </c>
    </row>
    <row r="49">
      <c r="A49" s="1" t="s">
        <v>240</v>
      </c>
      <c r="B49" s="2">
        <v>124166.0</v>
      </c>
      <c r="C49" s="1" t="s">
        <v>153</v>
      </c>
      <c r="D49" s="1">
        <v>2.0</v>
      </c>
      <c r="E49" s="1" t="s">
        <v>61</v>
      </c>
      <c r="F49" s="1">
        <v>31.0</v>
      </c>
      <c r="G49" s="1" t="s">
        <v>241</v>
      </c>
      <c r="H49" s="3" t="s">
        <v>1185</v>
      </c>
      <c r="I49" s="1" t="s">
        <v>64</v>
      </c>
      <c r="J49" s="1">
        <v>30.0</v>
      </c>
      <c r="K49" s="1" t="s">
        <v>241</v>
      </c>
      <c r="L49" s="1" t="s">
        <v>63</v>
      </c>
      <c r="M49" s="1">
        <v>29.0</v>
      </c>
      <c r="N49" s="1" t="s">
        <v>241</v>
      </c>
      <c r="O49" s="4" t="s">
        <v>1186</v>
      </c>
      <c r="P49" s="4" t="s">
        <v>1187</v>
      </c>
    </row>
    <row r="50">
      <c r="A50" s="1" t="s">
        <v>246</v>
      </c>
      <c r="B50" s="2">
        <v>111838.0</v>
      </c>
      <c r="C50" s="1" t="s">
        <v>153</v>
      </c>
      <c r="D50" s="1">
        <v>2.0</v>
      </c>
      <c r="E50" s="1" t="s">
        <v>74</v>
      </c>
      <c r="F50" s="1">
        <v>50.0</v>
      </c>
      <c r="G50" s="1" t="s">
        <v>247</v>
      </c>
      <c r="H50" s="3" t="s">
        <v>1188</v>
      </c>
      <c r="I50" s="1" t="s">
        <v>76</v>
      </c>
      <c r="J50" s="1">
        <v>24.0</v>
      </c>
      <c r="K50" s="1" t="s">
        <v>247</v>
      </c>
      <c r="L50" s="1" t="s">
        <v>72</v>
      </c>
      <c r="M50" s="1">
        <v>34.0</v>
      </c>
      <c r="N50" s="1" t="s">
        <v>247</v>
      </c>
      <c r="O50" s="4" t="s">
        <v>1189</v>
      </c>
      <c r="P50" s="4" t="s">
        <v>1190</v>
      </c>
    </row>
    <row r="51">
      <c r="A51" s="1" t="s">
        <v>248</v>
      </c>
      <c r="B51" s="2">
        <v>110571.0</v>
      </c>
      <c r="C51" s="1" t="s">
        <v>153</v>
      </c>
      <c r="D51" s="1">
        <v>2.0</v>
      </c>
      <c r="E51" s="1" t="s">
        <v>74</v>
      </c>
      <c r="F51" s="1">
        <v>50.0</v>
      </c>
      <c r="G51" s="1" t="s">
        <v>249</v>
      </c>
      <c r="H51" s="3" t="s">
        <v>1191</v>
      </c>
      <c r="I51" s="1" t="s">
        <v>76</v>
      </c>
      <c r="J51" s="1">
        <v>24.0</v>
      </c>
      <c r="K51" s="1" t="s">
        <v>249</v>
      </c>
      <c r="L51" s="1" t="s">
        <v>9</v>
      </c>
      <c r="M51" s="1">
        <v>5.0</v>
      </c>
      <c r="N51" s="1" t="s">
        <v>249</v>
      </c>
      <c r="O51" s="4" t="s">
        <v>1192</v>
      </c>
      <c r="P51" s="4" t="s">
        <v>1193</v>
      </c>
    </row>
    <row r="52">
      <c r="A52" s="1" t="s">
        <v>251</v>
      </c>
      <c r="B52" s="2">
        <v>136210.0</v>
      </c>
      <c r="C52" s="1" t="s">
        <v>153</v>
      </c>
      <c r="D52" s="1">
        <v>2.0</v>
      </c>
      <c r="E52" s="1" t="s">
        <v>74</v>
      </c>
      <c r="F52" s="1">
        <v>50.0</v>
      </c>
      <c r="G52" s="1" t="s">
        <v>252</v>
      </c>
      <c r="H52" s="3" t="s">
        <v>1194</v>
      </c>
      <c r="I52" s="1" t="s">
        <v>76</v>
      </c>
      <c r="J52" s="1">
        <v>24.0</v>
      </c>
      <c r="K52" s="1" t="s">
        <v>252</v>
      </c>
      <c r="L52" s="1" t="s">
        <v>125</v>
      </c>
      <c r="M52" s="1">
        <v>19.0</v>
      </c>
      <c r="N52" s="1" t="s">
        <v>252</v>
      </c>
      <c r="O52" s="4" t="s">
        <v>1195</v>
      </c>
      <c r="P52" s="4" t="s">
        <v>1196</v>
      </c>
    </row>
    <row r="53">
      <c r="A53" s="1" t="s">
        <v>190</v>
      </c>
      <c r="B53" s="2">
        <v>180335.0</v>
      </c>
      <c r="C53" s="1" t="s">
        <v>153</v>
      </c>
      <c r="D53" s="1">
        <v>2.0</v>
      </c>
      <c r="E53" s="1" t="s">
        <v>20</v>
      </c>
      <c r="F53" s="1">
        <v>48.0</v>
      </c>
      <c r="G53" s="1" t="s">
        <v>255</v>
      </c>
      <c r="H53" s="3" t="s">
        <v>1197</v>
      </c>
      <c r="I53" s="1" t="s">
        <v>26</v>
      </c>
      <c r="J53" s="1">
        <v>7.0</v>
      </c>
      <c r="K53" s="1" t="s">
        <v>255</v>
      </c>
      <c r="L53" s="1" t="s">
        <v>18</v>
      </c>
      <c r="M53" s="1">
        <v>22.0</v>
      </c>
      <c r="N53" s="1" t="s">
        <v>255</v>
      </c>
      <c r="O53" s="4" t="s">
        <v>1198</v>
      </c>
      <c r="P53" s="4" t="s">
        <v>839</v>
      </c>
    </row>
    <row r="54">
      <c r="A54" s="1" t="s">
        <v>257</v>
      </c>
      <c r="B54" s="2">
        <v>137724.0</v>
      </c>
      <c r="C54" s="1" t="s">
        <v>153</v>
      </c>
      <c r="D54" s="1">
        <v>2.0</v>
      </c>
      <c r="E54" s="1" t="s">
        <v>9</v>
      </c>
      <c r="F54" s="1">
        <v>5.0</v>
      </c>
      <c r="G54" s="1" t="s">
        <v>258</v>
      </c>
      <c r="H54" s="3" t="s">
        <v>1199</v>
      </c>
      <c r="I54" s="1" t="s">
        <v>7</v>
      </c>
      <c r="J54" s="1">
        <v>15.0</v>
      </c>
      <c r="K54" s="1" t="s">
        <v>258</v>
      </c>
      <c r="L54" s="1" t="s">
        <v>5</v>
      </c>
      <c r="M54" s="1">
        <v>35.0</v>
      </c>
      <c r="N54" s="1" t="s">
        <v>3</v>
      </c>
      <c r="O54" s="4" t="s">
        <v>1200</v>
      </c>
      <c r="P54" s="4" t="s">
        <v>1201</v>
      </c>
    </row>
    <row r="55">
      <c r="A55" s="1" t="s">
        <v>260</v>
      </c>
      <c r="B55" s="2">
        <v>326330.0</v>
      </c>
      <c r="C55" s="1" t="s">
        <v>153</v>
      </c>
      <c r="D55" s="1">
        <v>2.0</v>
      </c>
      <c r="E55" s="1" t="s">
        <v>7</v>
      </c>
      <c r="F55" s="1">
        <v>15.0</v>
      </c>
      <c r="G55" s="1" t="s">
        <v>261</v>
      </c>
      <c r="H55" s="3" t="s">
        <v>1202</v>
      </c>
      <c r="I55" s="1" t="s">
        <v>72</v>
      </c>
      <c r="J55" s="1">
        <v>34.0</v>
      </c>
      <c r="K55" s="1" t="s">
        <v>261</v>
      </c>
      <c r="L55" s="1" t="s">
        <v>9</v>
      </c>
      <c r="M55" s="1">
        <v>5.0</v>
      </c>
      <c r="N55" s="11" t="s">
        <v>261</v>
      </c>
      <c r="O55" s="4" t="s">
        <v>1203</v>
      </c>
      <c r="P55" s="4" t="s">
        <v>1204</v>
      </c>
    </row>
    <row r="56">
      <c r="A56" s="1" t="s">
        <v>265</v>
      </c>
      <c r="B56" s="2">
        <v>110313.0</v>
      </c>
      <c r="C56" s="1" t="s">
        <v>153</v>
      </c>
      <c r="D56" s="1">
        <v>2.0</v>
      </c>
      <c r="E56" s="1" t="s">
        <v>7</v>
      </c>
      <c r="F56" s="1">
        <v>15.0</v>
      </c>
      <c r="G56" s="1" t="s">
        <v>266</v>
      </c>
      <c r="H56" s="3" t="s">
        <v>1205</v>
      </c>
      <c r="I56" s="1" t="s">
        <v>30</v>
      </c>
      <c r="J56" s="1">
        <v>13.0</v>
      </c>
      <c r="K56" s="1" t="s">
        <v>266</v>
      </c>
      <c r="L56" s="1" t="s">
        <v>74</v>
      </c>
      <c r="M56" s="1">
        <v>50.0</v>
      </c>
      <c r="N56" s="1" t="s">
        <v>266</v>
      </c>
      <c r="O56" s="4" t="s">
        <v>1206</v>
      </c>
      <c r="P56" s="4" t="s">
        <v>1207</v>
      </c>
    </row>
    <row r="57">
      <c r="A57" s="1" t="s">
        <v>267</v>
      </c>
      <c r="B57" s="2">
        <v>112303.0</v>
      </c>
      <c r="C57" s="1" t="s">
        <v>153</v>
      </c>
      <c r="D57" s="1">
        <v>2.0</v>
      </c>
      <c r="E57" s="1" t="s">
        <v>7</v>
      </c>
      <c r="F57" s="1">
        <v>15.0</v>
      </c>
      <c r="G57" s="1" t="s">
        <v>268</v>
      </c>
      <c r="H57" s="3" t="s">
        <v>1208</v>
      </c>
      <c r="I57" s="1" t="s">
        <v>30</v>
      </c>
      <c r="J57" s="1">
        <v>13.0</v>
      </c>
      <c r="K57" s="1" t="s">
        <v>268</v>
      </c>
      <c r="L57" s="1" t="s">
        <v>74</v>
      </c>
      <c r="M57" s="1">
        <v>50.0</v>
      </c>
      <c r="N57" s="1" t="s">
        <v>268</v>
      </c>
      <c r="O57" s="4" t="s">
        <v>1209</v>
      </c>
      <c r="P57" s="4" t="s">
        <v>1210</v>
      </c>
    </row>
    <row r="58">
      <c r="A58" s="7" t="s">
        <v>269</v>
      </c>
      <c r="B58" s="8">
        <v>148480.0</v>
      </c>
      <c r="C58" s="7" t="s">
        <v>153</v>
      </c>
      <c r="D58" s="1">
        <v>2.0</v>
      </c>
      <c r="E58" s="7" t="s">
        <v>96</v>
      </c>
      <c r="F58" s="1">
        <v>47.0</v>
      </c>
      <c r="G58" s="12" t="s">
        <v>270</v>
      </c>
      <c r="H58" s="3" t="s">
        <v>1211</v>
      </c>
      <c r="I58" s="7" t="s">
        <v>125</v>
      </c>
      <c r="J58" s="1">
        <v>19.0</v>
      </c>
      <c r="K58" s="12" t="s">
        <v>270</v>
      </c>
      <c r="L58" s="7" t="s">
        <v>72</v>
      </c>
      <c r="M58" s="1">
        <v>34.0</v>
      </c>
      <c r="N58" s="12" t="s">
        <v>270</v>
      </c>
      <c r="O58" s="4" t="s">
        <v>1212</v>
      </c>
      <c r="P58" s="4" t="s">
        <v>1213</v>
      </c>
    </row>
    <row r="59">
      <c r="A59" s="3" t="s">
        <v>273</v>
      </c>
      <c r="B59" s="5">
        <v>110181.0</v>
      </c>
      <c r="C59" s="3" t="s">
        <v>153</v>
      </c>
      <c r="D59" s="1">
        <v>2.0</v>
      </c>
      <c r="E59" s="3" t="s">
        <v>96</v>
      </c>
      <c r="F59" s="1">
        <v>47.0</v>
      </c>
      <c r="G59" s="3" t="s">
        <v>274</v>
      </c>
      <c r="H59" s="3" t="s">
        <v>1214</v>
      </c>
      <c r="I59" s="3" t="s">
        <v>72</v>
      </c>
      <c r="J59" s="1">
        <v>34.0</v>
      </c>
      <c r="K59" s="3" t="s">
        <v>275</v>
      </c>
      <c r="L59" s="3" t="s">
        <v>74</v>
      </c>
      <c r="M59" s="1">
        <v>50.0</v>
      </c>
      <c r="N59" s="3" t="s">
        <v>275</v>
      </c>
      <c r="O59" s="4" t="s">
        <v>1215</v>
      </c>
      <c r="P59" s="4" t="s">
        <v>1216</v>
      </c>
    </row>
    <row r="60">
      <c r="A60" s="1" t="s">
        <v>279</v>
      </c>
      <c r="B60" s="2">
        <v>189852.0</v>
      </c>
      <c r="C60" s="1" t="s">
        <v>153</v>
      </c>
      <c r="D60" s="1">
        <v>2.0</v>
      </c>
      <c r="E60" s="1" t="s">
        <v>111</v>
      </c>
      <c r="F60" s="1">
        <v>28.0</v>
      </c>
      <c r="G60" s="1" t="s">
        <v>280</v>
      </c>
      <c r="H60" s="3" t="s">
        <v>1217</v>
      </c>
      <c r="I60" s="1" t="s">
        <v>109</v>
      </c>
      <c r="J60" s="1">
        <v>49.0</v>
      </c>
      <c r="K60" s="1" t="s">
        <v>280</v>
      </c>
      <c r="L60" s="1" t="s">
        <v>47</v>
      </c>
      <c r="M60" s="1">
        <v>27.0</v>
      </c>
      <c r="N60" s="1" t="s">
        <v>280</v>
      </c>
      <c r="O60" s="4" t="s">
        <v>1218</v>
      </c>
      <c r="P60" s="4" t="s">
        <v>1219</v>
      </c>
    </row>
    <row r="61">
      <c r="A61" s="1" t="s">
        <v>286</v>
      </c>
      <c r="B61" s="2">
        <v>138050.0</v>
      </c>
      <c r="C61" s="1" t="s">
        <v>282</v>
      </c>
      <c r="D61" s="1">
        <v>1.0</v>
      </c>
      <c r="E61" s="1" t="s">
        <v>125</v>
      </c>
      <c r="F61" s="1">
        <v>19.0</v>
      </c>
      <c r="G61" s="1" t="s">
        <v>287</v>
      </c>
      <c r="H61" s="3" t="s">
        <v>1220</v>
      </c>
      <c r="I61" s="1" t="s">
        <v>16</v>
      </c>
      <c r="J61" s="1">
        <v>3.0</v>
      </c>
      <c r="K61" s="1" t="s">
        <v>288</v>
      </c>
      <c r="L61" s="1" t="s">
        <v>5</v>
      </c>
      <c r="M61" s="1">
        <v>35.0</v>
      </c>
      <c r="N61" s="1" t="s">
        <v>288</v>
      </c>
      <c r="O61" s="4" t="s">
        <v>1221</v>
      </c>
      <c r="P61" s="4" t="s">
        <v>1222</v>
      </c>
    </row>
    <row r="62">
      <c r="A62" s="1" t="s">
        <v>291</v>
      </c>
      <c r="B62" s="2">
        <v>137864.0</v>
      </c>
      <c r="C62" s="1" t="s">
        <v>282</v>
      </c>
      <c r="D62" s="1">
        <v>1.0</v>
      </c>
      <c r="E62" s="1" t="s">
        <v>74</v>
      </c>
      <c r="F62" s="1">
        <v>50.0</v>
      </c>
      <c r="G62" s="1" t="s">
        <v>292</v>
      </c>
      <c r="H62" s="3" t="s">
        <v>1223</v>
      </c>
      <c r="I62" s="1" t="s">
        <v>10</v>
      </c>
      <c r="J62" s="1">
        <v>9.0</v>
      </c>
      <c r="K62" s="1" t="s">
        <v>292</v>
      </c>
      <c r="L62" s="1" t="s">
        <v>125</v>
      </c>
      <c r="M62" s="1">
        <v>19.0</v>
      </c>
      <c r="N62" s="1" t="s">
        <v>292</v>
      </c>
      <c r="O62" s="4" t="s">
        <v>1224</v>
      </c>
      <c r="P62" s="4" t="s">
        <v>1225</v>
      </c>
    </row>
    <row r="63">
      <c r="A63" s="1" t="s">
        <v>296</v>
      </c>
      <c r="B63" s="2">
        <v>109687.0</v>
      </c>
      <c r="C63" s="1" t="s">
        <v>282</v>
      </c>
      <c r="D63" s="1">
        <v>1.0</v>
      </c>
      <c r="E63" s="1" t="s">
        <v>72</v>
      </c>
      <c r="F63" s="1">
        <v>34.0</v>
      </c>
      <c r="G63" s="1" t="s">
        <v>297</v>
      </c>
      <c r="H63" s="3" t="s">
        <v>1226</v>
      </c>
      <c r="I63" s="1" t="s">
        <v>74</v>
      </c>
      <c r="J63" s="1">
        <v>50.0</v>
      </c>
      <c r="K63" s="1" t="s">
        <v>298</v>
      </c>
      <c r="L63" s="1" t="s">
        <v>9</v>
      </c>
      <c r="M63" s="1">
        <v>5.0</v>
      </c>
      <c r="N63" s="1" t="s">
        <v>298</v>
      </c>
      <c r="O63" s="4" t="s">
        <v>1227</v>
      </c>
      <c r="P63" s="4" t="s">
        <v>1228</v>
      </c>
    </row>
    <row r="64">
      <c r="A64" s="1" t="s">
        <v>304</v>
      </c>
      <c r="B64" s="2">
        <v>325570.0</v>
      </c>
      <c r="C64" s="1" t="s">
        <v>282</v>
      </c>
      <c r="D64" s="1">
        <v>1.0</v>
      </c>
      <c r="E64" s="1" t="s">
        <v>9</v>
      </c>
      <c r="F64" s="1">
        <v>5.0</v>
      </c>
      <c r="G64" s="1" t="s">
        <v>305</v>
      </c>
      <c r="H64" s="3" t="s">
        <v>1229</v>
      </c>
      <c r="I64" s="1" t="s">
        <v>76</v>
      </c>
      <c r="J64" s="1">
        <v>24.0</v>
      </c>
      <c r="K64" s="1" t="s">
        <v>305</v>
      </c>
      <c r="L64" s="1" t="s">
        <v>10</v>
      </c>
      <c r="M64" s="1">
        <v>9.0</v>
      </c>
      <c r="N64" s="1" t="s">
        <v>305</v>
      </c>
      <c r="O64" s="4" t="s">
        <v>1230</v>
      </c>
      <c r="P64" s="4" t="s">
        <v>1231</v>
      </c>
    </row>
    <row r="65">
      <c r="A65" s="1" t="s">
        <v>307</v>
      </c>
      <c r="B65" s="2">
        <v>188447.0</v>
      </c>
      <c r="C65" s="1" t="s">
        <v>282</v>
      </c>
      <c r="D65" s="1">
        <v>1.0</v>
      </c>
      <c r="E65" s="1" t="s">
        <v>26</v>
      </c>
      <c r="F65" s="1">
        <v>7.0</v>
      </c>
      <c r="G65" s="1" t="s">
        <v>308</v>
      </c>
      <c r="H65" s="3" t="s">
        <v>1232</v>
      </c>
      <c r="I65" s="1" t="s">
        <v>309</v>
      </c>
      <c r="J65" s="1">
        <v>40.0</v>
      </c>
      <c r="K65" s="1" t="s">
        <v>3</v>
      </c>
      <c r="L65" s="1" t="s">
        <v>38</v>
      </c>
      <c r="M65" s="1">
        <v>6.0</v>
      </c>
      <c r="N65" s="1" t="s">
        <v>3</v>
      </c>
      <c r="O65" s="4" t="s">
        <v>1233</v>
      </c>
      <c r="P65" s="4" t="s">
        <v>1234</v>
      </c>
    </row>
    <row r="66">
      <c r="A66" s="1" t="s">
        <v>310</v>
      </c>
      <c r="B66" s="2">
        <v>127679.0</v>
      </c>
      <c r="C66" s="1" t="s">
        <v>282</v>
      </c>
      <c r="D66" s="1">
        <v>1.0</v>
      </c>
      <c r="E66" s="1" t="s">
        <v>25</v>
      </c>
      <c r="F66" s="1">
        <v>18.0</v>
      </c>
      <c r="G66" s="1" t="s">
        <v>311</v>
      </c>
      <c r="H66" s="3" t="s">
        <v>1235</v>
      </c>
      <c r="I66" s="1" t="s">
        <v>114</v>
      </c>
      <c r="J66" s="1">
        <v>12.0</v>
      </c>
      <c r="K66" s="1" t="s">
        <v>312</v>
      </c>
      <c r="L66" s="1" t="s">
        <v>18</v>
      </c>
      <c r="M66" s="1">
        <v>22.0</v>
      </c>
      <c r="N66" s="1" t="s">
        <v>312</v>
      </c>
      <c r="O66" s="4" t="s">
        <v>1236</v>
      </c>
      <c r="P66" s="4" t="s">
        <v>1237</v>
      </c>
    </row>
    <row r="67">
      <c r="A67" s="1" t="s">
        <v>313</v>
      </c>
      <c r="B67" s="2">
        <v>187126.0</v>
      </c>
      <c r="C67" s="1" t="s">
        <v>282</v>
      </c>
      <c r="D67" s="1">
        <v>1.0</v>
      </c>
      <c r="E67" s="1" t="s">
        <v>25</v>
      </c>
      <c r="F67" s="1">
        <v>18.0</v>
      </c>
      <c r="G67" s="1" t="s">
        <v>314</v>
      </c>
      <c r="H67" s="3" t="s">
        <v>1238</v>
      </c>
      <c r="I67" s="1" t="s">
        <v>114</v>
      </c>
      <c r="J67" s="1">
        <v>12.0</v>
      </c>
      <c r="K67" s="1" t="s">
        <v>314</v>
      </c>
      <c r="L67" s="1" t="s">
        <v>18</v>
      </c>
      <c r="M67" s="1">
        <v>22.0</v>
      </c>
      <c r="N67" s="1" t="s">
        <v>314</v>
      </c>
      <c r="O67" s="4" t="s">
        <v>1239</v>
      </c>
      <c r="P67" s="4" t="s">
        <v>1240</v>
      </c>
    </row>
    <row r="68">
      <c r="A68" s="1" t="s">
        <v>315</v>
      </c>
      <c r="B68" s="2">
        <v>315002.0</v>
      </c>
      <c r="C68" s="1" t="s">
        <v>282</v>
      </c>
      <c r="D68" s="1">
        <v>1.0</v>
      </c>
      <c r="E68" s="1" t="s">
        <v>76</v>
      </c>
      <c r="F68" s="1">
        <v>24.0</v>
      </c>
      <c r="G68" s="1" t="s">
        <v>316</v>
      </c>
      <c r="H68" s="3" t="s">
        <v>1241</v>
      </c>
      <c r="I68" s="1" t="s">
        <v>74</v>
      </c>
      <c r="J68" s="1">
        <v>50.0</v>
      </c>
      <c r="K68" s="1" t="s">
        <v>316</v>
      </c>
      <c r="L68" s="1" t="s">
        <v>125</v>
      </c>
      <c r="M68" s="1">
        <v>19.0</v>
      </c>
      <c r="N68" s="1" t="s">
        <v>316</v>
      </c>
      <c r="O68" s="4" t="s">
        <v>1242</v>
      </c>
      <c r="P68" s="4" t="s">
        <v>1243</v>
      </c>
    </row>
    <row r="69">
      <c r="A69" s="1" t="s">
        <v>317</v>
      </c>
      <c r="B69" s="2">
        <v>159212.0</v>
      </c>
      <c r="C69" s="1" t="s">
        <v>282</v>
      </c>
      <c r="D69" s="1">
        <v>1.0</v>
      </c>
      <c r="E69" s="1" t="s">
        <v>21</v>
      </c>
      <c r="F69" s="1">
        <v>10.0</v>
      </c>
      <c r="G69" s="1" t="s">
        <v>318</v>
      </c>
      <c r="H69" s="3" t="s">
        <v>1244</v>
      </c>
      <c r="I69" s="1" t="s">
        <v>20</v>
      </c>
      <c r="J69" s="1">
        <v>48.0</v>
      </c>
      <c r="K69" s="1" t="s">
        <v>318</v>
      </c>
      <c r="L69" s="1" t="s">
        <v>18</v>
      </c>
      <c r="M69" s="1">
        <v>22.0</v>
      </c>
      <c r="N69" s="1" t="s">
        <v>318</v>
      </c>
      <c r="O69" s="4" t="s">
        <v>1245</v>
      </c>
      <c r="P69" s="4" t="s">
        <v>1246</v>
      </c>
    </row>
    <row r="70">
      <c r="A70" s="1" t="s">
        <v>325</v>
      </c>
      <c r="B70" s="2">
        <v>136592.0</v>
      </c>
      <c r="C70" s="1" t="s">
        <v>282</v>
      </c>
      <c r="D70" s="1">
        <v>1.0</v>
      </c>
      <c r="E70" s="1" t="s">
        <v>125</v>
      </c>
      <c r="F70" s="1">
        <v>19.0</v>
      </c>
      <c r="G70" s="1" t="s">
        <v>326</v>
      </c>
      <c r="H70" s="3" t="s">
        <v>1247</v>
      </c>
      <c r="I70" s="1" t="s">
        <v>7</v>
      </c>
      <c r="J70" s="1">
        <v>15.0</v>
      </c>
      <c r="K70" s="1" t="s">
        <v>326</v>
      </c>
      <c r="L70" s="1" t="s">
        <v>76</v>
      </c>
      <c r="M70" s="1">
        <v>24.0</v>
      </c>
      <c r="N70" s="1" t="s">
        <v>326</v>
      </c>
      <c r="O70" s="4" t="s">
        <v>1248</v>
      </c>
      <c r="P70" s="4" t="s">
        <v>1249</v>
      </c>
    </row>
    <row r="71">
      <c r="A71" s="1" t="s">
        <v>327</v>
      </c>
      <c r="B71" s="2">
        <v>314880.0</v>
      </c>
      <c r="C71" s="1" t="s">
        <v>282</v>
      </c>
      <c r="D71" s="1">
        <v>1.0</v>
      </c>
      <c r="E71" s="1" t="s">
        <v>125</v>
      </c>
      <c r="F71" s="1">
        <v>19.0</v>
      </c>
      <c r="G71" s="1" t="s">
        <v>328</v>
      </c>
      <c r="H71" s="3" t="s">
        <v>1250</v>
      </c>
      <c r="I71" s="1" t="s">
        <v>7</v>
      </c>
      <c r="J71" s="1">
        <v>15.0</v>
      </c>
      <c r="K71" s="1" t="s">
        <v>328</v>
      </c>
      <c r="L71" s="1" t="s">
        <v>76</v>
      </c>
      <c r="M71" s="1">
        <v>24.0</v>
      </c>
      <c r="N71" s="1" t="s">
        <v>328</v>
      </c>
      <c r="O71" s="4" t="s">
        <v>1251</v>
      </c>
      <c r="P71" s="4" t="s">
        <v>1252</v>
      </c>
    </row>
    <row r="72">
      <c r="A72" s="1" t="s">
        <v>331</v>
      </c>
      <c r="B72" s="2">
        <v>136429.0</v>
      </c>
      <c r="C72" s="1" t="s">
        <v>282</v>
      </c>
      <c r="D72" s="1">
        <v>1.0</v>
      </c>
      <c r="E72" s="1" t="s">
        <v>111</v>
      </c>
      <c r="F72" s="1">
        <v>28.0</v>
      </c>
      <c r="G72" s="1" t="s">
        <v>332</v>
      </c>
      <c r="H72" s="3" t="s">
        <v>1253</v>
      </c>
      <c r="I72" s="1" t="s">
        <v>109</v>
      </c>
      <c r="J72" s="1">
        <v>49.0</v>
      </c>
      <c r="K72" s="1" t="s">
        <v>332</v>
      </c>
      <c r="L72" s="1" t="s">
        <v>28</v>
      </c>
      <c r="M72" s="1">
        <v>32.0</v>
      </c>
      <c r="N72" s="1" t="s">
        <v>332</v>
      </c>
      <c r="O72" s="4" t="s">
        <v>1254</v>
      </c>
      <c r="P72" s="4" t="s">
        <v>1255</v>
      </c>
    </row>
    <row r="73">
      <c r="A73" s="1" t="s">
        <v>336</v>
      </c>
      <c r="B73" s="2">
        <v>164111.0</v>
      </c>
      <c r="C73" s="1" t="s">
        <v>282</v>
      </c>
      <c r="D73" s="1">
        <v>1.0</v>
      </c>
      <c r="E73" s="1" t="s">
        <v>61</v>
      </c>
      <c r="F73" s="1">
        <v>31.0</v>
      </c>
      <c r="G73" s="1" t="s">
        <v>337</v>
      </c>
      <c r="H73" s="3" t="s">
        <v>1256</v>
      </c>
      <c r="I73" s="1" t="s">
        <v>26</v>
      </c>
      <c r="J73" s="1">
        <v>7.0</v>
      </c>
      <c r="K73" s="1" t="s">
        <v>337</v>
      </c>
      <c r="L73" s="1" t="s">
        <v>34</v>
      </c>
      <c r="M73" s="1">
        <v>8.0</v>
      </c>
      <c r="N73" s="1" t="s">
        <v>337</v>
      </c>
      <c r="O73" s="4" t="s">
        <v>1257</v>
      </c>
      <c r="P73" s="4" t="s">
        <v>1258</v>
      </c>
    </row>
    <row r="74">
      <c r="A74" s="1" t="s">
        <v>344</v>
      </c>
      <c r="B74" s="2">
        <v>312216.0</v>
      </c>
      <c r="C74" s="1" t="s">
        <v>282</v>
      </c>
      <c r="D74" s="1">
        <v>1.0</v>
      </c>
      <c r="E74" s="1" t="s">
        <v>212</v>
      </c>
      <c r="F74" s="1">
        <v>2.0</v>
      </c>
      <c r="G74" s="1" t="s">
        <v>345</v>
      </c>
      <c r="H74" s="3" t="s">
        <v>1259</v>
      </c>
      <c r="I74" s="1" t="s">
        <v>39</v>
      </c>
      <c r="J74" s="1">
        <v>20.0</v>
      </c>
      <c r="K74" s="1" t="s">
        <v>345</v>
      </c>
      <c r="L74" s="1" t="s">
        <v>40</v>
      </c>
      <c r="M74" s="1">
        <v>44.0</v>
      </c>
      <c r="N74" s="1" t="s">
        <v>345</v>
      </c>
      <c r="O74" s="4" t="s">
        <v>1260</v>
      </c>
      <c r="P74" s="4" t="s">
        <v>1261</v>
      </c>
    </row>
    <row r="75">
      <c r="A75" s="1" t="s">
        <v>346</v>
      </c>
      <c r="B75" s="2">
        <v>327227.0</v>
      </c>
      <c r="C75" s="1" t="s">
        <v>282</v>
      </c>
      <c r="D75" s="1">
        <v>1.0</v>
      </c>
      <c r="E75" s="1" t="s">
        <v>76</v>
      </c>
      <c r="F75" s="1">
        <v>24.0</v>
      </c>
      <c r="G75" s="1" t="s">
        <v>315</v>
      </c>
      <c r="H75" s="3" t="s">
        <v>1262</v>
      </c>
      <c r="I75" s="1" t="s">
        <v>74</v>
      </c>
      <c r="J75" s="1">
        <v>50.0</v>
      </c>
      <c r="K75" s="1" t="s">
        <v>315</v>
      </c>
      <c r="L75" s="1" t="s">
        <v>125</v>
      </c>
      <c r="M75" s="1">
        <v>19.0</v>
      </c>
      <c r="N75" s="1" t="s">
        <v>315</v>
      </c>
      <c r="O75" s="4" t="s">
        <v>1263</v>
      </c>
      <c r="P75" s="4" t="s">
        <v>1264</v>
      </c>
    </row>
    <row r="76">
      <c r="A76" s="1" t="s">
        <v>349</v>
      </c>
      <c r="B76" s="2">
        <v>111261.0</v>
      </c>
      <c r="C76" s="1" t="s">
        <v>282</v>
      </c>
      <c r="D76" s="1">
        <v>1.0</v>
      </c>
      <c r="E76" s="1" t="s">
        <v>20</v>
      </c>
      <c r="F76" s="1">
        <v>48.0</v>
      </c>
      <c r="G76" s="1" t="s">
        <v>350</v>
      </c>
      <c r="H76" s="3" t="s">
        <v>1265</v>
      </c>
      <c r="I76" s="1" t="s">
        <v>18</v>
      </c>
      <c r="J76" s="1">
        <v>22.0</v>
      </c>
      <c r="K76" s="1" t="s">
        <v>350</v>
      </c>
      <c r="L76" s="1" t="s">
        <v>170</v>
      </c>
      <c r="M76" s="1">
        <v>16.0</v>
      </c>
      <c r="N76" s="1" t="s">
        <v>350</v>
      </c>
      <c r="O76" s="4" t="s">
        <v>1266</v>
      </c>
      <c r="P76" s="4" t="s">
        <v>1267</v>
      </c>
    </row>
    <row r="77">
      <c r="A77" s="1" t="s">
        <v>351</v>
      </c>
      <c r="B77" s="2">
        <v>301719.0</v>
      </c>
      <c r="C77" s="1" t="s">
        <v>282</v>
      </c>
      <c r="D77" s="1">
        <v>1.0</v>
      </c>
      <c r="E77" s="1" t="s">
        <v>72</v>
      </c>
      <c r="F77" s="1">
        <v>34.0</v>
      </c>
      <c r="G77" s="1" t="s">
        <v>352</v>
      </c>
      <c r="H77" s="3" t="s">
        <v>1268</v>
      </c>
      <c r="I77" s="1" t="s">
        <v>96</v>
      </c>
      <c r="J77" s="1">
        <v>47.0</v>
      </c>
      <c r="K77" s="1" t="s">
        <v>352</v>
      </c>
      <c r="L77" s="1" t="s">
        <v>10</v>
      </c>
      <c r="M77" s="1">
        <v>9.0</v>
      </c>
      <c r="N77" s="1" t="s">
        <v>352</v>
      </c>
      <c r="O77" s="4" t="s">
        <v>1269</v>
      </c>
      <c r="P77" s="4" t="s">
        <v>1270</v>
      </c>
    </row>
    <row r="78">
      <c r="A78" s="3" t="s">
        <v>357</v>
      </c>
      <c r="B78" s="5">
        <v>137043.0</v>
      </c>
      <c r="C78" s="3" t="s">
        <v>282</v>
      </c>
      <c r="D78" s="1">
        <v>1.0</v>
      </c>
      <c r="E78" s="3" t="s">
        <v>114</v>
      </c>
      <c r="F78" s="1">
        <v>12.0</v>
      </c>
      <c r="G78" s="3" t="s">
        <v>358</v>
      </c>
      <c r="H78" s="3" t="s">
        <v>1271</v>
      </c>
      <c r="I78" s="3" t="s">
        <v>47</v>
      </c>
      <c r="J78" s="1">
        <v>27.0</v>
      </c>
      <c r="K78" s="3" t="s">
        <v>358</v>
      </c>
      <c r="L78" s="3" t="s">
        <v>30</v>
      </c>
      <c r="M78" s="1">
        <v>13.0</v>
      </c>
      <c r="N78" s="3" t="s">
        <v>358</v>
      </c>
      <c r="O78" s="4" t="s">
        <v>1272</v>
      </c>
      <c r="P78" s="4" t="s">
        <v>1273</v>
      </c>
    </row>
    <row r="79">
      <c r="A79" s="3" t="s">
        <v>359</v>
      </c>
      <c r="B79" s="5">
        <v>127778.0</v>
      </c>
      <c r="C79" s="3" t="s">
        <v>282</v>
      </c>
      <c r="D79" s="1">
        <v>1.0</v>
      </c>
      <c r="E79" s="3" t="s">
        <v>114</v>
      </c>
      <c r="F79" s="1">
        <v>12.0</v>
      </c>
      <c r="G79" s="3" t="s">
        <v>360</v>
      </c>
      <c r="H79" s="3" t="s">
        <v>1274</v>
      </c>
      <c r="I79" s="3" t="s">
        <v>139</v>
      </c>
      <c r="J79" s="1">
        <v>21.0</v>
      </c>
      <c r="K79" s="3" t="s">
        <v>360</v>
      </c>
      <c r="L79" s="3" t="s">
        <v>61</v>
      </c>
      <c r="M79" s="1">
        <v>31.0</v>
      </c>
      <c r="N79" s="3" t="s">
        <v>360</v>
      </c>
      <c r="O79" s="4" t="s">
        <v>1275</v>
      </c>
      <c r="P79" s="4" t="s">
        <v>1276</v>
      </c>
    </row>
    <row r="80">
      <c r="A80" s="3" t="s">
        <v>363</v>
      </c>
      <c r="B80" s="5">
        <v>193690.0</v>
      </c>
      <c r="C80" s="3" t="s">
        <v>282</v>
      </c>
      <c r="D80" s="1">
        <v>1.0</v>
      </c>
      <c r="E80" s="3" t="s">
        <v>28</v>
      </c>
      <c r="F80" s="1">
        <v>32.0</v>
      </c>
      <c r="G80" s="3" t="s">
        <v>364</v>
      </c>
      <c r="H80" s="3" t="s">
        <v>1277</v>
      </c>
      <c r="I80" s="3" t="s">
        <v>139</v>
      </c>
      <c r="J80" s="1">
        <v>21.0</v>
      </c>
      <c r="K80" s="3" t="s">
        <v>364</v>
      </c>
      <c r="L80" s="3" t="s">
        <v>111</v>
      </c>
      <c r="M80" s="1">
        <v>28.0</v>
      </c>
      <c r="N80" s="3" t="s">
        <v>364</v>
      </c>
      <c r="O80" s="4" t="s">
        <v>1278</v>
      </c>
      <c r="P80" s="4" t="s">
        <v>1279</v>
      </c>
    </row>
    <row r="81">
      <c r="A81" s="3" t="s">
        <v>369</v>
      </c>
      <c r="B81" s="5">
        <v>171926.0</v>
      </c>
      <c r="C81" s="3" t="s">
        <v>282</v>
      </c>
      <c r="D81" s="1">
        <v>1.0</v>
      </c>
      <c r="E81" s="3" t="s">
        <v>26</v>
      </c>
      <c r="F81" s="1">
        <v>7.0</v>
      </c>
      <c r="G81" s="3" t="s">
        <v>370</v>
      </c>
      <c r="H81" s="3" t="s">
        <v>1280</v>
      </c>
      <c r="I81" s="3" t="s">
        <v>18</v>
      </c>
      <c r="J81" s="1">
        <v>22.0</v>
      </c>
      <c r="K81" s="3" t="s">
        <v>370</v>
      </c>
      <c r="L81" s="3" t="s">
        <v>21</v>
      </c>
      <c r="M81" s="1">
        <v>10.0</v>
      </c>
      <c r="N81" s="13" t="s">
        <v>370</v>
      </c>
      <c r="O81" s="4" t="s">
        <v>1281</v>
      </c>
      <c r="P81" s="4" t="s">
        <v>1282</v>
      </c>
    </row>
    <row r="82">
      <c r="A82" s="3" t="s">
        <v>373</v>
      </c>
      <c r="B82" s="5">
        <v>301949.0</v>
      </c>
      <c r="C82" s="3" t="s">
        <v>282</v>
      </c>
      <c r="D82" s="1">
        <v>1.0</v>
      </c>
      <c r="E82" s="3" t="s">
        <v>64</v>
      </c>
      <c r="F82" s="1">
        <v>30.0</v>
      </c>
      <c r="G82" s="3" t="s">
        <v>374</v>
      </c>
      <c r="H82" s="3" t="s">
        <v>1283</v>
      </c>
      <c r="I82" s="3" t="s">
        <v>63</v>
      </c>
      <c r="J82" s="1">
        <v>29.0</v>
      </c>
      <c r="K82" s="3" t="s">
        <v>374</v>
      </c>
      <c r="L82" s="3" t="s">
        <v>61</v>
      </c>
      <c r="M82" s="1">
        <v>31.0</v>
      </c>
      <c r="N82" s="3" t="s">
        <v>374</v>
      </c>
      <c r="O82" s="4" t="s">
        <v>1284</v>
      </c>
      <c r="P82" s="4" t="s">
        <v>1285</v>
      </c>
    </row>
    <row r="83">
      <c r="A83" s="3" t="s">
        <v>377</v>
      </c>
      <c r="B83" s="5">
        <v>139550.0</v>
      </c>
      <c r="C83" s="3" t="s">
        <v>282</v>
      </c>
      <c r="D83" s="1">
        <v>1.0</v>
      </c>
      <c r="E83" s="3" t="s">
        <v>30</v>
      </c>
      <c r="F83" s="1">
        <v>13.0</v>
      </c>
      <c r="G83" s="3" t="s">
        <v>378</v>
      </c>
      <c r="H83" s="3" t="s">
        <v>1286</v>
      </c>
      <c r="I83" s="3" t="s">
        <v>114</v>
      </c>
      <c r="J83" s="1">
        <v>12.0</v>
      </c>
      <c r="K83" s="3" t="s">
        <v>378</v>
      </c>
      <c r="L83" s="3" t="s">
        <v>32</v>
      </c>
      <c r="M83" s="1">
        <v>11.0</v>
      </c>
      <c r="N83" s="3" t="s">
        <v>378</v>
      </c>
      <c r="O83" s="4" t="s">
        <v>1287</v>
      </c>
      <c r="P83" s="4" t="s">
        <v>1288</v>
      </c>
    </row>
    <row r="84">
      <c r="A84" s="3" t="s">
        <v>382</v>
      </c>
      <c r="B84" s="5">
        <v>320476.0</v>
      </c>
      <c r="C84" s="3" t="s">
        <v>282</v>
      </c>
      <c r="D84" s="1">
        <v>1.0</v>
      </c>
      <c r="E84" s="3" t="s">
        <v>74</v>
      </c>
      <c r="F84" s="1">
        <v>50.0</v>
      </c>
      <c r="G84" s="3" t="s">
        <v>383</v>
      </c>
      <c r="H84" s="3" t="s">
        <v>1289</v>
      </c>
      <c r="I84" s="3" t="s">
        <v>7</v>
      </c>
      <c r="J84" s="1">
        <v>15.0</v>
      </c>
      <c r="K84" s="3" t="s">
        <v>383</v>
      </c>
      <c r="L84" s="3" t="s">
        <v>72</v>
      </c>
      <c r="M84" s="1">
        <v>34.0</v>
      </c>
      <c r="N84" s="3" t="s">
        <v>383</v>
      </c>
      <c r="O84" s="4" t="s">
        <v>1290</v>
      </c>
      <c r="P84" s="4" t="s">
        <v>1291</v>
      </c>
    </row>
    <row r="85">
      <c r="A85" s="3" t="s">
        <v>385</v>
      </c>
      <c r="B85" s="5">
        <v>119856.0</v>
      </c>
      <c r="C85" s="3" t="s">
        <v>282</v>
      </c>
      <c r="D85" s="1">
        <v>1.0</v>
      </c>
      <c r="E85" s="3" t="s">
        <v>18</v>
      </c>
      <c r="F85" s="1">
        <v>22.0</v>
      </c>
      <c r="G85" s="3" t="s">
        <v>386</v>
      </c>
      <c r="H85" s="3" t="s">
        <v>1292</v>
      </c>
      <c r="I85" s="3" t="s">
        <v>21</v>
      </c>
      <c r="J85" s="1">
        <v>10.0</v>
      </c>
      <c r="K85" s="3" t="s">
        <v>386</v>
      </c>
      <c r="L85" s="3" t="s">
        <v>42</v>
      </c>
      <c r="M85" s="1">
        <v>14.0</v>
      </c>
      <c r="N85" s="3" t="s">
        <v>386</v>
      </c>
      <c r="O85" s="4" t="s">
        <v>1293</v>
      </c>
      <c r="P85" s="4" t="s">
        <v>1294</v>
      </c>
    </row>
    <row r="86">
      <c r="A86" s="3" t="s">
        <v>387</v>
      </c>
      <c r="B86" s="5">
        <v>110246.0</v>
      </c>
      <c r="C86" s="3" t="s">
        <v>282</v>
      </c>
      <c r="D86" s="1">
        <v>1.0</v>
      </c>
      <c r="E86" s="3" t="s">
        <v>30</v>
      </c>
      <c r="F86" s="1">
        <v>13.0</v>
      </c>
      <c r="G86" s="3" t="s">
        <v>388</v>
      </c>
      <c r="H86" s="3" t="s">
        <v>1295</v>
      </c>
      <c r="I86" s="3" t="s">
        <v>114</v>
      </c>
      <c r="J86" s="1">
        <v>12.0</v>
      </c>
      <c r="K86" s="3" t="s">
        <v>388</v>
      </c>
      <c r="L86" s="3" t="s">
        <v>32</v>
      </c>
      <c r="M86" s="1">
        <v>11.0</v>
      </c>
      <c r="N86" s="3" t="s">
        <v>388</v>
      </c>
      <c r="O86" s="4" t="s">
        <v>1296</v>
      </c>
      <c r="P86" s="4" t="s">
        <v>1297</v>
      </c>
    </row>
    <row r="87">
      <c r="A87" s="3" t="s">
        <v>389</v>
      </c>
      <c r="B87" s="5">
        <v>157686.0</v>
      </c>
      <c r="C87" s="3" t="s">
        <v>282</v>
      </c>
      <c r="D87" s="1">
        <v>1.0</v>
      </c>
      <c r="E87" s="3" t="s">
        <v>20</v>
      </c>
      <c r="F87" s="1">
        <v>48.0</v>
      </c>
      <c r="G87" s="3" t="s">
        <v>390</v>
      </c>
      <c r="H87" s="3" t="s">
        <v>1298</v>
      </c>
      <c r="I87" s="3" t="s">
        <v>170</v>
      </c>
      <c r="J87" s="1">
        <v>16.0</v>
      </c>
      <c r="K87" s="3" t="s">
        <v>390</v>
      </c>
      <c r="L87" s="3" t="s">
        <v>25</v>
      </c>
      <c r="M87" s="1">
        <v>18.0</v>
      </c>
      <c r="N87" s="3" t="s">
        <v>390</v>
      </c>
      <c r="O87" s="4" t="s">
        <v>1299</v>
      </c>
      <c r="P87" s="4" t="s">
        <v>1300</v>
      </c>
    </row>
    <row r="88">
      <c r="A88" s="1" t="s">
        <v>409</v>
      </c>
      <c r="B88" s="2">
        <v>138608.0</v>
      </c>
      <c r="C88" s="1" t="s">
        <v>282</v>
      </c>
      <c r="D88" s="1">
        <v>1.0</v>
      </c>
      <c r="E88" s="1" t="s">
        <v>72</v>
      </c>
      <c r="F88" s="1">
        <v>34.0</v>
      </c>
      <c r="G88" s="1" t="s">
        <v>410</v>
      </c>
      <c r="H88" s="3" t="s">
        <v>1301</v>
      </c>
      <c r="I88" s="1" t="s">
        <v>7</v>
      </c>
      <c r="J88" s="1">
        <v>15.0</v>
      </c>
      <c r="K88" s="1" t="s">
        <v>411</v>
      </c>
      <c r="L88" s="1" t="s">
        <v>10</v>
      </c>
      <c r="M88" s="1">
        <v>9.0</v>
      </c>
      <c r="N88" s="1" t="s">
        <v>411</v>
      </c>
      <c r="O88" s="4" t="s">
        <v>1302</v>
      </c>
      <c r="P88" s="4" t="s">
        <v>1303</v>
      </c>
    </row>
    <row r="89">
      <c r="A89" s="1" t="s">
        <v>412</v>
      </c>
      <c r="B89" s="2">
        <v>137122.0</v>
      </c>
      <c r="C89" s="1" t="s">
        <v>282</v>
      </c>
      <c r="D89" s="1">
        <v>1.0</v>
      </c>
      <c r="E89" s="1" t="s">
        <v>9</v>
      </c>
      <c r="F89" s="1">
        <v>5.0</v>
      </c>
      <c r="G89" s="1" t="s">
        <v>413</v>
      </c>
      <c r="H89" s="3" t="s">
        <v>1304</v>
      </c>
      <c r="I89" s="1" t="s">
        <v>76</v>
      </c>
      <c r="J89" s="1">
        <v>24.0</v>
      </c>
      <c r="K89" s="1" t="s">
        <v>414</v>
      </c>
      <c r="L89" s="1" t="s">
        <v>7</v>
      </c>
      <c r="M89" s="1">
        <v>15.0</v>
      </c>
      <c r="N89" s="1" t="s">
        <v>414</v>
      </c>
      <c r="O89" s="4" t="s">
        <v>1305</v>
      </c>
      <c r="P89" s="4" t="s">
        <v>1306</v>
      </c>
    </row>
    <row r="90">
      <c r="A90" s="1" t="s">
        <v>415</v>
      </c>
      <c r="B90" s="2">
        <v>137374.0</v>
      </c>
      <c r="C90" s="1" t="s">
        <v>282</v>
      </c>
      <c r="D90" s="1">
        <v>1.0</v>
      </c>
      <c r="E90" s="1" t="s">
        <v>64</v>
      </c>
      <c r="F90" s="1">
        <v>30.0</v>
      </c>
      <c r="G90" s="1" t="s">
        <v>416</v>
      </c>
      <c r="H90" s="3" t="s">
        <v>1307</v>
      </c>
      <c r="I90" s="1" t="s">
        <v>28</v>
      </c>
      <c r="J90" s="1">
        <v>32.0</v>
      </c>
      <c r="K90" s="1" t="s">
        <v>416</v>
      </c>
      <c r="L90" s="1" t="s">
        <v>96</v>
      </c>
      <c r="M90" s="1">
        <v>47.0</v>
      </c>
      <c r="N90" s="1" t="s">
        <v>416</v>
      </c>
      <c r="O90" s="4" t="s">
        <v>1308</v>
      </c>
      <c r="P90" s="4" t="s">
        <v>1309</v>
      </c>
    </row>
    <row r="91">
      <c r="A91" s="1" t="s">
        <v>418</v>
      </c>
      <c r="B91" s="2">
        <v>111847.0</v>
      </c>
      <c r="C91" s="1" t="s">
        <v>282</v>
      </c>
      <c r="D91" s="1">
        <v>1.0</v>
      </c>
      <c r="E91" s="1" t="s">
        <v>7</v>
      </c>
      <c r="F91" s="1">
        <v>15.0</v>
      </c>
      <c r="G91" s="1" t="s">
        <v>419</v>
      </c>
      <c r="H91" s="3" t="s">
        <v>1310</v>
      </c>
      <c r="I91" s="1" t="s">
        <v>125</v>
      </c>
      <c r="J91" s="1">
        <v>19.0</v>
      </c>
      <c r="K91" s="1" t="s">
        <v>419</v>
      </c>
      <c r="L91" s="1" t="s">
        <v>10</v>
      </c>
      <c r="M91" s="1">
        <v>9.0</v>
      </c>
      <c r="N91" s="1" t="s">
        <v>419</v>
      </c>
      <c r="O91" s="4" t="s">
        <v>1311</v>
      </c>
      <c r="P91" s="4" t="s">
        <v>1312</v>
      </c>
    </row>
    <row r="92">
      <c r="A92" s="1" t="s">
        <v>422</v>
      </c>
      <c r="B92" s="2">
        <v>188263.0</v>
      </c>
      <c r="C92" s="1" t="s">
        <v>282</v>
      </c>
      <c r="D92" s="1">
        <v>1.0</v>
      </c>
      <c r="E92" s="1" t="s">
        <v>74</v>
      </c>
      <c r="F92" s="1">
        <v>50.0</v>
      </c>
      <c r="G92" s="1" t="s">
        <v>423</v>
      </c>
      <c r="H92" s="3" t="s">
        <v>1313</v>
      </c>
      <c r="I92" s="1" t="s">
        <v>125</v>
      </c>
      <c r="J92" s="1">
        <v>19.0</v>
      </c>
      <c r="K92" s="1" t="s">
        <v>424</v>
      </c>
      <c r="L92" s="1" t="s">
        <v>9</v>
      </c>
      <c r="M92" s="1">
        <v>5.0</v>
      </c>
      <c r="N92" s="1" t="s">
        <v>424</v>
      </c>
      <c r="O92" s="4" t="s">
        <v>1314</v>
      </c>
      <c r="P92" s="4" t="s">
        <v>1315</v>
      </c>
    </row>
    <row r="93">
      <c r="A93" s="1" t="s">
        <v>426</v>
      </c>
      <c r="B93" s="2">
        <v>314879.0</v>
      </c>
      <c r="C93" s="1" t="s">
        <v>282</v>
      </c>
      <c r="D93" s="1">
        <v>1.0</v>
      </c>
      <c r="E93" s="1" t="s">
        <v>20</v>
      </c>
      <c r="F93" s="1">
        <v>48.0</v>
      </c>
      <c r="G93" s="1" t="s">
        <v>427</v>
      </c>
      <c r="H93" s="3" t="s">
        <v>1316</v>
      </c>
      <c r="I93" s="1" t="s">
        <v>26</v>
      </c>
      <c r="J93" s="1">
        <v>7.0</v>
      </c>
      <c r="K93" s="1" t="s">
        <v>427</v>
      </c>
      <c r="L93" s="1" t="s">
        <v>18</v>
      </c>
      <c r="M93" s="1">
        <v>22.0</v>
      </c>
      <c r="N93" s="1" t="s">
        <v>427</v>
      </c>
      <c r="O93" s="4" t="s">
        <v>1317</v>
      </c>
      <c r="P93" s="4" t="s">
        <v>1318</v>
      </c>
    </row>
    <row r="94">
      <c r="A94" s="1" t="s">
        <v>430</v>
      </c>
      <c r="B94" s="2">
        <v>157788.0</v>
      </c>
      <c r="C94" s="1" t="s">
        <v>282</v>
      </c>
      <c r="D94" s="1">
        <v>1.0</v>
      </c>
      <c r="E94" s="1" t="s">
        <v>74</v>
      </c>
      <c r="F94" s="1">
        <v>50.0</v>
      </c>
      <c r="G94" s="1" t="s">
        <v>431</v>
      </c>
      <c r="H94" s="3" t="s">
        <v>1319</v>
      </c>
      <c r="I94" s="1" t="s">
        <v>9</v>
      </c>
      <c r="J94" s="1">
        <v>5.0</v>
      </c>
      <c r="K94" s="1" t="s">
        <v>431</v>
      </c>
      <c r="L94" s="1" t="s">
        <v>96</v>
      </c>
      <c r="M94" s="1">
        <v>47.0</v>
      </c>
      <c r="N94" s="1" t="s">
        <v>431</v>
      </c>
      <c r="O94" s="4" t="s">
        <v>1320</v>
      </c>
      <c r="P94" s="4" t="s">
        <v>1321</v>
      </c>
    </row>
    <row r="95">
      <c r="A95" s="1" t="s">
        <v>436</v>
      </c>
      <c r="B95" s="2">
        <v>306594.0</v>
      </c>
      <c r="C95" s="1" t="s">
        <v>282</v>
      </c>
      <c r="D95" s="1">
        <v>1.0</v>
      </c>
      <c r="E95" s="1" t="s">
        <v>34</v>
      </c>
      <c r="F95" s="1">
        <v>8.0</v>
      </c>
      <c r="G95" s="1" t="s">
        <v>437</v>
      </c>
      <c r="H95" s="3" t="s">
        <v>1322</v>
      </c>
      <c r="I95" s="1" t="s">
        <v>21</v>
      </c>
      <c r="J95" s="1">
        <v>10.0</v>
      </c>
      <c r="K95" s="1" t="s">
        <v>437</v>
      </c>
      <c r="L95" s="1" t="s">
        <v>64</v>
      </c>
      <c r="M95" s="1">
        <v>30.0</v>
      </c>
      <c r="N95" s="1" t="s">
        <v>437</v>
      </c>
      <c r="O95" s="4" t="s">
        <v>1323</v>
      </c>
      <c r="P95" s="4" t="s">
        <v>1324</v>
      </c>
    </row>
    <row r="96">
      <c r="A96" s="3" t="s">
        <v>441</v>
      </c>
      <c r="B96" s="5">
        <v>124274.0</v>
      </c>
      <c r="C96" s="3" t="s">
        <v>282</v>
      </c>
      <c r="D96" s="1">
        <v>1.0</v>
      </c>
      <c r="E96" s="3" t="s">
        <v>96</v>
      </c>
      <c r="F96" s="1">
        <v>47.0</v>
      </c>
      <c r="G96" s="3" t="s">
        <v>442</v>
      </c>
      <c r="H96" s="3" t="s">
        <v>1325</v>
      </c>
      <c r="I96" s="3" t="s">
        <v>9</v>
      </c>
      <c r="J96" s="1">
        <v>5.0</v>
      </c>
      <c r="K96" s="3" t="s">
        <v>442</v>
      </c>
      <c r="L96" s="3" t="s">
        <v>26</v>
      </c>
      <c r="M96" s="1">
        <v>7.0</v>
      </c>
      <c r="N96" s="3" t="s">
        <v>442</v>
      </c>
      <c r="O96" s="4" t="s">
        <v>1326</v>
      </c>
      <c r="P96" s="4" t="s">
        <v>1327</v>
      </c>
    </row>
    <row r="97">
      <c r="A97" s="1" t="s">
        <v>447</v>
      </c>
      <c r="B97" s="2">
        <v>182939.0</v>
      </c>
      <c r="C97" s="1" t="s">
        <v>282</v>
      </c>
      <c r="D97" s="1">
        <v>1.0</v>
      </c>
      <c r="E97" s="1" t="s">
        <v>170</v>
      </c>
      <c r="F97" s="1">
        <v>16.0</v>
      </c>
      <c r="G97" s="1" t="s">
        <v>448</v>
      </c>
      <c r="H97" s="3" t="s">
        <v>1328</v>
      </c>
      <c r="I97" s="1" t="s">
        <v>26</v>
      </c>
      <c r="J97" s="1">
        <v>7.0</v>
      </c>
      <c r="K97" s="1" t="s">
        <v>448</v>
      </c>
      <c r="L97" s="1" t="s">
        <v>20</v>
      </c>
      <c r="M97" s="1">
        <v>48.0</v>
      </c>
      <c r="N97" s="1" t="s">
        <v>448</v>
      </c>
      <c r="O97" s="4" t="s">
        <v>1329</v>
      </c>
      <c r="P97" s="4" t="s">
        <v>1330</v>
      </c>
    </row>
    <row r="98">
      <c r="A98" s="1" t="s">
        <v>451</v>
      </c>
      <c r="B98" s="2">
        <v>137290.0</v>
      </c>
      <c r="C98" s="1" t="s">
        <v>282</v>
      </c>
      <c r="D98" s="1">
        <v>1.0</v>
      </c>
      <c r="E98" s="1" t="s">
        <v>125</v>
      </c>
      <c r="F98" s="1">
        <v>19.0</v>
      </c>
      <c r="G98" s="1" t="s">
        <v>452</v>
      </c>
      <c r="H98" s="3" t="s">
        <v>1331</v>
      </c>
      <c r="I98" s="1" t="s">
        <v>72</v>
      </c>
      <c r="J98" s="1">
        <v>34.0</v>
      </c>
      <c r="K98" s="1" t="s">
        <v>452</v>
      </c>
      <c r="L98" s="1" t="s">
        <v>10</v>
      </c>
      <c r="M98" s="1">
        <v>9.0</v>
      </c>
      <c r="N98" s="1" t="s">
        <v>452</v>
      </c>
      <c r="O98" s="4" t="s">
        <v>1332</v>
      </c>
      <c r="P98" s="4" t="s">
        <v>1333</v>
      </c>
    </row>
    <row r="99">
      <c r="A99" s="1" t="s">
        <v>456</v>
      </c>
      <c r="B99" s="2">
        <v>119421.0</v>
      </c>
      <c r="C99" s="1" t="s">
        <v>282</v>
      </c>
      <c r="D99" s="1">
        <v>1.0</v>
      </c>
      <c r="E99" s="1" t="s">
        <v>125</v>
      </c>
      <c r="F99" s="1">
        <v>19.0</v>
      </c>
      <c r="G99" s="1" t="s">
        <v>457</v>
      </c>
      <c r="H99" s="3" t="s">
        <v>1334</v>
      </c>
      <c r="I99" s="1" t="s">
        <v>72</v>
      </c>
      <c r="J99" s="1">
        <v>34.0</v>
      </c>
      <c r="K99" s="1" t="s">
        <v>457</v>
      </c>
      <c r="L99" s="1" t="s">
        <v>16</v>
      </c>
      <c r="M99" s="1">
        <v>3.0</v>
      </c>
      <c r="N99" s="1" t="s">
        <v>457</v>
      </c>
      <c r="O99" s="4" t="s">
        <v>1335</v>
      </c>
      <c r="P99" s="4" t="s">
        <v>1336</v>
      </c>
    </row>
    <row r="100">
      <c r="A100" s="1" t="s">
        <v>458</v>
      </c>
      <c r="B100" s="2">
        <v>138695.0</v>
      </c>
      <c r="C100" s="1" t="s">
        <v>459</v>
      </c>
      <c r="D100" s="1">
        <v>0.0</v>
      </c>
      <c r="E100" s="1" t="s">
        <v>26</v>
      </c>
      <c r="F100" s="1">
        <v>7.0</v>
      </c>
      <c r="G100" s="1" t="s">
        <v>460</v>
      </c>
      <c r="H100" s="3" t="s">
        <v>1337</v>
      </c>
      <c r="I100" s="1" t="s">
        <v>32</v>
      </c>
      <c r="J100" s="1">
        <v>11.0</v>
      </c>
      <c r="K100" s="1" t="s">
        <v>460</v>
      </c>
      <c r="L100" s="1" t="s">
        <v>111</v>
      </c>
      <c r="M100" s="1">
        <v>28.0</v>
      </c>
      <c r="N100" s="1" t="s">
        <v>460</v>
      </c>
      <c r="O100" s="4" t="s">
        <v>1338</v>
      </c>
      <c r="P100" s="4" t="s">
        <v>1339</v>
      </c>
    </row>
    <row r="101">
      <c r="A101" s="1" t="s">
        <v>473</v>
      </c>
      <c r="B101" s="2">
        <v>306633.0</v>
      </c>
      <c r="C101" s="1" t="s">
        <v>459</v>
      </c>
      <c r="D101" s="1">
        <v>0.0</v>
      </c>
      <c r="E101" s="1" t="s">
        <v>21</v>
      </c>
      <c r="F101" s="1">
        <v>10.0</v>
      </c>
      <c r="G101" s="1" t="s">
        <v>474</v>
      </c>
      <c r="H101" s="3" t="s">
        <v>1340</v>
      </c>
      <c r="I101" s="1" t="s">
        <v>26</v>
      </c>
      <c r="J101" s="1">
        <v>7.0</v>
      </c>
      <c r="K101" s="1" t="s">
        <v>474</v>
      </c>
      <c r="L101" s="1" t="s">
        <v>20</v>
      </c>
      <c r="M101" s="1">
        <v>48.0</v>
      </c>
      <c r="N101" s="1" t="s">
        <v>474</v>
      </c>
      <c r="O101" s="4" t="s">
        <v>1341</v>
      </c>
      <c r="P101" s="4" t="s">
        <v>1342</v>
      </c>
    </row>
    <row r="102">
      <c r="A102" s="1" t="s">
        <v>477</v>
      </c>
      <c r="B102" s="2">
        <v>301743.0</v>
      </c>
      <c r="C102" s="1" t="s">
        <v>459</v>
      </c>
      <c r="D102" s="1">
        <v>0.0</v>
      </c>
      <c r="E102" s="1" t="s">
        <v>10</v>
      </c>
      <c r="F102" s="1">
        <v>9.0</v>
      </c>
      <c r="G102" s="1" t="s">
        <v>478</v>
      </c>
      <c r="H102" s="3" t="s">
        <v>1343</v>
      </c>
      <c r="I102" s="1" t="s">
        <v>96</v>
      </c>
      <c r="J102" s="1">
        <v>47.0</v>
      </c>
      <c r="K102" s="1" t="s">
        <v>478</v>
      </c>
      <c r="L102" s="1" t="s">
        <v>191</v>
      </c>
      <c r="M102" s="1">
        <v>39.0</v>
      </c>
      <c r="N102" s="1" t="s">
        <v>478</v>
      </c>
      <c r="O102" s="4" t="s">
        <v>1344</v>
      </c>
      <c r="P102" s="4" t="s">
        <v>1345</v>
      </c>
    </row>
    <row r="103">
      <c r="A103" s="1" t="s">
        <v>480</v>
      </c>
      <c r="B103" s="2">
        <v>151669.0</v>
      </c>
      <c r="C103" s="1" t="s">
        <v>459</v>
      </c>
      <c r="D103" s="1">
        <v>0.0</v>
      </c>
      <c r="E103" s="1" t="s">
        <v>21</v>
      </c>
      <c r="F103" s="1">
        <v>10.0</v>
      </c>
      <c r="G103" s="1" t="s">
        <v>481</v>
      </c>
      <c r="H103" s="3" t="s">
        <v>1346</v>
      </c>
      <c r="I103" s="1" t="s">
        <v>26</v>
      </c>
      <c r="J103" s="1">
        <v>7.0</v>
      </c>
      <c r="K103" s="1" t="s">
        <v>481</v>
      </c>
      <c r="L103" s="1" t="s">
        <v>10</v>
      </c>
      <c r="M103" s="1">
        <v>9.0</v>
      </c>
      <c r="N103" s="1" t="s">
        <v>482</v>
      </c>
      <c r="O103" s="4" t="s">
        <v>1347</v>
      </c>
      <c r="P103" s="4" t="s">
        <v>1348</v>
      </c>
    </row>
    <row r="104">
      <c r="A104" s="1" t="s">
        <v>483</v>
      </c>
      <c r="B104" s="2">
        <v>145116.0</v>
      </c>
      <c r="C104" s="1" t="s">
        <v>459</v>
      </c>
      <c r="D104" s="1">
        <v>0.0</v>
      </c>
      <c r="E104" s="1" t="s">
        <v>21</v>
      </c>
      <c r="F104" s="1">
        <v>10.0</v>
      </c>
      <c r="G104" s="1" t="s">
        <v>484</v>
      </c>
      <c r="H104" s="3" t="s">
        <v>1349</v>
      </c>
      <c r="I104" s="1" t="s">
        <v>26</v>
      </c>
      <c r="J104" s="1">
        <v>7.0</v>
      </c>
      <c r="K104" s="1" t="s">
        <v>484</v>
      </c>
      <c r="L104" s="1" t="s">
        <v>10</v>
      </c>
      <c r="M104" s="1">
        <v>9.0</v>
      </c>
      <c r="N104" s="1" t="s">
        <v>485</v>
      </c>
      <c r="O104" s="4" t="s">
        <v>1350</v>
      </c>
      <c r="P104" s="4" t="s">
        <v>1351</v>
      </c>
    </row>
    <row r="105">
      <c r="A105" s="1" t="s">
        <v>487</v>
      </c>
      <c r="B105" s="2">
        <v>151041.0</v>
      </c>
      <c r="C105" s="1" t="s">
        <v>459</v>
      </c>
      <c r="D105" s="1">
        <v>0.0</v>
      </c>
      <c r="E105" s="1" t="s">
        <v>21</v>
      </c>
      <c r="F105" s="1">
        <v>10.0</v>
      </c>
      <c r="G105" s="1" t="s">
        <v>488</v>
      </c>
      <c r="H105" s="3" t="s">
        <v>1352</v>
      </c>
      <c r="I105" s="1" t="s">
        <v>26</v>
      </c>
      <c r="J105" s="1">
        <v>7.0</v>
      </c>
      <c r="K105" s="1" t="s">
        <v>488</v>
      </c>
      <c r="L105" s="1" t="s">
        <v>12</v>
      </c>
      <c r="M105" s="1">
        <v>41.0</v>
      </c>
      <c r="N105" s="1" t="s">
        <v>3</v>
      </c>
      <c r="O105" s="4" t="s">
        <v>1353</v>
      </c>
      <c r="P105" s="4" t="s">
        <v>1354</v>
      </c>
    </row>
    <row r="106">
      <c r="A106" s="1" t="s">
        <v>489</v>
      </c>
      <c r="B106" s="2">
        <v>150673.0</v>
      </c>
      <c r="C106" s="1" t="s">
        <v>459</v>
      </c>
      <c r="D106" s="1">
        <v>0.0</v>
      </c>
      <c r="E106" s="1" t="s">
        <v>34</v>
      </c>
      <c r="F106" s="1">
        <v>8.0</v>
      </c>
      <c r="G106" s="1" t="s">
        <v>490</v>
      </c>
      <c r="H106" s="3" t="s">
        <v>1355</v>
      </c>
      <c r="I106" s="1" t="s">
        <v>109</v>
      </c>
      <c r="J106" s="1">
        <v>49.0</v>
      </c>
      <c r="K106" s="1" t="s">
        <v>490</v>
      </c>
      <c r="L106" s="1" t="s">
        <v>47</v>
      </c>
      <c r="M106" s="1">
        <v>27.0</v>
      </c>
      <c r="N106" s="1" t="s">
        <v>490</v>
      </c>
      <c r="O106" s="4" t="s">
        <v>1356</v>
      </c>
      <c r="P106" s="4" t="s">
        <v>1357</v>
      </c>
    </row>
    <row r="107">
      <c r="A107" s="1" t="s">
        <v>495</v>
      </c>
      <c r="B107" s="2">
        <v>151881.0</v>
      </c>
      <c r="C107" s="1" t="s">
        <v>459</v>
      </c>
      <c r="D107" s="1">
        <v>0.0</v>
      </c>
      <c r="E107" s="1" t="s">
        <v>20</v>
      </c>
      <c r="F107" s="1">
        <v>48.0</v>
      </c>
      <c r="G107" s="1" t="s">
        <v>496</v>
      </c>
      <c r="H107" s="3" t="s">
        <v>1358</v>
      </c>
      <c r="I107" s="1" t="s">
        <v>18</v>
      </c>
      <c r="J107" s="1">
        <v>22.0</v>
      </c>
      <c r="K107" s="1" t="s">
        <v>496</v>
      </c>
      <c r="L107" s="1" t="s">
        <v>114</v>
      </c>
      <c r="M107" s="1">
        <v>12.0</v>
      </c>
      <c r="N107" s="1" t="s">
        <v>496</v>
      </c>
      <c r="O107" s="4" t="s">
        <v>1359</v>
      </c>
      <c r="P107" s="4" t="s">
        <v>1360</v>
      </c>
    </row>
    <row r="108">
      <c r="A108" s="1" t="s">
        <v>497</v>
      </c>
      <c r="B108" s="2">
        <v>151883.0</v>
      </c>
      <c r="C108" s="1" t="s">
        <v>459</v>
      </c>
      <c r="D108" s="1">
        <v>0.0</v>
      </c>
      <c r="E108" s="1" t="s">
        <v>20</v>
      </c>
      <c r="F108" s="1">
        <v>48.0</v>
      </c>
      <c r="G108" s="1" t="s">
        <v>498</v>
      </c>
      <c r="H108" s="3" t="s">
        <v>1361</v>
      </c>
      <c r="I108" s="1" t="s">
        <v>18</v>
      </c>
      <c r="J108" s="1">
        <v>22.0</v>
      </c>
      <c r="K108" s="1" t="s">
        <v>498</v>
      </c>
      <c r="L108" s="1" t="s">
        <v>114</v>
      </c>
      <c r="M108" s="1">
        <v>12.0</v>
      </c>
      <c r="N108" s="1" t="s">
        <v>498</v>
      </c>
      <c r="O108" s="4" t="s">
        <v>1362</v>
      </c>
      <c r="P108" s="4" t="s">
        <v>1363</v>
      </c>
    </row>
    <row r="109">
      <c r="A109" s="1" t="s">
        <v>499</v>
      </c>
      <c r="B109" s="2">
        <v>150825.0</v>
      </c>
      <c r="C109" s="1" t="s">
        <v>459</v>
      </c>
      <c r="D109" s="1">
        <v>0.0</v>
      </c>
      <c r="E109" s="1" t="s">
        <v>20</v>
      </c>
      <c r="F109" s="1">
        <v>48.0</v>
      </c>
      <c r="G109" s="1" t="s">
        <v>500</v>
      </c>
      <c r="H109" s="3" t="s">
        <v>1364</v>
      </c>
      <c r="I109" s="1" t="s">
        <v>18</v>
      </c>
      <c r="J109" s="1">
        <v>22.0</v>
      </c>
      <c r="K109" s="1" t="s">
        <v>500</v>
      </c>
      <c r="L109" s="1" t="s">
        <v>114</v>
      </c>
      <c r="M109" s="1">
        <v>12.0</v>
      </c>
      <c r="N109" s="1" t="s">
        <v>500</v>
      </c>
      <c r="O109" s="4" t="s">
        <v>1365</v>
      </c>
      <c r="P109" s="4" t="s">
        <v>1366</v>
      </c>
    </row>
    <row r="110">
      <c r="A110" s="1" t="s">
        <v>507</v>
      </c>
      <c r="B110" s="2">
        <v>150693.0</v>
      </c>
      <c r="C110" s="1" t="s">
        <v>459</v>
      </c>
      <c r="D110" s="1">
        <v>0.0</v>
      </c>
      <c r="E110" s="1" t="s">
        <v>28</v>
      </c>
      <c r="F110" s="1">
        <v>32.0</v>
      </c>
      <c r="G110" s="1" t="s">
        <v>508</v>
      </c>
      <c r="H110" s="3" t="s">
        <v>1367</v>
      </c>
      <c r="I110" s="1" t="s">
        <v>47</v>
      </c>
      <c r="J110" s="1">
        <v>27.0</v>
      </c>
      <c r="K110" s="1" t="s">
        <v>508</v>
      </c>
      <c r="L110" s="1" t="s">
        <v>109</v>
      </c>
      <c r="M110" s="1">
        <v>49.0</v>
      </c>
      <c r="N110" s="1" t="s">
        <v>508</v>
      </c>
      <c r="O110" s="4" t="s">
        <v>1368</v>
      </c>
      <c r="P110" s="4" t="s">
        <v>1369</v>
      </c>
    </row>
    <row r="111">
      <c r="A111" s="1" t="s">
        <v>510</v>
      </c>
      <c r="B111" s="2">
        <v>205403.0</v>
      </c>
      <c r="C111" s="1" t="s">
        <v>459</v>
      </c>
      <c r="D111" s="1">
        <v>0.0</v>
      </c>
      <c r="E111" s="1" t="s">
        <v>9</v>
      </c>
      <c r="F111" s="1">
        <v>5.0</v>
      </c>
      <c r="G111" s="1" t="s">
        <v>511</v>
      </c>
      <c r="H111" s="3" t="s">
        <v>1370</v>
      </c>
      <c r="I111" s="1" t="s">
        <v>125</v>
      </c>
      <c r="J111" s="1">
        <v>19.0</v>
      </c>
      <c r="K111" s="1" t="s">
        <v>511</v>
      </c>
      <c r="L111" s="1" t="s">
        <v>5</v>
      </c>
      <c r="M111" s="1">
        <v>35.0</v>
      </c>
      <c r="N111" s="1" t="s">
        <v>511</v>
      </c>
      <c r="O111" s="4" t="s">
        <v>1371</v>
      </c>
      <c r="P111" s="4" t="s">
        <v>1372</v>
      </c>
    </row>
    <row r="112">
      <c r="A112" s="1" t="s">
        <v>516</v>
      </c>
      <c r="B112" s="2">
        <v>313866.0</v>
      </c>
      <c r="C112" s="1" t="s">
        <v>459</v>
      </c>
      <c r="D112" s="1">
        <v>0.0</v>
      </c>
      <c r="E112" s="1" t="s">
        <v>111</v>
      </c>
      <c r="F112" s="1">
        <v>28.0</v>
      </c>
      <c r="G112" s="1" t="s">
        <v>517</v>
      </c>
      <c r="H112" s="3" t="s">
        <v>1373</v>
      </c>
      <c r="I112" s="1" t="s">
        <v>30</v>
      </c>
      <c r="J112" s="1">
        <v>13.0</v>
      </c>
      <c r="K112" s="1" t="s">
        <v>517</v>
      </c>
      <c r="L112" s="1" t="s">
        <v>114</v>
      </c>
      <c r="M112" s="1">
        <v>12.0</v>
      </c>
      <c r="N112" s="1" t="s">
        <v>517</v>
      </c>
      <c r="O112" s="4" t="s">
        <v>1374</v>
      </c>
      <c r="P112" s="4" t="s">
        <v>1375</v>
      </c>
    </row>
    <row r="113">
      <c r="A113" s="1" t="s">
        <v>518</v>
      </c>
      <c r="B113" s="2">
        <v>162277.0</v>
      </c>
      <c r="C113" s="1" t="s">
        <v>459</v>
      </c>
      <c r="D113" s="1">
        <v>0.0</v>
      </c>
      <c r="E113" s="1" t="s">
        <v>111</v>
      </c>
      <c r="F113" s="1">
        <v>28.0</v>
      </c>
      <c r="G113" s="1" t="s">
        <v>519</v>
      </c>
      <c r="H113" s="3" t="s">
        <v>1376</v>
      </c>
      <c r="I113" s="1" t="s">
        <v>30</v>
      </c>
      <c r="J113" s="1">
        <v>13.0</v>
      </c>
      <c r="K113" s="1" t="s">
        <v>519</v>
      </c>
      <c r="L113" s="1" t="s">
        <v>114</v>
      </c>
      <c r="M113" s="1">
        <v>12.0</v>
      </c>
      <c r="N113" s="1" t="s">
        <v>519</v>
      </c>
      <c r="O113" s="4" t="s">
        <v>1377</v>
      </c>
      <c r="P113" s="4" t="s">
        <v>1378</v>
      </c>
    </row>
    <row r="114">
      <c r="A114" s="1" t="s">
        <v>520</v>
      </c>
      <c r="B114" s="2">
        <v>150818.0</v>
      </c>
      <c r="C114" s="1" t="s">
        <v>459</v>
      </c>
      <c r="D114" s="1">
        <v>0.0</v>
      </c>
      <c r="E114" s="1" t="s">
        <v>74</v>
      </c>
      <c r="F114" s="1">
        <v>50.0</v>
      </c>
      <c r="G114" s="1" t="s">
        <v>521</v>
      </c>
      <c r="H114" s="3" t="s">
        <v>1379</v>
      </c>
      <c r="I114" s="1" t="s">
        <v>96</v>
      </c>
      <c r="J114" s="1">
        <v>47.0</v>
      </c>
      <c r="K114" s="1" t="s">
        <v>521</v>
      </c>
      <c r="L114" s="1" t="s">
        <v>76</v>
      </c>
      <c r="M114" s="1">
        <v>24.0</v>
      </c>
      <c r="N114" s="1" t="s">
        <v>521</v>
      </c>
      <c r="O114" s="4" t="s">
        <v>1380</v>
      </c>
      <c r="P114" s="4" t="s">
        <v>1381</v>
      </c>
    </row>
    <row r="115">
      <c r="A115" s="1" t="s">
        <v>522</v>
      </c>
      <c r="B115" s="2">
        <v>326504.0</v>
      </c>
      <c r="C115" s="1" t="s">
        <v>459</v>
      </c>
      <c r="D115" s="1">
        <v>0.0</v>
      </c>
      <c r="E115" s="1" t="s">
        <v>74</v>
      </c>
      <c r="F115" s="1">
        <v>50.0</v>
      </c>
      <c r="G115" s="1" t="s">
        <v>523</v>
      </c>
      <c r="H115" s="3" t="s">
        <v>1382</v>
      </c>
      <c r="I115" s="1" t="s">
        <v>96</v>
      </c>
      <c r="J115" s="1">
        <v>47.0</v>
      </c>
      <c r="K115" s="1" t="s">
        <v>523</v>
      </c>
      <c r="L115" s="1" t="s">
        <v>76</v>
      </c>
      <c r="M115" s="1">
        <v>24.0</v>
      </c>
      <c r="N115" s="1" t="s">
        <v>523</v>
      </c>
      <c r="O115" s="4" t="s">
        <v>1383</v>
      </c>
      <c r="P115" s="4" t="s">
        <v>1384</v>
      </c>
    </row>
    <row r="116">
      <c r="A116" s="1" t="s">
        <v>524</v>
      </c>
      <c r="B116" s="2">
        <v>164534.0</v>
      </c>
      <c r="C116" s="1" t="s">
        <v>459</v>
      </c>
      <c r="D116" s="1">
        <v>0.0</v>
      </c>
      <c r="E116" s="1" t="s">
        <v>18</v>
      </c>
      <c r="F116" s="1">
        <v>22.0</v>
      </c>
      <c r="G116" s="1" t="s">
        <v>525</v>
      </c>
      <c r="H116" s="3" t="s">
        <v>1385</v>
      </c>
      <c r="I116" s="1" t="s">
        <v>39</v>
      </c>
      <c r="J116" s="1">
        <v>20.0</v>
      </c>
      <c r="K116" s="1" t="s">
        <v>525</v>
      </c>
      <c r="L116" s="1" t="s">
        <v>74</v>
      </c>
      <c r="M116" s="1">
        <v>50.0</v>
      </c>
      <c r="N116" s="1" t="s">
        <v>525</v>
      </c>
      <c r="O116" s="4" t="s">
        <v>1386</v>
      </c>
      <c r="P116" s="4" t="s">
        <v>1387</v>
      </c>
    </row>
    <row r="117">
      <c r="A117" s="1" t="s">
        <v>527</v>
      </c>
      <c r="B117" s="2">
        <v>151342.0</v>
      </c>
      <c r="C117" s="1" t="s">
        <v>459</v>
      </c>
      <c r="D117" s="1">
        <v>0.0</v>
      </c>
      <c r="E117" s="1" t="s">
        <v>25</v>
      </c>
      <c r="F117" s="1">
        <v>18.0</v>
      </c>
      <c r="G117" s="1" t="s">
        <v>527</v>
      </c>
      <c r="H117" s="3" t="s">
        <v>1388</v>
      </c>
      <c r="I117" s="1" t="s">
        <v>207</v>
      </c>
      <c r="J117" s="1">
        <v>1.0</v>
      </c>
      <c r="K117" s="1" t="s">
        <v>527</v>
      </c>
      <c r="L117" s="1" t="s">
        <v>309</v>
      </c>
      <c r="M117" s="1">
        <v>40.0</v>
      </c>
      <c r="N117" s="1" t="s">
        <v>527</v>
      </c>
      <c r="O117" s="4" t="s">
        <v>1389</v>
      </c>
      <c r="P117" s="4" t="s">
        <v>1390</v>
      </c>
    </row>
    <row r="118">
      <c r="A118" s="1" t="s">
        <v>530</v>
      </c>
      <c r="B118" s="2">
        <v>150689.0</v>
      </c>
      <c r="C118" s="1" t="s">
        <v>459</v>
      </c>
      <c r="D118" s="1">
        <v>0.0</v>
      </c>
      <c r="E118" s="1" t="s">
        <v>7</v>
      </c>
      <c r="F118" s="1">
        <v>15.0</v>
      </c>
      <c r="G118" s="1" t="s">
        <v>531</v>
      </c>
      <c r="H118" s="3" t="s">
        <v>1391</v>
      </c>
      <c r="I118" s="1" t="s">
        <v>72</v>
      </c>
      <c r="J118" s="1">
        <v>34.0</v>
      </c>
      <c r="K118" s="1" t="s">
        <v>531</v>
      </c>
      <c r="L118" s="1" t="s">
        <v>96</v>
      </c>
      <c r="M118" s="1">
        <v>47.0</v>
      </c>
      <c r="N118" s="1" t="s">
        <v>531</v>
      </c>
      <c r="O118" s="4" t="s">
        <v>1392</v>
      </c>
      <c r="P118" s="4" t="s">
        <v>1393</v>
      </c>
    </row>
    <row r="119">
      <c r="A119" s="1" t="s">
        <v>533</v>
      </c>
      <c r="B119" s="2">
        <v>119432.0</v>
      </c>
      <c r="C119" s="1" t="s">
        <v>459</v>
      </c>
      <c r="D119" s="1">
        <v>0.0</v>
      </c>
      <c r="E119" s="1" t="s">
        <v>72</v>
      </c>
      <c r="F119" s="1">
        <v>34.0</v>
      </c>
      <c r="G119" s="1" t="s">
        <v>534</v>
      </c>
      <c r="H119" s="3" t="s">
        <v>1394</v>
      </c>
      <c r="I119" s="1" t="s">
        <v>96</v>
      </c>
      <c r="J119" s="1">
        <v>47.0</v>
      </c>
      <c r="K119" s="1" t="s">
        <v>534</v>
      </c>
      <c r="L119" s="1" t="s">
        <v>42</v>
      </c>
      <c r="M119" s="1">
        <v>14.0</v>
      </c>
      <c r="N119" s="3" t="s">
        <v>534</v>
      </c>
      <c r="O119" s="4" t="s">
        <v>1395</v>
      </c>
      <c r="P119" s="4" t="s">
        <v>1396</v>
      </c>
    </row>
    <row r="120">
      <c r="A120" s="1" t="s">
        <v>538</v>
      </c>
      <c r="B120" s="2">
        <v>149958.0</v>
      </c>
      <c r="C120" s="1" t="s">
        <v>459</v>
      </c>
      <c r="D120" s="1">
        <v>0.0</v>
      </c>
      <c r="E120" s="1" t="s">
        <v>34</v>
      </c>
      <c r="F120" s="1">
        <v>8.0</v>
      </c>
      <c r="G120" s="1" t="s">
        <v>539</v>
      </c>
      <c r="H120" s="3" t="s">
        <v>1397</v>
      </c>
      <c r="I120" s="1" t="s">
        <v>28</v>
      </c>
      <c r="J120" s="1">
        <v>32.0</v>
      </c>
      <c r="K120" s="1" t="s">
        <v>539</v>
      </c>
      <c r="L120" s="1" t="s">
        <v>401</v>
      </c>
      <c r="M120" s="1">
        <v>38.0</v>
      </c>
      <c r="N120" s="1" t="s">
        <v>539</v>
      </c>
      <c r="O120" s="4" t="s">
        <v>1398</v>
      </c>
      <c r="P120" s="4" t="s">
        <v>1399</v>
      </c>
    </row>
    <row r="121">
      <c r="A121" s="1" t="s">
        <v>540</v>
      </c>
      <c r="B121" s="2">
        <v>306354.0</v>
      </c>
      <c r="C121" s="1" t="s">
        <v>459</v>
      </c>
      <c r="D121" s="1">
        <v>0.0</v>
      </c>
      <c r="E121" s="1" t="s">
        <v>34</v>
      </c>
      <c r="F121" s="1">
        <v>8.0</v>
      </c>
      <c r="G121" s="1" t="s">
        <v>541</v>
      </c>
      <c r="H121" s="3" t="s">
        <v>1400</v>
      </c>
      <c r="I121" s="1" t="s">
        <v>28</v>
      </c>
      <c r="J121" s="1">
        <v>32.0</v>
      </c>
      <c r="K121" s="1" t="s">
        <v>541</v>
      </c>
      <c r="L121" s="1" t="s">
        <v>309</v>
      </c>
      <c r="M121" s="1">
        <v>40.0</v>
      </c>
      <c r="N121" s="1" t="s">
        <v>541</v>
      </c>
      <c r="O121" s="4" t="s">
        <v>1401</v>
      </c>
      <c r="P121" s="4" t="s">
        <v>1402</v>
      </c>
    </row>
    <row r="122">
      <c r="A122" s="1" t="s">
        <v>544</v>
      </c>
      <c r="B122" s="2">
        <v>195481.0</v>
      </c>
      <c r="C122" s="1" t="s">
        <v>459</v>
      </c>
      <c r="D122" s="1">
        <v>0.0</v>
      </c>
      <c r="E122" s="1" t="s">
        <v>109</v>
      </c>
      <c r="F122" s="1">
        <v>49.0</v>
      </c>
      <c r="G122" s="1" t="s">
        <v>545</v>
      </c>
      <c r="H122" s="3" t="s">
        <v>1403</v>
      </c>
      <c r="I122" s="1" t="s">
        <v>184</v>
      </c>
      <c r="J122" s="1">
        <v>4.0</v>
      </c>
      <c r="K122" s="1" t="s">
        <v>545</v>
      </c>
      <c r="L122" s="1" t="s">
        <v>63</v>
      </c>
      <c r="M122" s="1">
        <v>29.0</v>
      </c>
      <c r="N122" s="1" t="s">
        <v>545</v>
      </c>
      <c r="O122" s="4" t="s">
        <v>1404</v>
      </c>
      <c r="P122" s="4" t="s">
        <v>1405</v>
      </c>
    </row>
    <row r="123">
      <c r="A123" s="1" t="s">
        <v>547</v>
      </c>
      <c r="B123" s="2">
        <v>204806.0</v>
      </c>
      <c r="C123" s="1" t="s">
        <v>459</v>
      </c>
      <c r="D123" s="1">
        <v>0.0</v>
      </c>
      <c r="E123" s="1" t="s">
        <v>7</v>
      </c>
      <c r="F123" s="1">
        <v>15.0</v>
      </c>
      <c r="G123" s="1" t="s">
        <v>548</v>
      </c>
      <c r="H123" s="3" t="s">
        <v>1406</v>
      </c>
      <c r="I123" s="1" t="s">
        <v>9</v>
      </c>
      <c r="J123" s="1">
        <v>5.0</v>
      </c>
      <c r="K123" s="1" t="s">
        <v>549</v>
      </c>
      <c r="L123" s="1" t="s">
        <v>7</v>
      </c>
      <c r="M123" s="1">
        <v>15.0</v>
      </c>
      <c r="N123" s="1" t="s">
        <v>550</v>
      </c>
      <c r="O123" s="4" t="s">
        <v>1407</v>
      </c>
      <c r="P123" s="4" t="s">
        <v>1408</v>
      </c>
    </row>
    <row r="124">
      <c r="A124" s="1" t="s">
        <v>551</v>
      </c>
      <c r="B124" s="2">
        <v>179850.0</v>
      </c>
      <c r="C124" s="1" t="s">
        <v>459</v>
      </c>
      <c r="D124" s="1">
        <v>0.0</v>
      </c>
      <c r="E124" s="1" t="s">
        <v>76</v>
      </c>
      <c r="F124" s="1">
        <v>24.0</v>
      </c>
      <c r="G124" s="1" t="s">
        <v>552</v>
      </c>
      <c r="H124" s="3" t="s">
        <v>1409</v>
      </c>
      <c r="I124" s="1" t="s">
        <v>7</v>
      </c>
      <c r="J124" s="1">
        <v>15.0</v>
      </c>
      <c r="K124" s="1" t="s">
        <v>552</v>
      </c>
      <c r="L124" s="1" t="s">
        <v>72</v>
      </c>
      <c r="M124" s="1">
        <v>34.0</v>
      </c>
      <c r="N124" s="1" t="s">
        <v>553</v>
      </c>
      <c r="O124" s="4" t="s">
        <v>1410</v>
      </c>
      <c r="P124" s="4" t="s">
        <v>1411</v>
      </c>
    </row>
    <row r="125">
      <c r="A125" s="1" t="s">
        <v>557</v>
      </c>
      <c r="B125" s="2">
        <v>209436.0</v>
      </c>
      <c r="C125" s="1" t="s">
        <v>459</v>
      </c>
      <c r="D125" s="1">
        <v>0.0</v>
      </c>
      <c r="E125" s="1" t="s">
        <v>109</v>
      </c>
      <c r="F125" s="1">
        <v>49.0</v>
      </c>
      <c r="G125" s="1" t="s">
        <v>558</v>
      </c>
      <c r="H125" s="3" t="s">
        <v>1412</v>
      </c>
      <c r="I125" s="1" t="s">
        <v>47</v>
      </c>
      <c r="J125" s="1">
        <v>27.0</v>
      </c>
      <c r="K125" s="1" t="s">
        <v>559</v>
      </c>
      <c r="L125" s="1" t="s">
        <v>139</v>
      </c>
      <c r="M125" s="1">
        <v>21.0</v>
      </c>
      <c r="N125" s="1" t="s">
        <v>558</v>
      </c>
      <c r="O125" s="4" t="s">
        <v>1413</v>
      </c>
      <c r="P125" s="4" t="s">
        <v>1414</v>
      </c>
    </row>
    <row r="126">
      <c r="A126" s="1" t="s">
        <v>566</v>
      </c>
      <c r="B126" s="2">
        <v>204860.0</v>
      </c>
      <c r="C126" s="1" t="s">
        <v>459</v>
      </c>
      <c r="D126" s="1">
        <v>0.0</v>
      </c>
      <c r="E126" s="1" t="s">
        <v>9</v>
      </c>
      <c r="F126" s="1">
        <v>5.0</v>
      </c>
      <c r="G126" s="1" t="s">
        <v>567</v>
      </c>
      <c r="H126" s="3" t="s">
        <v>1415</v>
      </c>
      <c r="I126" s="1" t="s">
        <v>7</v>
      </c>
      <c r="J126" s="1">
        <v>15.0</v>
      </c>
      <c r="K126" s="1" t="s">
        <v>567</v>
      </c>
      <c r="L126" s="1" t="s">
        <v>309</v>
      </c>
      <c r="M126" s="1">
        <v>40.0</v>
      </c>
      <c r="N126" s="1" t="s">
        <v>3</v>
      </c>
      <c r="O126" s="4" t="s">
        <v>1416</v>
      </c>
      <c r="P126" s="4" t="s">
        <v>1417</v>
      </c>
    </row>
    <row r="127">
      <c r="A127" s="1" t="s">
        <v>88</v>
      </c>
      <c r="B127" s="2">
        <v>165873.0</v>
      </c>
      <c r="C127" s="1" t="s">
        <v>459</v>
      </c>
      <c r="D127" s="1">
        <v>0.0</v>
      </c>
      <c r="E127" s="1" t="s">
        <v>109</v>
      </c>
      <c r="F127" s="1">
        <v>49.0</v>
      </c>
      <c r="G127" s="1" t="s">
        <v>568</v>
      </c>
      <c r="H127" s="3" t="s">
        <v>1418</v>
      </c>
      <c r="I127" s="1" t="s">
        <v>47</v>
      </c>
      <c r="J127" s="1">
        <v>27.0</v>
      </c>
      <c r="K127" s="1" t="s">
        <v>568</v>
      </c>
      <c r="L127" s="1" t="s">
        <v>139</v>
      </c>
      <c r="M127" s="1">
        <v>21.0</v>
      </c>
      <c r="N127" s="1" t="s">
        <v>568</v>
      </c>
      <c r="O127" s="4" t="s">
        <v>1419</v>
      </c>
      <c r="P127" s="4" t="s">
        <v>1420</v>
      </c>
    </row>
    <row r="128">
      <c r="A128" s="1" t="s">
        <v>571</v>
      </c>
      <c r="B128" s="2">
        <v>151869.0</v>
      </c>
      <c r="C128" s="1" t="s">
        <v>459</v>
      </c>
      <c r="D128" s="1">
        <v>0.0</v>
      </c>
      <c r="E128" s="1" t="s">
        <v>26</v>
      </c>
      <c r="F128" s="1">
        <v>7.0</v>
      </c>
      <c r="G128" s="1" t="s">
        <v>572</v>
      </c>
      <c r="H128" s="3" t="s">
        <v>1421</v>
      </c>
      <c r="I128" s="1" t="s">
        <v>47</v>
      </c>
      <c r="J128" s="1">
        <v>27.0</v>
      </c>
      <c r="K128" s="1" t="s">
        <v>572</v>
      </c>
      <c r="L128" s="1" t="s">
        <v>18</v>
      </c>
      <c r="M128" s="1">
        <v>22.0</v>
      </c>
      <c r="N128" s="1" t="s">
        <v>572</v>
      </c>
      <c r="O128" s="4" t="s">
        <v>1422</v>
      </c>
      <c r="P128" s="4" t="s">
        <v>1423</v>
      </c>
    </row>
    <row r="129">
      <c r="A129" s="1" t="s">
        <v>575</v>
      </c>
      <c r="B129" s="2">
        <v>151509.0</v>
      </c>
      <c r="C129" s="1" t="s">
        <v>459</v>
      </c>
      <c r="D129" s="1">
        <v>0.0</v>
      </c>
      <c r="E129" s="1" t="s">
        <v>26</v>
      </c>
      <c r="F129" s="1">
        <v>7.0</v>
      </c>
      <c r="G129" s="1" t="s">
        <v>576</v>
      </c>
      <c r="H129" s="3" t="s">
        <v>1424</v>
      </c>
      <c r="I129" s="1" t="s">
        <v>114</v>
      </c>
      <c r="J129" s="1">
        <v>12.0</v>
      </c>
      <c r="K129" s="1" t="s">
        <v>577</v>
      </c>
      <c r="L129" s="1" t="s">
        <v>18</v>
      </c>
      <c r="M129" s="1">
        <v>22.0</v>
      </c>
      <c r="N129" s="1" t="s">
        <v>576</v>
      </c>
      <c r="O129" s="4" t="s">
        <v>1425</v>
      </c>
      <c r="P129" s="4" t="s">
        <v>1426</v>
      </c>
    </row>
    <row r="130">
      <c r="A130" s="1" t="s">
        <v>540</v>
      </c>
      <c r="B130" s="2">
        <v>306354.0</v>
      </c>
      <c r="C130" s="1" t="s">
        <v>459</v>
      </c>
      <c r="D130" s="1">
        <v>0.0</v>
      </c>
      <c r="E130" s="1" t="s">
        <v>34</v>
      </c>
      <c r="F130" s="1">
        <v>8.0</v>
      </c>
      <c r="G130" s="1" t="s">
        <v>582</v>
      </c>
      <c r="H130" s="3" t="s">
        <v>1427</v>
      </c>
      <c r="I130" s="1" t="s">
        <v>28</v>
      </c>
      <c r="J130" s="1">
        <v>32.0</v>
      </c>
      <c r="K130" s="1" t="s">
        <v>582</v>
      </c>
      <c r="L130" s="1" t="s">
        <v>401</v>
      </c>
      <c r="M130" s="1">
        <v>38.0</v>
      </c>
      <c r="N130" s="1" t="s">
        <v>582</v>
      </c>
      <c r="O130" s="4" t="s">
        <v>1428</v>
      </c>
      <c r="P130" s="4" t="s">
        <v>1402</v>
      </c>
    </row>
    <row r="131">
      <c r="A131" s="1" t="s">
        <v>583</v>
      </c>
      <c r="B131" s="2">
        <v>313865.0</v>
      </c>
      <c r="C131" s="1" t="s">
        <v>459</v>
      </c>
      <c r="D131" s="1">
        <v>0.0</v>
      </c>
      <c r="E131" s="1" t="s">
        <v>125</v>
      </c>
      <c r="F131" s="1">
        <v>19.0</v>
      </c>
      <c r="G131" s="1" t="s">
        <v>584</v>
      </c>
      <c r="H131" s="3" t="s">
        <v>1429</v>
      </c>
      <c r="I131" s="1" t="s">
        <v>309</v>
      </c>
      <c r="J131" s="1">
        <v>40.0</v>
      </c>
      <c r="K131" s="1" t="s">
        <v>3</v>
      </c>
      <c r="L131" s="1" t="s">
        <v>124</v>
      </c>
      <c r="M131" s="1">
        <v>46.0</v>
      </c>
      <c r="N131" s="1" t="s">
        <v>3</v>
      </c>
      <c r="O131" s="4" t="s">
        <v>1430</v>
      </c>
      <c r="P131" s="4" t="s">
        <v>1431</v>
      </c>
    </row>
    <row r="132">
      <c r="A132" s="3" t="s">
        <v>586</v>
      </c>
      <c r="B132" s="5">
        <v>157280.0</v>
      </c>
      <c r="C132" s="3" t="s">
        <v>459</v>
      </c>
      <c r="D132" s="1">
        <v>0.0</v>
      </c>
      <c r="E132" s="3" t="s">
        <v>125</v>
      </c>
      <c r="F132" s="1">
        <v>19.0</v>
      </c>
      <c r="G132" s="3" t="s">
        <v>587</v>
      </c>
      <c r="H132" s="3" t="s">
        <v>1432</v>
      </c>
      <c r="I132" s="3" t="s">
        <v>74</v>
      </c>
      <c r="J132" s="1">
        <v>50.0</v>
      </c>
      <c r="K132" s="3" t="s">
        <v>587</v>
      </c>
      <c r="L132" s="3" t="s">
        <v>96</v>
      </c>
      <c r="M132" s="1">
        <v>47.0</v>
      </c>
      <c r="N132" s="3" t="s">
        <v>587</v>
      </c>
      <c r="O132" s="4" t="s">
        <v>1433</v>
      </c>
      <c r="P132" s="4" t="s">
        <v>1434</v>
      </c>
    </row>
    <row r="133">
      <c r="A133" s="1" t="s">
        <v>590</v>
      </c>
      <c r="B133" s="2">
        <v>118704.0</v>
      </c>
      <c r="C133" s="1" t="s">
        <v>459</v>
      </c>
      <c r="D133" s="1">
        <v>0.0</v>
      </c>
      <c r="E133" s="1" t="s">
        <v>96</v>
      </c>
      <c r="F133" s="1">
        <v>47.0</v>
      </c>
      <c r="G133" s="1" t="s">
        <v>591</v>
      </c>
      <c r="H133" s="3" t="s">
        <v>1435</v>
      </c>
      <c r="I133" s="1" t="s">
        <v>9</v>
      </c>
      <c r="J133" s="1">
        <v>5.0</v>
      </c>
      <c r="K133" s="1" t="s">
        <v>591</v>
      </c>
      <c r="L133" s="1" t="s">
        <v>7</v>
      </c>
      <c r="M133" s="1">
        <v>15.0</v>
      </c>
      <c r="N133" s="1" t="s">
        <v>591</v>
      </c>
      <c r="O133" s="4" t="s">
        <v>1436</v>
      </c>
      <c r="P133" s="4" t="s">
        <v>1437</v>
      </c>
    </row>
    <row r="134">
      <c r="A134" s="3" t="s">
        <v>595</v>
      </c>
      <c r="B134" s="5">
        <v>198278.0</v>
      </c>
      <c r="C134" s="3" t="s">
        <v>459</v>
      </c>
      <c r="D134" s="1">
        <v>0.0</v>
      </c>
      <c r="E134" s="3" t="s">
        <v>7</v>
      </c>
      <c r="F134" s="1">
        <v>15.0</v>
      </c>
      <c r="G134" s="3" t="s">
        <v>596</v>
      </c>
      <c r="H134" s="3" t="s">
        <v>1438</v>
      </c>
      <c r="I134" s="3" t="s">
        <v>125</v>
      </c>
      <c r="J134" s="1">
        <v>19.0</v>
      </c>
      <c r="K134" s="3" t="s">
        <v>596</v>
      </c>
      <c r="L134" s="3" t="s">
        <v>72</v>
      </c>
      <c r="M134" s="1">
        <v>34.0</v>
      </c>
      <c r="N134" s="3" t="s">
        <v>596</v>
      </c>
      <c r="O134" s="4" t="s">
        <v>1439</v>
      </c>
      <c r="P134" s="4" t="s">
        <v>1440</v>
      </c>
    </row>
    <row r="135">
      <c r="A135" s="3" t="s">
        <v>597</v>
      </c>
      <c r="B135" s="5">
        <v>320526.0</v>
      </c>
      <c r="C135" s="3" t="s">
        <v>459</v>
      </c>
      <c r="D135" s="1">
        <v>0.0</v>
      </c>
      <c r="E135" s="3" t="s">
        <v>20</v>
      </c>
      <c r="F135" s="1">
        <v>48.0</v>
      </c>
      <c r="G135" s="3" t="s">
        <v>598</v>
      </c>
      <c r="H135" s="3" t="s">
        <v>1441</v>
      </c>
      <c r="I135" s="3" t="s">
        <v>401</v>
      </c>
      <c r="J135" s="1">
        <v>38.0</v>
      </c>
      <c r="K135" s="3" t="s">
        <v>3</v>
      </c>
      <c r="L135" s="3" t="s">
        <v>465</v>
      </c>
      <c r="M135" s="1">
        <v>36.0</v>
      </c>
      <c r="N135" s="3" t="s">
        <v>3</v>
      </c>
      <c r="O135" s="4" t="s">
        <v>1442</v>
      </c>
      <c r="P135" s="4" t="s">
        <v>1443</v>
      </c>
    </row>
    <row r="136">
      <c r="A136" s="3" t="s">
        <v>609</v>
      </c>
      <c r="B136" s="5">
        <v>192335.0</v>
      </c>
      <c r="C136" s="3" t="s">
        <v>459</v>
      </c>
      <c r="D136" s="1">
        <v>0.0</v>
      </c>
      <c r="E136" s="3" t="s">
        <v>76</v>
      </c>
      <c r="F136" s="1">
        <v>24.0</v>
      </c>
      <c r="G136" s="3" t="s">
        <v>610</v>
      </c>
      <c r="H136" s="3" t="s">
        <v>1444</v>
      </c>
      <c r="I136" s="3" t="s">
        <v>7</v>
      </c>
      <c r="J136" s="1">
        <v>15.0</v>
      </c>
      <c r="K136" s="3" t="s">
        <v>610</v>
      </c>
      <c r="L136" s="3" t="s">
        <v>72</v>
      </c>
      <c r="M136" s="1">
        <v>34.0</v>
      </c>
      <c r="N136" s="3" t="s">
        <v>610</v>
      </c>
      <c r="O136" s="4" t="s">
        <v>1445</v>
      </c>
      <c r="P136" s="4" t="s">
        <v>1446</v>
      </c>
    </row>
    <row r="137">
      <c r="A137" s="3" t="s">
        <v>617</v>
      </c>
      <c r="B137" s="5">
        <v>150327.0</v>
      </c>
      <c r="C137" s="3" t="s">
        <v>459</v>
      </c>
      <c r="D137" s="1">
        <v>0.0</v>
      </c>
      <c r="E137" s="3" t="s">
        <v>7</v>
      </c>
      <c r="F137" s="1">
        <v>15.0</v>
      </c>
      <c r="G137" s="3" t="s">
        <v>618</v>
      </c>
      <c r="H137" s="3" t="s">
        <v>1447</v>
      </c>
      <c r="I137" s="3" t="s">
        <v>125</v>
      </c>
      <c r="J137" s="1">
        <v>19.0</v>
      </c>
      <c r="K137" s="3" t="s">
        <v>619</v>
      </c>
      <c r="L137" s="3" t="s">
        <v>9</v>
      </c>
      <c r="M137" s="1">
        <v>5.0</v>
      </c>
      <c r="N137" s="3" t="s">
        <v>619</v>
      </c>
      <c r="O137" s="4" t="s">
        <v>1448</v>
      </c>
      <c r="P137" s="4" t="s">
        <v>1449</v>
      </c>
    </row>
    <row r="138">
      <c r="A138" s="3" t="s">
        <v>622</v>
      </c>
      <c r="B138" s="5">
        <v>119813.0</v>
      </c>
      <c r="C138" s="3" t="s">
        <v>459</v>
      </c>
      <c r="D138" s="1">
        <v>0.0</v>
      </c>
      <c r="E138" s="3" t="s">
        <v>18</v>
      </c>
      <c r="F138" s="1">
        <v>22.0</v>
      </c>
      <c r="G138" s="3" t="s">
        <v>623</v>
      </c>
      <c r="H138" s="3" t="s">
        <v>1450</v>
      </c>
      <c r="I138" s="3" t="s">
        <v>21</v>
      </c>
      <c r="J138" s="1">
        <v>10.0</v>
      </c>
      <c r="K138" s="3" t="s">
        <v>624</v>
      </c>
      <c r="L138" s="3" t="s">
        <v>42</v>
      </c>
      <c r="M138" s="1">
        <v>14.0</v>
      </c>
      <c r="N138" s="3" t="s">
        <v>623</v>
      </c>
      <c r="O138" s="4" t="s">
        <v>1451</v>
      </c>
      <c r="P138" s="4" t="s">
        <v>1452</v>
      </c>
    </row>
    <row r="139">
      <c r="A139" s="3" t="s">
        <v>627</v>
      </c>
      <c r="B139" s="5">
        <v>304150.0</v>
      </c>
      <c r="C139" s="3" t="s">
        <v>459</v>
      </c>
      <c r="D139" s="1">
        <v>0.0</v>
      </c>
      <c r="E139" s="3" t="s">
        <v>76</v>
      </c>
      <c r="F139" s="1">
        <v>24.0</v>
      </c>
      <c r="G139" s="3" t="s">
        <v>628</v>
      </c>
      <c r="H139" s="3" t="s">
        <v>1453</v>
      </c>
      <c r="I139" s="3" t="s">
        <v>74</v>
      </c>
      <c r="J139" s="1">
        <v>50.0</v>
      </c>
      <c r="K139" s="3" t="s">
        <v>629</v>
      </c>
      <c r="L139" s="3" t="s">
        <v>10</v>
      </c>
      <c r="M139" s="1">
        <v>9.0</v>
      </c>
      <c r="N139" s="3" t="s">
        <v>629</v>
      </c>
      <c r="O139" s="4" t="s">
        <v>1454</v>
      </c>
      <c r="P139" s="4" t="s">
        <v>1455</v>
      </c>
    </row>
    <row r="140">
      <c r="A140" s="3" t="s">
        <v>630</v>
      </c>
      <c r="B140" s="5">
        <v>149804.0</v>
      </c>
      <c r="C140" s="3" t="s">
        <v>459</v>
      </c>
      <c r="D140" s="1">
        <v>0.0</v>
      </c>
      <c r="E140" s="3" t="s">
        <v>7</v>
      </c>
      <c r="F140" s="1">
        <v>15.0</v>
      </c>
      <c r="G140" s="3" t="s">
        <v>631</v>
      </c>
      <c r="H140" s="3" t="s">
        <v>1456</v>
      </c>
      <c r="I140" s="3" t="s">
        <v>125</v>
      </c>
      <c r="J140" s="1">
        <v>19.0</v>
      </c>
      <c r="K140" s="3" t="s">
        <v>632</v>
      </c>
      <c r="L140" s="3" t="s">
        <v>9</v>
      </c>
      <c r="M140" s="1">
        <v>5.0</v>
      </c>
      <c r="N140" s="3" t="s">
        <v>632</v>
      </c>
      <c r="O140" s="4" t="s">
        <v>1457</v>
      </c>
      <c r="P140" s="4" t="s">
        <v>1458</v>
      </c>
    </row>
    <row r="141">
      <c r="A141" s="3" t="s">
        <v>635</v>
      </c>
      <c r="B141" s="5">
        <v>311055.0</v>
      </c>
      <c r="C141" s="3" t="s">
        <v>459</v>
      </c>
      <c r="D141" s="1">
        <v>0.0</v>
      </c>
      <c r="E141" s="3" t="s">
        <v>7</v>
      </c>
      <c r="F141" s="1">
        <v>15.0</v>
      </c>
      <c r="G141" s="3" t="s">
        <v>636</v>
      </c>
      <c r="H141" s="3" t="s">
        <v>1459</v>
      </c>
      <c r="I141" s="3" t="s">
        <v>238</v>
      </c>
      <c r="J141" s="1">
        <v>37.0</v>
      </c>
      <c r="K141" s="3" t="s">
        <v>3</v>
      </c>
      <c r="L141" s="3" t="s">
        <v>465</v>
      </c>
      <c r="M141" s="1">
        <v>36.0</v>
      </c>
      <c r="N141" s="3" t="s">
        <v>3</v>
      </c>
      <c r="O141" s="4" t="s">
        <v>1460</v>
      </c>
      <c r="P141" s="4" t="s">
        <v>1461</v>
      </c>
    </row>
    <row r="142">
      <c r="A142" s="3" t="s">
        <v>641</v>
      </c>
      <c r="B142" s="5">
        <v>203347.0</v>
      </c>
      <c r="C142" s="3" t="s">
        <v>459</v>
      </c>
      <c r="D142" s="1">
        <v>0.0</v>
      </c>
      <c r="E142" s="3" t="s">
        <v>34</v>
      </c>
      <c r="F142" s="1">
        <v>8.0</v>
      </c>
      <c r="G142" s="3" t="s">
        <v>642</v>
      </c>
      <c r="H142" s="3" t="s">
        <v>1462</v>
      </c>
      <c r="I142" s="3" t="s">
        <v>72</v>
      </c>
      <c r="J142" s="1">
        <v>34.0</v>
      </c>
      <c r="K142" s="3" t="s">
        <v>642</v>
      </c>
      <c r="L142" s="3" t="s">
        <v>96</v>
      </c>
      <c r="M142" s="1">
        <v>47.0</v>
      </c>
      <c r="N142" s="3" t="s">
        <v>642</v>
      </c>
      <c r="O142" s="4" t="s">
        <v>1463</v>
      </c>
      <c r="P142" s="4" t="s">
        <v>1464</v>
      </c>
    </row>
    <row r="143">
      <c r="A143" s="3" t="s">
        <v>645</v>
      </c>
      <c r="B143" s="5">
        <v>148270.0</v>
      </c>
      <c r="C143" s="3" t="s">
        <v>459</v>
      </c>
      <c r="D143" s="1">
        <v>0.0</v>
      </c>
      <c r="E143" s="3" t="s">
        <v>18</v>
      </c>
      <c r="F143" s="1">
        <v>22.0</v>
      </c>
      <c r="G143" s="3" t="s">
        <v>646</v>
      </c>
      <c r="H143" s="3" t="s">
        <v>1465</v>
      </c>
      <c r="I143" s="3" t="s">
        <v>74</v>
      </c>
      <c r="J143" s="1">
        <v>50.0</v>
      </c>
      <c r="K143" s="3" t="s">
        <v>646</v>
      </c>
      <c r="L143" s="3" t="s">
        <v>76</v>
      </c>
      <c r="M143" s="1">
        <v>24.0</v>
      </c>
      <c r="N143" s="3" t="s">
        <v>646</v>
      </c>
      <c r="O143" s="4" t="s">
        <v>1466</v>
      </c>
      <c r="P143" s="4" t="s">
        <v>1467</v>
      </c>
    </row>
    <row r="144">
      <c r="A144" s="3" t="s">
        <v>647</v>
      </c>
      <c r="B144" s="5">
        <v>189122.0</v>
      </c>
      <c r="C144" s="3" t="s">
        <v>459</v>
      </c>
      <c r="D144" s="1">
        <v>0.0</v>
      </c>
      <c r="E144" s="3" t="s">
        <v>64</v>
      </c>
      <c r="F144" s="1">
        <v>30.0</v>
      </c>
      <c r="G144" s="3" t="s">
        <v>648</v>
      </c>
      <c r="H144" s="3" t="s">
        <v>1468</v>
      </c>
      <c r="I144" s="3" t="s">
        <v>111</v>
      </c>
      <c r="J144" s="1">
        <v>28.0</v>
      </c>
      <c r="K144" s="3" t="s">
        <v>648</v>
      </c>
      <c r="L144" s="3" t="s">
        <v>47</v>
      </c>
      <c r="M144" s="1">
        <v>27.0</v>
      </c>
      <c r="N144" s="3" t="s">
        <v>649</v>
      </c>
      <c r="O144" s="4" t="s">
        <v>1469</v>
      </c>
      <c r="P144" s="4" t="s">
        <v>1470</v>
      </c>
    </row>
    <row r="145">
      <c r="A145" s="3" t="s">
        <v>650</v>
      </c>
      <c r="B145" s="5">
        <v>318753.0</v>
      </c>
      <c r="C145" s="3" t="s">
        <v>459</v>
      </c>
      <c r="D145" s="1">
        <v>0.0</v>
      </c>
      <c r="E145" s="3" t="s">
        <v>64</v>
      </c>
      <c r="F145" s="1">
        <v>30.0</v>
      </c>
      <c r="G145" s="3" t="s">
        <v>651</v>
      </c>
      <c r="H145" s="3" t="s">
        <v>1471</v>
      </c>
      <c r="I145" s="3" t="s">
        <v>111</v>
      </c>
      <c r="J145" s="1">
        <v>28.0</v>
      </c>
      <c r="K145" s="3" t="s">
        <v>651</v>
      </c>
      <c r="L145" s="3" t="s">
        <v>47</v>
      </c>
      <c r="M145" s="1">
        <v>27.0</v>
      </c>
      <c r="N145" s="3" t="s">
        <v>651</v>
      </c>
      <c r="O145" s="4" t="s">
        <v>1472</v>
      </c>
      <c r="P145" s="4" t="s">
        <v>1473</v>
      </c>
    </row>
    <row r="146">
      <c r="A146" s="3" t="s">
        <v>652</v>
      </c>
      <c r="B146" s="5">
        <v>151566.0</v>
      </c>
      <c r="C146" s="3" t="s">
        <v>459</v>
      </c>
      <c r="D146" s="1">
        <v>0.0</v>
      </c>
      <c r="E146" s="3" t="s">
        <v>18</v>
      </c>
      <c r="F146" s="1">
        <v>22.0</v>
      </c>
      <c r="G146" s="3" t="s">
        <v>653</v>
      </c>
      <c r="H146" s="3" t="s">
        <v>1474</v>
      </c>
      <c r="I146" s="3" t="s">
        <v>64</v>
      </c>
      <c r="J146" s="1">
        <v>30.0</v>
      </c>
      <c r="K146" s="3" t="s">
        <v>653</v>
      </c>
      <c r="L146" s="3" t="s">
        <v>61</v>
      </c>
      <c r="M146" s="1">
        <v>31.0</v>
      </c>
      <c r="N146" s="3" t="s">
        <v>653</v>
      </c>
      <c r="O146" s="4" t="s">
        <v>1475</v>
      </c>
      <c r="P146" s="4" t="s">
        <v>1476</v>
      </c>
    </row>
    <row r="147">
      <c r="A147" s="3" t="s">
        <v>660</v>
      </c>
      <c r="B147" s="5">
        <v>310859.0</v>
      </c>
      <c r="C147" s="3" t="s">
        <v>459</v>
      </c>
      <c r="D147" s="1">
        <v>0.0</v>
      </c>
      <c r="E147" s="3" t="s">
        <v>7</v>
      </c>
      <c r="F147" s="1">
        <v>15.0</v>
      </c>
      <c r="G147" s="3" t="s">
        <v>661</v>
      </c>
      <c r="H147" s="3" t="s">
        <v>1477</v>
      </c>
      <c r="I147" s="3" t="s">
        <v>10</v>
      </c>
      <c r="J147" s="1">
        <v>9.0</v>
      </c>
      <c r="K147" s="3" t="s">
        <v>661</v>
      </c>
      <c r="L147" s="3" t="s">
        <v>28</v>
      </c>
      <c r="M147" s="1">
        <v>32.0</v>
      </c>
      <c r="N147" s="3" t="s">
        <v>661</v>
      </c>
      <c r="O147" s="4" t="s">
        <v>1478</v>
      </c>
      <c r="P147" s="4" t="s">
        <v>1479</v>
      </c>
    </row>
    <row r="148">
      <c r="A148" s="1" t="s">
        <v>667</v>
      </c>
      <c r="B148" s="2">
        <v>150437.0</v>
      </c>
      <c r="C148" s="1" t="s">
        <v>459</v>
      </c>
      <c r="D148" s="1">
        <v>0.0</v>
      </c>
      <c r="E148" s="1" t="s">
        <v>30</v>
      </c>
      <c r="F148" s="1">
        <v>13.0</v>
      </c>
      <c r="G148" s="1" t="s">
        <v>668</v>
      </c>
      <c r="H148" s="3" t="s">
        <v>1480</v>
      </c>
      <c r="I148" s="1" t="s">
        <v>114</v>
      </c>
      <c r="J148" s="1">
        <v>12.0</v>
      </c>
      <c r="K148" s="1" t="s">
        <v>668</v>
      </c>
      <c r="L148" s="1" t="s">
        <v>10</v>
      </c>
      <c r="M148" s="1">
        <v>9.0</v>
      </c>
      <c r="N148" s="1" t="s">
        <v>668</v>
      </c>
      <c r="O148" s="4" t="s">
        <v>1481</v>
      </c>
      <c r="P148" s="4" t="s">
        <v>1482</v>
      </c>
    </row>
    <row r="149">
      <c r="A149" s="3" t="s">
        <v>672</v>
      </c>
      <c r="B149" s="5">
        <v>178492.0</v>
      </c>
      <c r="C149" s="3" t="s">
        <v>459</v>
      </c>
      <c r="D149" s="1">
        <v>0.0</v>
      </c>
      <c r="E149" s="3" t="s">
        <v>109</v>
      </c>
      <c r="F149" s="1">
        <v>49.0</v>
      </c>
      <c r="G149" s="3" t="s">
        <v>673</v>
      </c>
      <c r="H149" s="3" t="s">
        <v>1483</v>
      </c>
      <c r="I149" s="3" t="s">
        <v>28</v>
      </c>
      <c r="J149" s="1">
        <v>32.0</v>
      </c>
      <c r="K149" s="3" t="s">
        <v>673</v>
      </c>
      <c r="L149" s="3" t="s">
        <v>35</v>
      </c>
      <c r="M149" s="1">
        <v>45.0</v>
      </c>
      <c r="N149" s="3" t="s">
        <v>673</v>
      </c>
      <c r="O149" s="4" t="s">
        <v>1484</v>
      </c>
      <c r="P149" s="4" t="s">
        <v>1485</v>
      </c>
    </row>
    <row r="150">
      <c r="A150" s="1" t="s">
        <v>678</v>
      </c>
      <c r="B150" s="2">
        <v>151672.0</v>
      </c>
      <c r="C150" s="1" t="s">
        <v>459</v>
      </c>
      <c r="D150" s="1">
        <v>0.0</v>
      </c>
      <c r="E150" s="1" t="s">
        <v>96</v>
      </c>
      <c r="F150" s="1">
        <v>47.0</v>
      </c>
      <c r="G150" s="1" t="s">
        <v>679</v>
      </c>
      <c r="H150" s="3" t="s">
        <v>1486</v>
      </c>
      <c r="I150" s="1" t="s">
        <v>124</v>
      </c>
      <c r="J150" s="1">
        <v>46.0</v>
      </c>
      <c r="K150" s="1" t="s">
        <v>679</v>
      </c>
      <c r="L150" s="1" t="s">
        <v>39</v>
      </c>
      <c r="M150" s="1">
        <v>20.0</v>
      </c>
      <c r="N150" s="1" t="s">
        <v>679</v>
      </c>
      <c r="O150" s="4" t="s">
        <v>1487</v>
      </c>
      <c r="P150" s="4" t="s">
        <v>1488</v>
      </c>
    </row>
    <row r="151">
      <c r="A151" s="3" t="s">
        <v>680</v>
      </c>
      <c r="B151" s="5">
        <v>180390.0</v>
      </c>
      <c r="C151" s="3" t="s">
        <v>459</v>
      </c>
      <c r="D151" s="1">
        <v>0.0</v>
      </c>
      <c r="E151" s="3" t="s">
        <v>7</v>
      </c>
      <c r="F151" s="1">
        <v>15.0</v>
      </c>
      <c r="G151" s="3" t="s">
        <v>681</v>
      </c>
      <c r="H151" s="3" t="s">
        <v>1489</v>
      </c>
      <c r="I151" s="3" t="s">
        <v>4</v>
      </c>
      <c r="J151" s="1">
        <v>23.0</v>
      </c>
      <c r="K151" s="3" t="s">
        <v>3</v>
      </c>
      <c r="L151" s="3" t="s">
        <v>42</v>
      </c>
      <c r="M151" s="1">
        <v>14.0</v>
      </c>
      <c r="N151" s="3" t="s">
        <v>3</v>
      </c>
      <c r="O151" s="4" t="s">
        <v>1490</v>
      </c>
      <c r="P151" s="4" t="s">
        <v>1491</v>
      </c>
    </row>
    <row r="152">
      <c r="A152" s="1" t="s">
        <v>686</v>
      </c>
      <c r="B152" s="2">
        <v>323044.0</v>
      </c>
      <c r="C152" s="1" t="s">
        <v>459</v>
      </c>
      <c r="D152" s="1">
        <v>0.0</v>
      </c>
      <c r="E152" s="1" t="s">
        <v>35</v>
      </c>
      <c r="F152" s="1">
        <v>45.0</v>
      </c>
      <c r="G152" s="1" t="s">
        <v>687</v>
      </c>
      <c r="H152" s="3" t="s">
        <v>1492</v>
      </c>
      <c r="I152" s="1" t="s">
        <v>111</v>
      </c>
      <c r="J152" s="1">
        <v>28.0</v>
      </c>
      <c r="K152" s="1" t="s">
        <v>687</v>
      </c>
      <c r="L152" s="1" t="s">
        <v>114</v>
      </c>
      <c r="M152" s="1">
        <v>12.0</v>
      </c>
      <c r="N152" s="1" t="s">
        <v>687</v>
      </c>
      <c r="O152" s="4" t="s">
        <v>1493</v>
      </c>
      <c r="P152" s="4" t="s">
        <v>1494</v>
      </c>
    </row>
    <row r="153">
      <c r="A153" s="3" t="s">
        <v>688</v>
      </c>
      <c r="B153" s="5">
        <v>192465.0</v>
      </c>
      <c r="C153" s="3" t="s">
        <v>459</v>
      </c>
      <c r="D153" s="1">
        <v>0.0</v>
      </c>
      <c r="E153" s="3" t="s">
        <v>35</v>
      </c>
      <c r="F153" s="1">
        <v>45.0</v>
      </c>
      <c r="G153" s="3" t="s">
        <v>689</v>
      </c>
      <c r="H153" s="3" t="s">
        <v>1495</v>
      </c>
      <c r="I153" s="3" t="s">
        <v>111</v>
      </c>
      <c r="J153" s="1">
        <v>28.0</v>
      </c>
      <c r="K153" s="3" t="s">
        <v>689</v>
      </c>
      <c r="L153" s="3" t="s">
        <v>114</v>
      </c>
      <c r="M153" s="1">
        <v>12.0</v>
      </c>
      <c r="N153" s="3" t="s">
        <v>689</v>
      </c>
      <c r="O153" s="4" t="s">
        <v>1496</v>
      </c>
      <c r="P153" s="4" t="s">
        <v>1497</v>
      </c>
    </row>
    <row r="154">
      <c r="A154" s="1" t="s">
        <v>693</v>
      </c>
      <c r="B154" s="2">
        <v>203326.0</v>
      </c>
      <c r="C154" s="1" t="s">
        <v>459</v>
      </c>
      <c r="D154" s="1">
        <v>0.0</v>
      </c>
      <c r="E154" s="1" t="s">
        <v>9</v>
      </c>
      <c r="F154" s="1">
        <v>5.0</v>
      </c>
      <c r="G154" s="1" t="s">
        <v>694</v>
      </c>
      <c r="H154" s="3" t="s">
        <v>1498</v>
      </c>
      <c r="I154" s="1" t="s">
        <v>74</v>
      </c>
      <c r="J154" s="1">
        <v>50.0</v>
      </c>
      <c r="K154" s="1" t="s">
        <v>694</v>
      </c>
      <c r="L154" s="1" t="s">
        <v>10</v>
      </c>
      <c r="M154" s="1">
        <v>9.0</v>
      </c>
      <c r="N154" s="1" t="s">
        <v>694</v>
      </c>
      <c r="O154" s="4" t="s">
        <v>1499</v>
      </c>
      <c r="P154" s="4" t="s">
        <v>1500</v>
      </c>
    </row>
    <row r="155">
      <c r="A155" s="3" t="s">
        <v>699</v>
      </c>
      <c r="B155" s="5">
        <v>149907.0</v>
      </c>
      <c r="C155" s="3" t="s">
        <v>459</v>
      </c>
      <c r="D155" s="1">
        <v>0.0</v>
      </c>
      <c r="E155" s="3" t="s">
        <v>74</v>
      </c>
      <c r="F155" s="1">
        <v>50.0</v>
      </c>
      <c r="G155" s="3" t="s">
        <v>700</v>
      </c>
      <c r="H155" s="3" t="s">
        <v>1501</v>
      </c>
      <c r="I155" s="3" t="s">
        <v>76</v>
      </c>
      <c r="J155" s="1">
        <v>24.0</v>
      </c>
      <c r="K155" s="3" t="s">
        <v>700</v>
      </c>
      <c r="L155" s="3" t="s">
        <v>7</v>
      </c>
      <c r="M155" s="1">
        <v>15.0</v>
      </c>
      <c r="N155" s="3" t="s">
        <v>700</v>
      </c>
      <c r="O155" s="4" t="s">
        <v>1502</v>
      </c>
      <c r="P155" s="4" t="s">
        <v>1503</v>
      </c>
    </row>
    <row r="156">
      <c r="A156" s="3" t="s">
        <v>705</v>
      </c>
      <c r="B156" s="5">
        <v>311782.0</v>
      </c>
      <c r="C156" s="3" t="s">
        <v>459</v>
      </c>
      <c r="D156" s="1">
        <v>0.0</v>
      </c>
      <c r="E156" s="3" t="s">
        <v>184</v>
      </c>
      <c r="F156" s="1">
        <v>4.0</v>
      </c>
      <c r="G156" s="3" t="s">
        <v>706</v>
      </c>
      <c r="H156" s="3" t="s">
        <v>1504</v>
      </c>
      <c r="I156" s="3" t="s">
        <v>64</v>
      </c>
      <c r="J156" s="1">
        <v>30.0</v>
      </c>
      <c r="K156" s="3" t="s">
        <v>706</v>
      </c>
      <c r="L156" s="3" t="s">
        <v>111</v>
      </c>
      <c r="M156" s="1">
        <v>28.0</v>
      </c>
      <c r="N156" s="3" t="s">
        <v>706</v>
      </c>
      <c r="O156" s="4" t="s">
        <v>1505</v>
      </c>
      <c r="P156" s="4" t="s">
        <v>1506</v>
      </c>
    </row>
    <row r="157">
      <c r="A157" s="1" t="s">
        <v>713</v>
      </c>
      <c r="B157" s="2">
        <v>152330.0</v>
      </c>
      <c r="C157" s="1" t="s">
        <v>459</v>
      </c>
      <c r="D157" s="1">
        <v>0.0</v>
      </c>
      <c r="E157" s="1" t="s">
        <v>20</v>
      </c>
      <c r="F157" s="1">
        <v>48.0</v>
      </c>
      <c r="G157" s="1" t="s">
        <v>714</v>
      </c>
      <c r="H157" s="3" t="s">
        <v>1507</v>
      </c>
      <c r="I157" s="1" t="s">
        <v>25</v>
      </c>
      <c r="J157" s="1">
        <v>18.0</v>
      </c>
      <c r="K157" s="1" t="s">
        <v>714</v>
      </c>
      <c r="L157" s="1" t="s">
        <v>34</v>
      </c>
      <c r="M157" s="1">
        <v>8.0</v>
      </c>
      <c r="N157" s="1" t="s">
        <v>714</v>
      </c>
      <c r="O157" s="4" t="s">
        <v>1508</v>
      </c>
      <c r="P157" s="4" t="s">
        <v>1509</v>
      </c>
    </row>
    <row r="158">
      <c r="A158" s="3" t="s">
        <v>719</v>
      </c>
      <c r="B158" s="5">
        <v>152069.0</v>
      </c>
      <c r="C158" s="3" t="s">
        <v>459</v>
      </c>
      <c r="D158" s="1">
        <v>0.0</v>
      </c>
      <c r="E158" s="3" t="s">
        <v>21</v>
      </c>
      <c r="F158" s="1">
        <v>10.0</v>
      </c>
      <c r="G158" s="3" t="s">
        <v>720</v>
      </c>
      <c r="H158" s="3" t="s">
        <v>1510</v>
      </c>
      <c r="I158" s="3" t="s">
        <v>114</v>
      </c>
      <c r="J158" s="1">
        <v>12.0</v>
      </c>
      <c r="K158" s="3" t="s">
        <v>720</v>
      </c>
      <c r="L158" s="3" t="s">
        <v>30</v>
      </c>
      <c r="M158" s="1">
        <v>13.0</v>
      </c>
      <c r="N158" s="3" t="s">
        <v>720</v>
      </c>
      <c r="O158" s="4" t="s">
        <v>1511</v>
      </c>
      <c r="P158" s="4" t="s">
        <v>1512</v>
      </c>
    </row>
    <row r="159">
      <c r="A159" s="3" t="s">
        <v>728</v>
      </c>
      <c r="B159" s="5">
        <v>150726.0</v>
      </c>
      <c r="C159" s="3" t="s">
        <v>459</v>
      </c>
      <c r="D159" s="1">
        <v>0.0</v>
      </c>
      <c r="E159" s="3" t="s">
        <v>7</v>
      </c>
      <c r="F159" s="1">
        <v>15.0</v>
      </c>
      <c r="G159" s="3" t="s">
        <v>729</v>
      </c>
      <c r="H159" s="3" t="s">
        <v>1513</v>
      </c>
      <c r="I159" s="3" t="s">
        <v>309</v>
      </c>
      <c r="J159" s="1">
        <v>40.0</v>
      </c>
      <c r="K159" s="3" t="s">
        <v>3</v>
      </c>
      <c r="L159" s="3" t="s">
        <v>21</v>
      </c>
      <c r="M159" s="1">
        <v>10.0</v>
      </c>
      <c r="N159" s="3" t="s">
        <v>455</v>
      </c>
      <c r="O159" s="4" t="s">
        <v>1514</v>
      </c>
      <c r="P159" s="4" t="s">
        <v>1515</v>
      </c>
    </row>
    <row r="160">
      <c r="A160" s="3" t="s">
        <v>736</v>
      </c>
      <c r="B160" s="5">
        <v>151773.0</v>
      </c>
      <c r="C160" s="3" t="s">
        <v>459</v>
      </c>
      <c r="D160" s="1">
        <v>0.0</v>
      </c>
      <c r="E160" s="3" t="s">
        <v>72</v>
      </c>
      <c r="F160" s="1">
        <v>34.0</v>
      </c>
      <c r="G160" s="3" t="s">
        <v>737</v>
      </c>
      <c r="H160" s="3" t="s">
        <v>1516</v>
      </c>
      <c r="I160" s="3" t="s">
        <v>12</v>
      </c>
      <c r="J160" s="1">
        <v>41.0</v>
      </c>
      <c r="K160" s="3" t="s">
        <v>3</v>
      </c>
      <c r="L160" s="3" t="s">
        <v>96</v>
      </c>
      <c r="M160" s="1">
        <v>47.0</v>
      </c>
      <c r="N160" s="3" t="s">
        <v>3</v>
      </c>
      <c r="O160" s="4" t="s">
        <v>1517</v>
      </c>
      <c r="P160" s="4" t="s">
        <v>1518</v>
      </c>
    </row>
    <row r="161">
      <c r="A161" s="3" t="s">
        <v>742</v>
      </c>
      <c r="B161" s="5">
        <v>188888.0</v>
      </c>
      <c r="C161" s="3" t="s">
        <v>459</v>
      </c>
      <c r="D161" s="1">
        <v>0.0</v>
      </c>
      <c r="E161" s="3" t="s">
        <v>76</v>
      </c>
      <c r="F161" s="1">
        <v>24.0</v>
      </c>
      <c r="G161" s="3" t="s">
        <v>743</v>
      </c>
      <c r="H161" s="3" t="s">
        <v>1519</v>
      </c>
      <c r="I161" s="3" t="s">
        <v>74</v>
      </c>
      <c r="J161" s="1">
        <v>50.0</v>
      </c>
      <c r="K161" s="3" t="s">
        <v>743</v>
      </c>
      <c r="L161" s="3" t="s">
        <v>10</v>
      </c>
      <c r="M161" s="1">
        <v>9.0</v>
      </c>
      <c r="N161" s="3" t="s">
        <v>743</v>
      </c>
      <c r="O161" s="4" t="s">
        <v>1520</v>
      </c>
      <c r="P161" s="4" t="s">
        <v>1521</v>
      </c>
    </row>
    <row r="162">
      <c r="A162" s="3" t="s">
        <v>747</v>
      </c>
      <c r="B162" s="5">
        <v>151671.0</v>
      </c>
      <c r="C162" s="3" t="s">
        <v>459</v>
      </c>
      <c r="D162" s="1">
        <v>0.0</v>
      </c>
      <c r="E162" s="3" t="s">
        <v>238</v>
      </c>
      <c r="F162" s="1">
        <v>37.0</v>
      </c>
      <c r="G162" s="3" t="s">
        <v>748</v>
      </c>
      <c r="H162" s="3" t="s">
        <v>1522</v>
      </c>
      <c r="I162" s="3" t="s">
        <v>7</v>
      </c>
      <c r="J162" s="1">
        <v>15.0</v>
      </c>
      <c r="K162" s="3" t="s">
        <v>749</v>
      </c>
      <c r="L162" s="3" t="s">
        <v>109</v>
      </c>
      <c r="M162" s="1">
        <v>49.0</v>
      </c>
      <c r="N162" s="3" t="s">
        <v>749</v>
      </c>
      <c r="O162" s="4" t="s">
        <v>1523</v>
      </c>
      <c r="P162" s="4" t="s">
        <v>1524</v>
      </c>
    </row>
    <row r="163">
      <c r="A163" s="3" t="s">
        <v>753</v>
      </c>
      <c r="B163" s="5">
        <v>205730.0</v>
      </c>
      <c r="C163" s="3" t="s">
        <v>459</v>
      </c>
      <c r="D163" s="1">
        <v>0.0</v>
      </c>
      <c r="E163" s="3" t="s">
        <v>109</v>
      </c>
      <c r="F163" s="1">
        <v>49.0</v>
      </c>
      <c r="G163" s="3" t="s">
        <v>754</v>
      </c>
      <c r="H163" s="3" t="s">
        <v>1525</v>
      </c>
      <c r="I163" s="3" t="s">
        <v>47</v>
      </c>
      <c r="J163" s="1">
        <v>27.0</v>
      </c>
      <c r="K163" s="3" t="s">
        <v>754</v>
      </c>
      <c r="L163" s="3" t="s">
        <v>139</v>
      </c>
      <c r="M163" s="1">
        <v>21.0</v>
      </c>
      <c r="N163" s="3" t="s">
        <v>754</v>
      </c>
      <c r="O163" s="4" t="s">
        <v>1526</v>
      </c>
      <c r="P163" s="4" t="s">
        <v>1527</v>
      </c>
    </row>
    <row r="164">
      <c r="A164" s="3" t="s">
        <v>755</v>
      </c>
      <c r="B164" s="5">
        <v>317849.0</v>
      </c>
      <c r="C164" s="3" t="s">
        <v>459</v>
      </c>
      <c r="D164" s="1">
        <v>0.0</v>
      </c>
      <c r="E164" s="3" t="s">
        <v>96</v>
      </c>
      <c r="F164" s="1">
        <v>47.0</v>
      </c>
      <c r="G164" s="3" t="s">
        <v>756</v>
      </c>
      <c r="H164" s="3" t="s">
        <v>1528</v>
      </c>
      <c r="I164" s="3" t="s">
        <v>20</v>
      </c>
      <c r="J164" s="1">
        <v>48.0</v>
      </c>
      <c r="K164" s="3" t="s">
        <v>757</v>
      </c>
      <c r="L164" s="3" t="s">
        <v>12</v>
      </c>
      <c r="M164" s="1">
        <v>41.0</v>
      </c>
      <c r="N164" s="3" t="s">
        <v>758</v>
      </c>
      <c r="O164" s="4" t="s">
        <v>1529</v>
      </c>
      <c r="P164" s="4" t="s">
        <v>1530</v>
      </c>
    </row>
    <row r="165">
      <c r="A165" s="3" t="s">
        <v>765</v>
      </c>
      <c r="B165" s="5">
        <v>150359.0</v>
      </c>
      <c r="C165" s="3" t="s">
        <v>459</v>
      </c>
      <c r="D165" s="1">
        <v>0.0</v>
      </c>
      <c r="E165" s="3" t="s">
        <v>20</v>
      </c>
      <c r="F165" s="1">
        <v>48.0</v>
      </c>
      <c r="G165" s="3" t="s">
        <v>766</v>
      </c>
      <c r="H165" s="3" t="s">
        <v>1531</v>
      </c>
      <c r="I165" s="3" t="s">
        <v>35</v>
      </c>
      <c r="J165" s="1">
        <v>45.0</v>
      </c>
      <c r="K165" s="3" t="s">
        <v>766</v>
      </c>
      <c r="L165" s="3" t="s">
        <v>18</v>
      </c>
      <c r="M165" s="1">
        <v>22.0</v>
      </c>
      <c r="N165" s="3" t="s">
        <v>766</v>
      </c>
      <c r="O165" s="4" t="s">
        <v>1532</v>
      </c>
      <c r="P165" s="4" t="s">
        <v>1533</v>
      </c>
    </row>
    <row r="166">
      <c r="A166" s="1" t="s">
        <v>770</v>
      </c>
      <c r="B166" s="2">
        <v>118943.0</v>
      </c>
      <c r="C166" s="1" t="s">
        <v>459</v>
      </c>
      <c r="D166" s="1">
        <v>0.0</v>
      </c>
      <c r="E166" s="1" t="s">
        <v>111</v>
      </c>
      <c r="F166" s="1">
        <v>28.0</v>
      </c>
      <c r="G166" s="1" t="s">
        <v>771</v>
      </c>
      <c r="H166" s="3" t="s">
        <v>1534</v>
      </c>
      <c r="I166" s="1" t="s">
        <v>76</v>
      </c>
      <c r="J166" s="1">
        <v>24.0</v>
      </c>
      <c r="K166" s="1" t="s">
        <v>771</v>
      </c>
      <c r="L166" s="1" t="s">
        <v>114</v>
      </c>
      <c r="M166" s="1">
        <v>12.0</v>
      </c>
      <c r="N166" s="1" t="s">
        <v>771</v>
      </c>
      <c r="O166" s="4" t="s">
        <v>1535</v>
      </c>
      <c r="P166" s="4" t="s">
        <v>1536</v>
      </c>
    </row>
    <row r="167">
      <c r="A167" s="3" t="s">
        <v>776</v>
      </c>
      <c r="B167" s="5">
        <v>136461.0</v>
      </c>
      <c r="C167" s="3" t="s">
        <v>459</v>
      </c>
      <c r="D167" s="1">
        <v>0.0</v>
      </c>
      <c r="E167" s="3" t="s">
        <v>96</v>
      </c>
      <c r="F167" s="1">
        <v>47.0</v>
      </c>
      <c r="G167" s="3" t="s">
        <v>777</v>
      </c>
      <c r="H167" s="3" t="s">
        <v>1537</v>
      </c>
      <c r="I167" s="3" t="s">
        <v>76</v>
      </c>
      <c r="J167" s="1">
        <v>24.0</v>
      </c>
      <c r="K167" s="3" t="s">
        <v>777</v>
      </c>
      <c r="L167" s="3" t="s">
        <v>74</v>
      </c>
      <c r="M167" s="1">
        <v>50.0</v>
      </c>
      <c r="N167" s="3" t="s">
        <v>777</v>
      </c>
      <c r="O167" s="4" t="s">
        <v>1538</v>
      </c>
      <c r="P167" s="4" t="s">
        <v>1539</v>
      </c>
    </row>
    <row r="292">
      <c r="A292" s="3"/>
      <c r="B292" s="5"/>
      <c r="C292" s="3"/>
      <c r="D292" s="1"/>
      <c r="E292" s="3"/>
      <c r="F292" s="1"/>
      <c r="G292" s="3"/>
      <c r="H292" s="3"/>
      <c r="I292" s="3"/>
      <c r="J292" s="1"/>
      <c r="K292" s="3"/>
      <c r="L292" s="3"/>
      <c r="M292" s="1"/>
      <c r="N292" s="3"/>
    </row>
    <row r="293">
      <c r="A293" s="1"/>
      <c r="B293" s="2"/>
      <c r="C293" s="1"/>
      <c r="D293" s="1"/>
      <c r="E293" s="1"/>
      <c r="F293" s="1"/>
      <c r="G293" s="1"/>
      <c r="H293" s="3"/>
      <c r="I293" s="1"/>
      <c r="J293" s="1"/>
      <c r="K293" s="1"/>
      <c r="L293" s="1"/>
      <c r="M293" s="1"/>
      <c r="N293" s="1"/>
    </row>
    <row r="294">
      <c r="A294" s="3"/>
      <c r="B294" s="5"/>
      <c r="C294" s="3"/>
      <c r="D294" s="1"/>
      <c r="E294" s="3"/>
      <c r="F294" s="1"/>
      <c r="G294" s="3"/>
      <c r="H294" s="3"/>
      <c r="I294" s="3"/>
      <c r="J294" s="1"/>
      <c r="K294" s="3"/>
      <c r="L294" s="3"/>
      <c r="M294" s="1"/>
      <c r="N294" s="3"/>
    </row>
    <row r="295">
      <c r="A295" s="3"/>
      <c r="B295" s="5"/>
      <c r="C295" s="3"/>
      <c r="D295" s="1"/>
      <c r="E295" s="3"/>
      <c r="F295" s="1"/>
      <c r="G295" s="3"/>
      <c r="H295" s="3"/>
      <c r="I295" s="3"/>
      <c r="J295" s="1"/>
      <c r="K295" s="3"/>
      <c r="L295" s="3"/>
      <c r="M295" s="1"/>
      <c r="N295" s="3"/>
    </row>
    <row r="296">
      <c r="A296" s="3"/>
      <c r="B296" s="5"/>
      <c r="C296" s="3"/>
      <c r="D296" s="1"/>
      <c r="E296" s="3"/>
      <c r="F296" s="1"/>
      <c r="G296" s="3"/>
      <c r="H296" s="3"/>
      <c r="I296" s="3"/>
      <c r="J296" s="1"/>
      <c r="K296" s="3"/>
      <c r="L296" s="3"/>
      <c r="M296" s="1"/>
      <c r="N296" s="3"/>
    </row>
    <row r="297">
      <c r="A297" s="3"/>
      <c r="B297" s="5"/>
      <c r="C297" s="3"/>
      <c r="D297" s="1"/>
      <c r="E297" s="3"/>
      <c r="F297" s="1"/>
      <c r="G297" s="3"/>
      <c r="H297" s="3"/>
      <c r="I297" s="3"/>
      <c r="J297" s="1"/>
      <c r="K297" s="3"/>
      <c r="L297" s="3"/>
      <c r="M297" s="1"/>
      <c r="N297" s="3"/>
    </row>
    <row r="298">
      <c r="A298" s="3"/>
      <c r="B298" s="5"/>
      <c r="C298" s="3"/>
      <c r="D298" s="1"/>
      <c r="E298" s="3"/>
      <c r="F298" s="1"/>
      <c r="G298" s="3"/>
      <c r="H298" s="3"/>
      <c r="I298" s="3"/>
      <c r="J298" s="1"/>
      <c r="K298" s="3"/>
      <c r="L298" s="3"/>
      <c r="M298" s="1"/>
      <c r="N298" s="3"/>
    </row>
    <row r="299">
      <c r="A299" s="1"/>
      <c r="B299" s="2"/>
      <c r="C299" s="1"/>
      <c r="D299" s="1"/>
      <c r="E299" s="1"/>
      <c r="F299" s="1"/>
      <c r="G299" s="1"/>
      <c r="H299" s="3"/>
      <c r="I299" s="1"/>
      <c r="J299" s="1"/>
      <c r="K299" s="1"/>
      <c r="L299" s="1"/>
      <c r="M299" s="1"/>
      <c r="N299" s="1"/>
    </row>
    <row r="300">
      <c r="A300" s="1"/>
      <c r="B300" s="2"/>
      <c r="C300" s="1"/>
      <c r="D300" s="1"/>
      <c r="E300" s="1"/>
      <c r="F300" s="1"/>
      <c r="G300" s="1"/>
      <c r="H300" s="3"/>
      <c r="I300" s="1"/>
      <c r="J300" s="1"/>
      <c r="K300" s="1"/>
      <c r="L300" s="1"/>
      <c r="M300" s="1"/>
      <c r="N300" s="1"/>
    </row>
    <row r="301">
      <c r="A301" s="3"/>
      <c r="B301" s="5"/>
      <c r="C301" s="3"/>
      <c r="D301" s="1"/>
      <c r="E301" s="3"/>
      <c r="F301" s="1"/>
      <c r="G301" s="3"/>
      <c r="H301" s="3"/>
      <c r="I301" s="3"/>
      <c r="J301" s="1"/>
      <c r="K301" s="3"/>
      <c r="L301" s="3"/>
      <c r="M301" s="1"/>
      <c r="N301" s="3"/>
    </row>
    <row r="302">
      <c r="A302" s="1"/>
      <c r="B302" s="2"/>
      <c r="C302" s="1"/>
      <c r="D302" s="1"/>
      <c r="E302" s="1"/>
      <c r="F302" s="1"/>
      <c r="G302" s="1"/>
      <c r="H302" s="3"/>
      <c r="I302" s="1"/>
      <c r="J302" s="1"/>
      <c r="K302" s="1"/>
      <c r="L302" s="1"/>
      <c r="M302" s="1"/>
      <c r="N302" s="1"/>
    </row>
    <row r="303">
      <c r="A303" s="3"/>
      <c r="B303" s="5"/>
      <c r="C303" s="3"/>
      <c r="D303" s="1"/>
      <c r="E303" s="3"/>
      <c r="F303" s="1"/>
      <c r="G303" s="3"/>
      <c r="H303" s="3"/>
      <c r="I303" s="3"/>
      <c r="J303" s="1"/>
      <c r="K303" s="3"/>
      <c r="L303" s="3"/>
      <c r="M303" s="1"/>
      <c r="N303" s="3"/>
    </row>
    <row r="304">
      <c r="A304" s="3"/>
      <c r="B304" s="5"/>
      <c r="C304" s="3"/>
      <c r="D304" s="1"/>
      <c r="E304" s="3"/>
      <c r="F304" s="1"/>
      <c r="G304" s="3"/>
      <c r="H304" s="3"/>
      <c r="I304" s="3"/>
      <c r="J304" s="1"/>
      <c r="K304" s="3"/>
      <c r="L304" s="3"/>
      <c r="M304" s="1"/>
      <c r="N304" s="3"/>
    </row>
    <row r="305">
      <c r="A305" s="3"/>
      <c r="B305" s="5"/>
      <c r="C305" s="3"/>
      <c r="D305" s="1"/>
      <c r="E305" s="3"/>
      <c r="F305" s="1"/>
      <c r="G305" s="3"/>
      <c r="H305" s="3"/>
      <c r="I305" s="3"/>
      <c r="J305" s="1"/>
      <c r="K305" s="3"/>
      <c r="L305" s="3"/>
      <c r="M305" s="1"/>
      <c r="N305" s="3"/>
    </row>
    <row r="306">
      <c r="A306" s="3"/>
      <c r="B306" s="5"/>
      <c r="C306" s="3"/>
      <c r="D306" s="1"/>
      <c r="E306" s="3"/>
      <c r="F306" s="1"/>
      <c r="G306" s="3"/>
      <c r="H306" s="3"/>
      <c r="I306" s="3"/>
      <c r="J306" s="1"/>
      <c r="K306" s="3"/>
      <c r="L306" s="3"/>
      <c r="M306" s="1"/>
      <c r="N306" s="3"/>
    </row>
    <row r="307">
      <c r="A307" s="3"/>
      <c r="B307" s="5"/>
      <c r="C307" s="3"/>
      <c r="D307" s="1"/>
      <c r="E307" s="3"/>
      <c r="F307" s="1"/>
      <c r="G307" s="3"/>
      <c r="H307" s="3"/>
      <c r="I307" s="3"/>
      <c r="J307" s="1"/>
      <c r="K307" s="3"/>
      <c r="L307" s="3"/>
      <c r="M307" s="1"/>
      <c r="N307" s="3"/>
    </row>
    <row r="308">
      <c r="A308" s="3"/>
      <c r="B308" s="5"/>
      <c r="C308" s="3"/>
      <c r="D308" s="1"/>
      <c r="E308" s="3"/>
      <c r="F308" s="1"/>
      <c r="G308" s="3"/>
      <c r="H308" s="3"/>
      <c r="I308" s="3"/>
      <c r="J308" s="1"/>
      <c r="K308" s="3"/>
      <c r="L308" s="3"/>
      <c r="M308" s="1"/>
      <c r="N308" s="3"/>
    </row>
    <row r="309">
      <c r="A309" s="1"/>
      <c r="B309" s="2"/>
      <c r="C309" s="1"/>
      <c r="D309" s="1"/>
      <c r="E309" s="1"/>
      <c r="F309" s="1"/>
      <c r="G309" s="1"/>
      <c r="H309" s="3"/>
      <c r="I309" s="1"/>
      <c r="J309" s="1"/>
      <c r="K309" s="1"/>
      <c r="L309" s="1"/>
      <c r="M309" s="1"/>
      <c r="N309" s="1"/>
    </row>
    <row r="310">
      <c r="A310" s="3"/>
      <c r="B310" s="5"/>
      <c r="C310" s="3"/>
      <c r="D310" s="1"/>
      <c r="E310" s="3"/>
      <c r="F310" s="1"/>
      <c r="G310" s="3"/>
      <c r="H310" s="3"/>
      <c r="I310" s="3"/>
      <c r="J310" s="1"/>
      <c r="K310" s="3"/>
      <c r="L310" s="3"/>
      <c r="M310" s="1"/>
      <c r="N310" s="3"/>
    </row>
    <row r="311">
      <c r="A311" s="3"/>
      <c r="B311" s="5"/>
      <c r="C311" s="3"/>
      <c r="D311" s="1"/>
      <c r="E311" s="3"/>
      <c r="F311" s="1"/>
      <c r="G311" s="3"/>
      <c r="H311" s="3"/>
      <c r="I311" s="3"/>
      <c r="J311" s="1"/>
      <c r="K311" s="3"/>
      <c r="L311" s="3"/>
      <c r="M311" s="1"/>
      <c r="N311" s="3"/>
    </row>
    <row r="312">
      <c r="A312" s="3"/>
      <c r="B312" s="5"/>
      <c r="C312" s="3"/>
      <c r="D312" s="1"/>
      <c r="E312" s="3"/>
      <c r="F312" s="1"/>
      <c r="G312" s="3"/>
      <c r="H312" s="3"/>
      <c r="I312" s="3"/>
      <c r="J312" s="1"/>
      <c r="K312" s="3"/>
      <c r="L312" s="3"/>
      <c r="M312" s="1"/>
      <c r="N312" s="3"/>
    </row>
    <row r="313">
      <c r="A313" s="3"/>
      <c r="B313" s="5"/>
      <c r="C313" s="3"/>
      <c r="D313" s="1"/>
      <c r="E313" s="3"/>
      <c r="F313" s="1"/>
      <c r="G313" s="3"/>
      <c r="H313" s="3"/>
      <c r="I313" s="3"/>
      <c r="J313" s="1"/>
      <c r="K313" s="3"/>
      <c r="L313" s="3"/>
      <c r="M313" s="1"/>
      <c r="N313" s="3"/>
    </row>
    <row r="314">
      <c r="A314" s="3"/>
      <c r="B314" s="5"/>
      <c r="C314" s="3"/>
      <c r="D314" s="1"/>
      <c r="E314" s="3"/>
      <c r="F314" s="1"/>
      <c r="G314" s="3"/>
      <c r="H314" s="3"/>
      <c r="I314" s="3"/>
      <c r="J314" s="1"/>
      <c r="K314" s="3"/>
      <c r="L314" s="3"/>
      <c r="M314" s="1"/>
      <c r="N314" s="3"/>
    </row>
    <row r="315">
      <c r="A315" s="3"/>
      <c r="B315" s="5"/>
      <c r="C315" s="3"/>
      <c r="D315" s="1"/>
      <c r="E315" s="3"/>
      <c r="F315" s="1"/>
      <c r="G315" s="3"/>
      <c r="H315" s="3"/>
      <c r="I315" s="3"/>
      <c r="J315" s="1"/>
      <c r="K315" s="3"/>
      <c r="L315" s="3"/>
      <c r="M315" s="1"/>
      <c r="N315" s="3"/>
    </row>
    <row r="316">
      <c r="A316" s="3"/>
      <c r="B316" s="5"/>
      <c r="C316" s="3"/>
      <c r="D316" s="1"/>
      <c r="E316" s="3"/>
      <c r="F316" s="1"/>
      <c r="G316" s="3"/>
      <c r="H316" s="3"/>
      <c r="I316" s="3"/>
      <c r="J316" s="1"/>
      <c r="K316" s="3"/>
      <c r="L316" s="3"/>
      <c r="M316" s="1"/>
      <c r="N316" s="3"/>
    </row>
    <row r="317">
      <c r="A317" s="3"/>
      <c r="B317" s="5"/>
      <c r="C317" s="3"/>
      <c r="D317" s="1"/>
      <c r="E317" s="3"/>
      <c r="F317" s="1"/>
      <c r="G317" s="3"/>
      <c r="H317" s="3"/>
      <c r="I317" s="3"/>
      <c r="J317" s="1"/>
      <c r="K317" s="3"/>
      <c r="L317" s="3"/>
      <c r="M317" s="1"/>
      <c r="N317" s="3"/>
    </row>
    <row r="318">
      <c r="A318" s="1"/>
      <c r="B318" s="2"/>
      <c r="C318" s="1"/>
      <c r="D318" s="1"/>
      <c r="E318" s="1"/>
      <c r="F318" s="1"/>
      <c r="G318" s="1"/>
      <c r="H318" s="3"/>
      <c r="I318" s="1"/>
      <c r="J318" s="1"/>
      <c r="K318" s="1"/>
      <c r="L318" s="1"/>
      <c r="M318" s="1"/>
      <c r="N318" s="1"/>
    </row>
    <row r="319">
      <c r="A319" s="3"/>
      <c r="B319" s="5"/>
      <c r="C319" s="3"/>
      <c r="D319" s="1"/>
      <c r="E319" s="3"/>
      <c r="F319" s="1"/>
      <c r="G319" s="3"/>
      <c r="H319" s="3"/>
      <c r="I319" s="3"/>
      <c r="J319" s="1"/>
      <c r="K319" s="3"/>
      <c r="L319" s="3"/>
      <c r="M319" s="1"/>
      <c r="N319" s="3"/>
    </row>
    <row r="320">
      <c r="A320" s="3"/>
      <c r="B320" s="5"/>
      <c r="C320" s="3"/>
      <c r="D320" s="1"/>
      <c r="E320" s="3"/>
      <c r="F320" s="1"/>
      <c r="G320" s="3"/>
      <c r="H320" s="3"/>
      <c r="I320" s="3"/>
      <c r="J320" s="1"/>
      <c r="K320" s="3"/>
      <c r="L320" s="3"/>
      <c r="M320" s="1"/>
      <c r="N320" s="3"/>
    </row>
    <row r="321">
      <c r="A321" s="3"/>
      <c r="B321" s="5"/>
      <c r="C321" s="3"/>
      <c r="D321" s="1"/>
      <c r="E321" s="3"/>
      <c r="F321" s="1"/>
      <c r="G321" s="3"/>
      <c r="H321" s="3"/>
      <c r="I321" s="3"/>
      <c r="J321" s="1"/>
      <c r="K321" s="3"/>
      <c r="L321" s="3"/>
      <c r="M321" s="1"/>
      <c r="N321" s="3"/>
    </row>
    <row r="322">
      <c r="A322" s="1"/>
      <c r="B322" s="2"/>
      <c r="C322" s="1"/>
      <c r="D322" s="1"/>
      <c r="E322" s="1"/>
      <c r="F322" s="1"/>
      <c r="G322" s="1"/>
      <c r="H322" s="3"/>
      <c r="I322" s="1"/>
      <c r="J322" s="1"/>
      <c r="K322" s="1"/>
      <c r="L322" s="1"/>
      <c r="M322" s="1"/>
      <c r="N322" s="1"/>
    </row>
    <row r="323">
      <c r="A323" s="1"/>
      <c r="B323" s="2"/>
      <c r="C323" s="1"/>
      <c r="D323" s="1"/>
      <c r="E323" s="1"/>
      <c r="F323" s="1"/>
      <c r="G323" s="1"/>
      <c r="H323" s="3"/>
      <c r="I323" s="1"/>
      <c r="J323" s="1"/>
      <c r="K323" s="1"/>
      <c r="L323" s="1"/>
      <c r="M323" s="1"/>
      <c r="N323" s="1"/>
    </row>
    <row r="324">
      <c r="A324" s="3"/>
      <c r="B324" s="5"/>
      <c r="C324" s="3"/>
      <c r="D324" s="1"/>
      <c r="E324" s="3"/>
      <c r="F324" s="1"/>
      <c r="G324" s="3"/>
      <c r="H324" s="3"/>
      <c r="I324" s="3"/>
      <c r="J324" s="1"/>
      <c r="K324" s="3"/>
      <c r="L324" s="3"/>
      <c r="M324" s="1"/>
      <c r="N324" s="3"/>
    </row>
    <row r="325">
      <c r="A325" s="3"/>
      <c r="B325" s="5"/>
      <c r="C325" s="3"/>
      <c r="D325" s="1"/>
      <c r="E325" s="3"/>
      <c r="F325" s="1"/>
      <c r="G325" s="3"/>
      <c r="H325" s="3"/>
      <c r="I325" s="3"/>
      <c r="J325" s="1"/>
      <c r="K325" s="3"/>
      <c r="L325" s="3"/>
      <c r="M325" s="1"/>
      <c r="N325" s="3"/>
    </row>
    <row r="326">
      <c r="A326" s="1"/>
      <c r="B326" s="2"/>
      <c r="C326" s="1"/>
      <c r="D326" s="1"/>
      <c r="E326" s="1"/>
      <c r="F326" s="1"/>
      <c r="G326" s="1"/>
      <c r="H326" s="3"/>
      <c r="I326" s="1"/>
      <c r="J326" s="1"/>
      <c r="K326" s="1"/>
      <c r="L326" s="1"/>
      <c r="M326" s="1"/>
      <c r="N326" s="1"/>
    </row>
    <row r="327">
      <c r="A327" s="3"/>
      <c r="B327" s="5"/>
      <c r="C327" s="3"/>
      <c r="D327" s="1"/>
      <c r="E327" s="3"/>
      <c r="F327" s="1"/>
      <c r="G327" s="3"/>
      <c r="H327" s="3"/>
      <c r="I327" s="3"/>
      <c r="J327" s="1"/>
      <c r="K327" s="3"/>
      <c r="L327" s="3"/>
      <c r="M327" s="1"/>
      <c r="N327" s="3"/>
    </row>
    <row r="328">
      <c r="A328" s="1"/>
      <c r="B328" s="2"/>
      <c r="C328" s="1"/>
      <c r="D328" s="1"/>
      <c r="E328" s="1"/>
      <c r="F328" s="1"/>
      <c r="G328" s="1"/>
      <c r="H328" s="3"/>
      <c r="I328" s="1"/>
      <c r="J328" s="1"/>
      <c r="K328" s="1"/>
      <c r="L328" s="1"/>
      <c r="M328" s="1"/>
      <c r="N328" s="1"/>
    </row>
    <row r="329">
      <c r="A329" s="3"/>
      <c r="B329" s="5"/>
      <c r="C329" s="3"/>
      <c r="D329" s="1"/>
      <c r="E329" s="3"/>
      <c r="F329" s="1"/>
      <c r="G329" s="3"/>
      <c r="H329" s="3"/>
      <c r="I329" s="3"/>
      <c r="J329" s="1"/>
      <c r="K329" s="3"/>
      <c r="L329" s="3"/>
      <c r="M329" s="1"/>
      <c r="N329" s="3"/>
    </row>
    <row r="330">
      <c r="A330" s="1"/>
      <c r="B330" s="2"/>
      <c r="C330" s="1"/>
      <c r="D330" s="1"/>
      <c r="E330" s="1"/>
      <c r="F330" s="1"/>
      <c r="G330" s="1"/>
      <c r="H330" s="3"/>
      <c r="I330" s="1"/>
      <c r="J330" s="1"/>
      <c r="K330" s="1"/>
      <c r="L330" s="1"/>
      <c r="M330" s="1"/>
      <c r="N330" s="1"/>
    </row>
    <row r="331">
      <c r="A331" s="3"/>
      <c r="B331" s="5"/>
      <c r="C331" s="3"/>
      <c r="D331" s="1"/>
      <c r="E331" s="3"/>
      <c r="F331" s="1"/>
      <c r="G331" s="3"/>
      <c r="H331" s="3"/>
      <c r="I331" s="3"/>
      <c r="J331" s="1"/>
      <c r="K331" s="3"/>
      <c r="L331" s="3"/>
      <c r="M331" s="1"/>
      <c r="N331" s="3"/>
    </row>
    <row r="332">
      <c r="A332" s="1"/>
      <c r="B332" s="2"/>
      <c r="C332" s="1"/>
      <c r="D332" s="1"/>
      <c r="E332" s="1"/>
      <c r="F332" s="1"/>
      <c r="G332" s="1"/>
      <c r="H332" s="3"/>
      <c r="I332" s="1"/>
      <c r="J332" s="1"/>
      <c r="K332" s="1"/>
      <c r="L332" s="1"/>
      <c r="M332" s="1"/>
      <c r="N332" s="1"/>
    </row>
    <row r="333">
      <c r="A333" s="1"/>
      <c r="B333" s="2"/>
      <c r="C333" s="1"/>
      <c r="D333" s="1"/>
      <c r="E333" s="1"/>
      <c r="F333" s="1"/>
      <c r="G333" s="1"/>
      <c r="H333" s="3"/>
      <c r="I333" s="1"/>
      <c r="J333" s="1"/>
      <c r="K333" s="1"/>
      <c r="L333" s="1"/>
      <c r="M333" s="1"/>
      <c r="N333" s="1"/>
    </row>
    <row r="334">
      <c r="A334" s="1"/>
      <c r="B334" s="2"/>
      <c r="C334" s="1"/>
      <c r="D334" s="1"/>
      <c r="E334" s="1"/>
      <c r="F334" s="1"/>
      <c r="G334" s="1"/>
      <c r="H334" s="3"/>
      <c r="I334" s="1"/>
      <c r="J334" s="1"/>
      <c r="K334" s="1"/>
      <c r="L334" s="1"/>
      <c r="M334" s="1"/>
      <c r="N334" s="1"/>
    </row>
    <row r="335">
      <c r="A335" s="1"/>
      <c r="B335" s="2"/>
      <c r="C335" s="1"/>
      <c r="D335" s="1"/>
      <c r="E335" s="1"/>
      <c r="F335" s="1"/>
      <c r="G335" s="1"/>
      <c r="H335" s="3"/>
      <c r="I335" s="1"/>
      <c r="J335" s="1"/>
      <c r="K335" s="1"/>
      <c r="L335" s="1"/>
      <c r="M335" s="1"/>
      <c r="N335" s="1"/>
    </row>
    <row r="336">
      <c r="A336" s="3"/>
      <c r="B336" s="5"/>
      <c r="C336" s="3"/>
      <c r="D336" s="1"/>
      <c r="E336" s="3"/>
      <c r="F336" s="1"/>
      <c r="G336" s="3"/>
      <c r="H336" s="3"/>
      <c r="I336" s="3"/>
      <c r="J336" s="1"/>
      <c r="K336" s="3"/>
      <c r="L336" s="3"/>
      <c r="M336" s="1"/>
      <c r="N336" s="3"/>
    </row>
    <row r="337">
      <c r="A337" s="3"/>
      <c r="B337" s="5"/>
      <c r="C337" s="3"/>
      <c r="D337" s="1"/>
      <c r="E337" s="3"/>
      <c r="F337" s="1"/>
      <c r="G337" s="3"/>
      <c r="H337" s="3"/>
      <c r="I337" s="3"/>
      <c r="J337" s="1"/>
      <c r="K337" s="3"/>
      <c r="L337" s="3"/>
      <c r="M337" s="1"/>
      <c r="N337" s="3"/>
    </row>
    <row r="338">
      <c r="A338" s="1"/>
      <c r="B338" s="2"/>
      <c r="C338" s="1"/>
      <c r="D338" s="1"/>
      <c r="E338" s="1"/>
      <c r="F338" s="1"/>
      <c r="G338" s="1"/>
      <c r="H338" s="3"/>
      <c r="I338" s="1"/>
      <c r="J338" s="1"/>
      <c r="K338" s="1"/>
      <c r="L338" s="1"/>
      <c r="M338" s="1"/>
      <c r="N338" s="1"/>
    </row>
    <row r="339">
      <c r="A339" s="3"/>
      <c r="B339" s="5"/>
      <c r="C339" s="3"/>
      <c r="D339" s="1"/>
      <c r="E339" s="3"/>
      <c r="F339" s="1"/>
      <c r="G339" s="3"/>
      <c r="H339" s="3"/>
      <c r="I339" s="3"/>
      <c r="J339" s="1"/>
      <c r="K339" s="3"/>
      <c r="L339" s="3"/>
      <c r="M339" s="1"/>
      <c r="N339" s="3"/>
    </row>
    <row r="340">
      <c r="A340" s="3"/>
      <c r="B340" s="5"/>
      <c r="C340" s="3"/>
      <c r="D340" s="1"/>
      <c r="E340" s="3"/>
      <c r="F340" s="1"/>
      <c r="G340" s="3"/>
      <c r="H340" s="3"/>
      <c r="I340" s="3"/>
      <c r="J340" s="1"/>
      <c r="K340" s="3"/>
      <c r="L340" s="3"/>
      <c r="M340" s="1"/>
      <c r="N340" s="3"/>
    </row>
    <row r="341">
      <c r="A341" s="3"/>
      <c r="B341" s="5"/>
      <c r="C341" s="3"/>
      <c r="D341" s="1"/>
      <c r="E341" s="3"/>
      <c r="F341" s="1"/>
      <c r="G341" s="3"/>
      <c r="H341" s="3"/>
      <c r="I341" s="3"/>
      <c r="J341" s="1"/>
      <c r="K341" s="3"/>
      <c r="L341" s="3"/>
      <c r="M341" s="1"/>
      <c r="N341" s="3"/>
    </row>
    <row r="342">
      <c r="A342" s="1"/>
      <c r="B342" s="2"/>
      <c r="C342" s="1"/>
      <c r="D342" s="1"/>
      <c r="E342" s="1"/>
      <c r="F342" s="1"/>
      <c r="G342" s="1"/>
      <c r="H342" s="3"/>
      <c r="I342" s="1"/>
      <c r="J342" s="1"/>
      <c r="K342" s="1"/>
      <c r="L342" s="1"/>
      <c r="M342" s="1"/>
      <c r="N342" s="1"/>
    </row>
    <row r="343">
      <c r="A343" s="3"/>
      <c r="B343" s="5"/>
      <c r="C343" s="3"/>
      <c r="D343" s="1"/>
      <c r="E343" s="3"/>
      <c r="F343" s="1"/>
      <c r="G343" s="3"/>
      <c r="H343" s="3"/>
      <c r="I343" s="3"/>
      <c r="J343" s="1"/>
      <c r="K343" s="3"/>
      <c r="L343" s="3"/>
      <c r="M343" s="1"/>
      <c r="N343" s="3"/>
    </row>
    <row r="344">
      <c r="A344" s="3"/>
      <c r="B344" s="5"/>
      <c r="C344" s="3"/>
      <c r="D344" s="1"/>
      <c r="E344" s="3"/>
      <c r="F344" s="1"/>
      <c r="G344" s="3"/>
      <c r="H344" s="3"/>
      <c r="I344" s="3"/>
      <c r="J344" s="1"/>
      <c r="K344" s="3"/>
      <c r="L344" s="3"/>
      <c r="M344" s="1"/>
      <c r="N344" s="3"/>
    </row>
    <row r="345">
      <c r="A345" s="3"/>
      <c r="B345" s="5"/>
      <c r="C345" s="3"/>
      <c r="D345" s="1"/>
      <c r="E345" s="3"/>
      <c r="F345" s="1"/>
      <c r="G345" s="3"/>
      <c r="H345" s="3"/>
      <c r="I345" s="3"/>
      <c r="J345" s="1"/>
      <c r="K345" s="3"/>
      <c r="L345" s="3"/>
      <c r="M345" s="1"/>
      <c r="N345" s="3"/>
    </row>
    <row r="346">
      <c r="A346" s="3"/>
      <c r="B346" s="5"/>
      <c r="C346" s="3"/>
      <c r="D346" s="1"/>
      <c r="E346" s="3"/>
      <c r="F346" s="1"/>
      <c r="G346" s="3"/>
      <c r="H346" s="3"/>
      <c r="I346" s="3"/>
      <c r="J346" s="1"/>
      <c r="K346" s="3"/>
      <c r="L346" s="3"/>
      <c r="M346" s="1"/>
      <c r="N346" s="3"/>
    </row>
    <row r="347">
      <c r="A347" s="3"/>
      <c r="B347" s="5"/>
      <c r="C347" s="3"/>
      <c r="D347" s="1"/>
      <c r="E347" s="3"/>
      <c r="F347" s="1"/>
      <c r="G347" s="3"/>
      <c r="H347" s="3"/>
      <c r="I347" s="3"/>
      <c r="J347" s="1"/>
      <c r="K347" s="3"/>
      <c r="L347" s="3"/>
      <c r="M347" s="1"/>
      <c r="N347" s="3"/>
    </row>
    <row r="348">
      <c r="A348" s="3"/>
      <c r="B348" s="5"/>
      <c r="C348" s="3"/>
      <c r="D348" s="1"/>
      <c r="E348" s="3"/>
      <c r="F348" s="1"/>
      <c r="G348" s="3"/>
      <c r="H348" s="3"/>
      <c r="I348" s="3"/>
      <c r="J348" s="1"/>
      <c r="K348" s="3"/>
      <c r="L348" s="3"/>
      <c r="M348" s="1"/>
      <c r="N348" s="3"/>
    </row>
    <row r="349">
      <c r="A349" s="1"/>
      <c r="B349" s="2"/>
      <c r="C349" s="1"/>
      <c r="D349" s="1"/>
      <c r="E349" s="1"/>
      <c r="F349" s="1"/>
      <c r="G349" s="1"/>
      <c r="H349" s="3"/>
      <c r="I349" s="1"/>
      <c r="J349" s="1"/>
      <c r="K349" s="1"/>
      <c r="L349" s="1"/>
      <c r="M349" s="1"/>
      <c r="N349" s="1"/>
    </row>
    <row r="350">
      <c r="A350" s="3"/>
      <c r="B350" s="5"/>
      <c r="C350" s="3"/>
      <c r="D350" s="1"/>
      <c r="E350" s="3"/>
      <c r="F350" s="1"/>
      <c r="G350" s="3"/>
      <c r="H350" s="3"/>
      <c r="I350" s="3"/>
      <c r="J350" s="1"/>
      <c r="K350" s="3"/>
      <c r="L350" s="3"/>
      <c r="M350" s="1"/>
      <c r="N350" s="3"/>
    </row>
    <row r="351">
      <c r="A351" s="3"/>
      <c r="B351" s="5"/>
      <c r="C351" s="3"/>
      <c r="D351" s="1"/>
      <c r="E351" s="3"/>
      <c r="F351" s="1"/>
      <c r="G351" s="3"/>
      <c r="H351" s="3"/>
      <c r="I351" s="3"/>
      <c r="J351" s="1"/>
      <c r="K351" s="3"/>
      <c r="L351" s="3"/>
      <c r="M351" s="1"/>
      <c r="N351" s="3"/>
    </row>
    <row r="352">
      <c r="A352" s="3"/>
      <c r="B352" s="5"/>
      <c r="C352" s="3"/>
      <c r="D352" s="1"/>
      <c r="E352" s="3"/>
      <c r="F352" s="1"/>
      <c r="G352" s="3"/>
      <c r="H352" s="3"/>
      <c r="I352" s="3"/>
      <c r="J352" s="1"/>
      <c r="K352" s="3"/>
      <c r="L352" s="3"/>
      <c r="M352" s="1"/>
      <c r="N352" s="3"/>
    </row>
    <row r="353">
      <c r="A353" s="3"/>
      <c r="B353" s="5"/>
      <c r="C353" s="3"/>
      <c r="D353" s="1"/>
      <c r="E353" s="3"/>
      <c r="F353" s="1"/>
      <c r="G353" s="3"/>
      <c r="H353" s="3"/>
      <c r="I353" s="3"/>
      <c r="J353" s="1"/>
      <c r="K353" s="3"/>
      <c r="L353" s="3"/>
      <c r="M353" s="1"/>
      <c r="N353" s="3"/>
    </row>
    <row r="354">
      <c r="A354" s="3"/>
      <c r="B354" s="5"/>
      <c r="C354" s="3"/>
      <c r="D354" s="1"/>
      <c r="E354" s="3"/>
      <c r="F354" s="1"/>
      <c r="G354" s="3"/>
      <c r="H354" s="3"/>
      <c r="I354" s="3"/>
      <c r="J354" s="1"/>
      <c r="K354" s="3"/>
      <c r="L354" s="3"/>
      <c r="M354" s="1"/>
      <c r="N354" s="3"/>
    </row>
    <row r="355">
      <c r="A355" s="3"/>
      <c r="B355" s="5"/>
      <c r="C355" s="3"/>
      <c r="D355" s="1"/>
      <c r="E355" s="3"/>
      <c r="F355" s="1"/>
      <c r="G355" s="3"/>
      <c r="H355" s="3"/>
      <c r="I355" s="3"/>
      <c r="J355" s="1"/>
      <c r="K355" s="3"/>
      <c r="L355" s="3"/>
      <c r="M355" s="1"/>
      <c r="N355" s="3"/>
    </row>
    <row r="356">
      <c r="A356" s="3"/>
      <c r="B356" s="5"/>
      <c r="C356" s="3"/>
      <c r="D356" s="1"/>
      <c r="E356" s="3"/>
      <c r="F356" s="1"/>
      <c r="G356" s="3"/>
      <c r="H356" s="3"/>
      <c r="I356" s="3"/>
      <c r="J356" s="1"/>
      <c r="K356" s="3"/>
      <c r="L356" s="3"/>
      <c r="M356" s="1"/>
      <c r="N356" s="3"/>
    </row>
    <row r="357">
      <c r="A357" s="3"/>
      <c r="B357" s="5"/>
      <c r="C357" s="3"/>
      <c r="D357" s="1"/>
      <c r="E357" s="3"/>
      <c r="F357" s="1"/>
      <c r="G357" s="3"/>
      <c r="H357" s="3"/>
      <c r="I357" s="3"/>
      <c r="J357" s="1"/>
      <c r="K357" s="3"/>
      <c r="L357" s="3"/>
      <c r="M357" s="1"/>
      <c r="N357" s="3"/>
    </row>
    <row r="358">
      <c r="A358" s="3"/>
      <c r="B358" s="5"/>
      <c r="C358" s="3"/>
      <c r="D358" s="1"/>
      <c r="E358" s="3"/>
      <c r="F358" s="1"/>
      <c r="G358" s="3"/>
      <c r="H358" s="3"/>
      <c r="I358" s="3"/>
      <c r="J358" s="1"/>
      <c r="K358" s="3"/>
      <c r="L358" s="3"/>
      <c r="M358" s="1"/>
      <c r="N358" s="3"/>
    </row>
    <row r="359">
      <c r="A359" s="3"/>
      <c r="B359" s="5"/>
      <c r="C359" s="3"/>
      <c r="D359" s="1"/>
      <c r="E359" s="3"/>
      <c r="F359" s="1"/>
      <c r="G359" s="3"/>
      <c r="H359" s="3"/>
      <c r="I359" s="3"/>
      <c r="J359" s="1"/>
      <c r="K359" s="3"/>
      <c r="L359" s="3"/>
      <c r="M359" s="1"/>
      <c r="N359" s="3"/>
    </row>
    <row r="360">
      <c r="A360" s="3"/>
      <c r="B360" s="5"/>
      <c r="C360" s="3"/>
      <c r="D360" s="1"/>
      <c r="E360" s="3"/>
      <c r="F360" s="1"/>
      <c r="G360" s="3"/>
      <c r="H360" s="3"/>
      <c r="I360" s="3"/>
      <c r="J360" s="1"/>
      <c r="K360" s="3"/>
      <c r="L360" s="3"/>
      <c r="M360" s="1"/>
      <c r="N360" s="3"/>
    </row>
    <row r="361">
      <c r="A361" s="3"/>
      <c r="B361" s="5"/>
      <c r="C361" s="3"/>
      <c r="D361" s="1"/>
      <c r="E361" s="3"/>
      <c r="F361" s="1"/>
      <c r="G361" s="3"/>
      <c r="H361" s="3"/>
      <c r="I361" s="3"/>
      <c r="J361" s="1"/>
      <c r="K361" s="3"/>
      <c r="L361" s="3"/>
      <c r="M361" s="1"/>
      <c r="N361" s="3"/>
    </row>
    <row r="362">
      <c r="A362" s="3"/>
      <c r="B362" s="5"/>
      <c r="C362" s="3"/>
      <c r="D362" s="1"/>
      <c r="E362" s="3"/>
      <c r="F362" s="1"/>
      <c r="G362" s="3"/>
      <c r="H362" s="3"/>
      <c r="I362" s="3"/>
      <c r="J362" s="1"/>
      <c r="K362" s="3"/>
      <c r="L362" s="3"/>
      <c r="M362" s="1"/>
      <c r="N362" s="3"/>
    </row>
    <row r="363">
      <c r="A363" s="1"/>
      <c r="B363" s="2"/>
      <c r="C363" s="1"/>
      <c r="D363" s="1"/>
      <c r="E363" s="1"/>
      <c r="F363" s="1"/>
      <c r="G363" s="1"/>
      <c r="H363" s="3"/>
      <c r="I363" s="1"/>
      <c r="J363" s="1"/>
      <c r="K363" s="1"/>
      <c r="L363" s="1"/>
      <c r="M363" s="1"/>
      <c r="N363" s="1"/>
    </row>
    <row r="364">
      <c r="A364" s="3"/>
      <c r="B364" s="5"/>
      <c r="C364" s="3"/>
      <c r="D364" s="1"/>
      <c r="E364" s="3"/>
      <c r="F364" s="1"/>
      <c r="G364" s="3"/>
      <c r="H364" s="3"/>
      <c r="I364" s="3"/>
      <c r="J364" s="1"/>
      <c r="K364" s="3"/>
      <c r="L364" s="3"/>
      <c r="M364" s="1"/>
      <c r="N364" s="3"/>
    </row>
    <row r="365">
      <c r="A365" s="3"/>
      <c r="B365" s="5"/>
      <c r="C365" s="3"/>
      <c r="D365" s="1"/>
      <c r="E365" s="3"/>
      <c r="F365" s="1"/>
      <c r="G365" s="3"/>
      <c r="H365" s="3"/>
      <c r="I365" s="3"/>
      <c r="J365" s="1"/>
      <c r="K365" s="3"/>
      <c r="L365" s="3"/>
      <c r="M365" s="1"/>
      <c r="N365" s="3"/>
    </row>
    <row r="366">
      <c r="A366" s="3"/>
      <c r="B366" s="5"/>
      <c r="C366" s="3"/>
      <c r="D366" s="1"/>
      <c r="E366" s="3"/>
      <c r="F366" s="1"/>
      <c r="G366" s="3"/>
      <c r="H366" s="3"/>
      <c r="I366" s="3"/>
      <c r="J366" s="1"/>
      <c r="K366" s="3"/>
      <c r="L366" s="3"/>
      <c r="M366" s="1"/>
      <c r="N366" s="3"/>
    </row>
    <row r="367">
      <c r="A367" s="3"/>
      <c r="B367" s="5"/>
      <c r="C367" s="3"/>
      <c r="D367" s="1"/>
      <c r="E367" s="3"/>
      <c r="F367" s="1"/>
      <c r="G367" s="3"/>
      <c r="H367" s="3"/>
      <c r="I367" s="3"/>
      <c r="J367" s="1"/>
      <c r="K367" s="3"/>
      <c r="L367" s="3"/>
      <c r="M367" s="1"/>
      <c r="N367" s="3"/>
    </row>
    <row r="368">
      <c r="A368" s="3"/>
      <c r="B368" s="5"/>
      <c r="C368" s="3"/>
      <c r="D368" s="1"/>
      <c r="E368" s="3"/>
      <c r="F368" s="1"/>
      <c r="G368" s="3"/>
      <c r="H368" s="3"/>
      <c r="I368" s="3"/>
      <c r="J368" s="1"/>
      <c r="K368" s="3"/>
      <c r="L368" s="3"/>
      <c r="M368" s="1"/>
      <c r="N368" s="3"/>
    </row>
    <row r="369">
      <c r="A369" s="3"/>
      <c r="B369" s="5"/>
      <c r="C369" s="3"/>
      <c r="D369" s="1"/>
      <c r="E369" s="3"/>
      <c r="F369" s="1"/>
      <c r="G369" s="3"/>
      <c r="H369" s="3"/>
      <c r="I369" s="3"/>
      <c r="J369" s="1"/>
      <c r="K369" s="3"/>
      <c r="L369" s="3"/>
      <c r="M369" s="1"/>
      <c r="N369" s="3"/>
    </row>
    <row r="370">
      <c r="A370" s="3"/>
      <c r="B370" s="5"/>
      <c r="C370" s="3"/>
      <c r="D370" s="1"/>
      <c r="E370" s="3"/>
      <c r="F370" s="1"/>
      <c r="G370" s="3"/>
      <c r="H370" s="3"/>
      <c r="I370" s="3"/>
      <c r="J370" s="1"/>
      <c r="K370" s="3"/>
      <c r="L370" s="3"/>
      <c r="M370" s="1"/>
      <c r="N370" s="3"/>
    </row>
    <row r="371">
      <c r="A371" s="3"/>
      <c r="B371" s="5"/>
      <c r="C371" s="3"/>
      <c r="D371" s="1"/>
      <c r="E371" s="3"/>
      <c r="F371" s="1"/>
      <c r="G371" s="3"/>
      <c r="H371" s="3"/>
      <c r="I371" s="3"/>
      <c r="J371" s="1"/>
      <c r="K371" s="3"/>
      <c r="L371" s="3"/>
      <c r="M371" s="1"/>
      <c r="N371" s="3"/>
    </row>
    <row r="372">
      <c r="A372" s="3"/>
      <c r="B372" s="5"/>
      <c r="C372" s="3"/>
      <c r="D372" s="1"/>
      <c r="E372" s="3"/>
      <c r="F372" s="1"/>
      <c r="G372" s="3"/>
      <c r="H372" s="3"/>
      <c r="I372" s="3"/>
      <c r="J372" s="1"/>
      <c r="K372" s="3"/>
      <c r="L372" s="3"/>
      <c r="M372" s="1"/>
      <c r="N372" s="3"/>
    </row>
    <row r="373">
      <c r="A373" s="3"/>
      <c r="B373" s="5"/>
      <c r="C373" s="3"/>
      <c r="D373" s="1"/>
      <c r="E373" s="3"/>
      <c r="F373" s="1"/>
      <c r="G373" s="3"/>
      <c r="H373" s="3"/>
      <c r="I373" s="3"/>
      <c r="J373" s="1"/>
      <c r="K373" s="3"/>
      <c r="L373" s="3"/>
      <c r="M373" s="1"/>
      <c r="N373" s="3"/>
    </row>
    <row r="374">
      <c r="A374" s="3"/>
      <c r="B374" s="5"/>
      <c r="C374" s="3"/>
      <c r="D374" s="1"/>
      <c r="E374" s="3"/>
      <c r="F374" s="1"/>
      <c r="G374" s="3"/>
      <c r="H374" s="3"/>
      <c r="I374" s="3"/>
      <c r="J374" s="1"/>
      <c r="K374" s="3"/>
      <c r="L374" s="3"/>
      <c r="M374" s="1"/>
      <c r="N374" s="3"/>
    </row>
    <row r="375">
      <c r="A375" s="3"/>
      <c r="B375" s="5"/>
      <c r="C375" s="3"/>
      <c r="D375" s="1"/>
      <c r="E375" s="3"/>
      <c r="F375" s="1"/>
      <c r="G375" s="3"/>
      <c r="H375" s="3"/>
      <c r="I375" s="3"/>
      <c r="J375" s="1"/>
      <c r="K375" s="3"/>
      <c r="L375" s="3"/>
      <c r="M375" s="1"/>
      <c r="N375" s="3"/>
    </row>
    <row r="376">
      <c r="A376" s="3"/>
      <c r="B376" s="5"/>
      <c r="C376" s="3"/>
      <c r="D376" s="1"/>
      <c r="E376" s="3"/>
      <c r="F376" s="1"/>
      <c r="G376" s="3"/>
      <c r="H376" s="3"/>
      <c r="I376" s="3"/>
      <c r="J376" s="1"/>
      <c r="K376" s="3"/>
      <c r="L376" s="3"/>
      <c r="M376" s="1"/>
      <c r="N376" s="3"/>
    </row>
    <row r="377">
      <c r="A377" s="3"/>
      <c r="B377" s="5"/>
      <c r="C377" s="3"/>
      <c r="D377" s="1"/>
      <c r="E377" s="3"/>
      <c r="F377" s="1"/>
      <c r="G377" s="3"/>
      <c r="H377" s="3"/>
      <c r="I377" s="3"/>
      <c r="J377" s="1"/>
      <c r="K377" s="3"/>
      <c r="L377" s="3"/>
      <c r="M377" s="1"/>
      <c r="N377" s="3"/>
    </row>
    <row r="378">
      <c r="A378" s="3"/>
      <c r="B378" s="5"/>
      <c r="C378" s="3"/>
      <c r="D378" s="1"/>
      <c r="E378" s="3"/>
      <c r="F378" s="1"/>
      <c r="G378" s="3"/>
      <c r="H378" s="3"/>
      <c r="I378" s="3"/>
      <c r="J378" s="1"/>
      <c r="K378" s="3"/>
      <c r="L378" s="3"/>
      <c r="M378" s="1"/>
      <c r="N378" s="3"/>
    </row>
    <row r="379">
      <c r="A379" s="3"/>
      <c r="B379" s="5"/>
      <c r="C379" s="3"/>
      <c r="D379" s="1"/>
      <c r="E379" s="3"/>
      <c r="F379" s="1"/>
      <c r="G379" s="3"/>
      <c r="H379" s="3"/>
      <c r="I379" s="3"/>
      <c r="J379" s="1"/>
      <c r="K379" s="3"/>
      <c r="L379" s="3"/>
      <c r="M379" s="1"/>
      <c r="N379" s="3"/>
    </row>
    <row r="380">
      <c r="A380" s="3"/>
      <c r="B380" s="5"/>
      <c r="C380" s="3"/>
      <c r="D380" s="1"/>
      <c r="E380" s="3"/>
      <c r="F380" s="1"/>
      <c r="G380" s="3"/>
      <c r="H380" s="3"/>
      <c r="I380" s="3"/>
      <c r="J380" s="1"/>
      <c r="K380" s="3"/>
      <c r="L380" s="3"/>
      <c r="M380" s="1"/>
      <c r="N380" s="3"/>
    </row>
    <row r="381">
      <c r="A381" s="3"/>
      <c r="B381" s="5"/>
      <c r="C381" s="3"/>
      <c r="D381" s="1"/>
      <c r="E381" s="3"/>
      <c r="F381" s="1"/>
      <c r="G381" s="3"/>
      <c r="H381" s="3"/>
      <c r="I381" s="3"/>
      <c r="J381" s="1"/>
      <c r="K381" s="3"/>
      <c r="L381" s="3"/>
      <c r="M381" s="1"/>
      <c r="N381" s="3"/>
    </row>
    <row r="382">
      <c r="A382" s="3"/>
      <c r="B382" s="5"/>
      <c r="C382" s="3"/>
      <c r="D382" s="1"/>
      <c r="E382" s="3"/>
      <c r="F382" s="1"/>
      <c r="G382" s="3"/>
      <c r="H382" s="3"/>
      <c r="I382" s="3"/>
      <c r="J382" s="1"/>
      <c r="K382" s="3"/>
      <c r="L382" s="3"/>
      <c r="M382" s="1"/>
      <c r="N382" s="3"/>
    </row>
    <row r="383">
      <c r="A383" s="3"/>
      <c r="B383" s="5"/>
      <c r="C383" s="3"/>
      <c r="D383" s="1"/>
      <c r="E383" s="3"/>
      <c r="F383" s="1"/>
      <c r="G383" s="3"/>
      <c r="H383" s="3"/>
      <c r="I383" s="3"/>
      <c r="J383" s="1"/>
      <c r="K383" s="3"/>
      <c r="L383" s="3"/>
      <c r="M383" s="1"/>
      <c r="N383" s="3"/>
    </row>
    <row r="384">
      <c r="A384" s="3"/>
      <c r="B384" s="5"/>
      <c r="C384" s="3"/>
      <c r="D384" s="1"/>
      <c r="E384" s="3"/>
      <c r="F384" s="1"/>
      <c r="G384" s="3"/>
      <c r="H384" s="3"/>
      <c r="I384" s="3"/>
      <c r="J384" s="1"/>
      <c r="K384" s="3"/>
      <c r="L384" s="3"/>
      <c r="M384" s="1"/>
      <c r="N384" s="3"/>
    </row>
    <row r="385">
      <c r="A385" s="3"/>
      <c r="B385" s="5"/>
      <c r="C385" s="3"/>
      <c r="D385" s="1"/>
      <c r="E385" s="3"/>
      <c r="F385" s="1"/>
      <c r="G385" s="3"/>
      <c r="H385" s="3"/>
      <c r="I385" s="3"/>
      <c r="J385" s="1"/>
      <c r="K385" s="3"/>
      <c r="L385" s="3"/>
      <c r="M385" s="1"/>
      <c r="N385" s="3"/>
    </row>
    <row r="386">
      <c r="A386" s="3"/>
      <c r="B386" s="5"/>
      <c r="C386" s="3"/>
      <c r="D386" s="1"/>
      <c r="E386" s="3"/>
      <c r="F386" s="1"/>
      <c r="G386" s="3"/>
      <c r="H386" s="3"/>
      <c r="I386" s="3"/>
      <c r="J386" s="1"/>
      <c r="K386" s="3"/>
      <c r="L386" s="3"/>
      <c r="M386" s="1"/>
      <c r="N386" s="3"/>
    </row>
    <row r="387">
      <c r="A387" s="3"/>
      <c r="B387" s="5"/>
      <c r="C387" s="3"/>
      <c r="D387" s="1"/>
      <c r="E387" s="3"/>
      <c r="F387" s="1"/>
      <c r="G387" s="3"/>
      <c r="H387" s="3"/>
      <c r="I387" s="3"/>
      <c r="J387" s="1"/>
      <c r="K387" s="3"/>
      <c r="L387" s="3"/>
      <c r="M387" s="1"/>
      <c r="N387" s="3"/>
    </row>
    <row r="388">
      <c r="A388" s="3"/>
      <c r="B388" s="5"/>
      <c r="C388" s="3"/>
      <c r="D388" s="1"/>
      <c r="E388" s="3"/>
      <c r="F388" s="1"/>
      <c r="G388" s="3"/>
      <c r="H388" s="3"/>
      <c r="I388" s="3"/>
      <c r="J388" s="1"/>
      <c r="K388" s="3"/>
      <c r="L388" s="3"/>
      <c r="M388" s="1"/>
      <c r="N388" s="3"/>
    </row>
    <row r="389">
      <c r="A389" s="3"/>
      <c r="B389" s="5"/>
      <c r="C389" s="3"/>
      <c r="D389" s="1"/>
      <c r="E389" s="3"/>
      <c r="F389" s="1"/>
      <c r="G389" s="3"/>
      <c r="H389" s="3"/>
      <c r="I389" s="3"/>
      <c r="J389" s="1"/>
      <c r="K389" s="3"/>
      <c r="L389" s="3"/>
      <c r="M389" s="1"/>
      <c r="N389" s="3"/>
    </row>
    <row r="390">
      <c r="A390" s="3"/>
      <c r="B390" s="5"/>
      <c r="C390" s="3"/>
      <c r="D390" s="1"/>
      <c r="E390" s="3"/>
      <c r="F390" s="1"/>
      <c r="G390" s="3"/>
      <c r="H390" s="3"/>
      <c r="I390" s="3"/>
      <c r="J390" s="1"/>
      <c r="K390" s="3"/>
      <c r="L390" s="3"/>
      <c r="M390" s="1"/>
      <c r="N390" s="3"/>
    </row>
    <row r="391">
      <c r="A391" s="3"/>
      <c r="B391" s="5"/>
      <c r="C391" s="3"/>
      <c r="D391" s="1"/>
      <c r="E391" s="3"/>
      <c r="F391" s="1"/>
      <c r="G391" s="3"/>
      <c r="H391" s="3"/>
      <c r="I391" s="3"/>
      <c r="J391" s="1"/>
      <c r="K391" s="3"/>
      <c r="L391" s="3"/>
      <c r="M391" s="1"/>
      <c r="N391" s="3"/>
    </row>
    <row r="392">
      <c r="A392" s="3"/>
      <c r="B392" s="5"/>
      <c r="C392" s="3"/>
      <c r="D392" s="1"/>
      <c r="E392" s="3"/>
      <c r="F392" s="1"/>
      <c r="G392" s="3"/>
      <c r="H392" s="3"/>
      <c r="I392" s="3"/>
      <c r="J392" s="1"/>
      <c r="K392" s="3"/>
      <c r="L392" s="3"/>
      <c r="M392" s="1"/>
      <c r="N392" s="3"/>
    </row>
    <row r="393">
      <c r="A393" s="3"/>
      <c r="B393" s="5"/>
      <c r="C393" s="3"/>
      <c r="D393" s="1"/>
      <c r="E393" s="3"/>
      <c r="F393" s="1"/>
      <c r="G393" s="3"/>
      <c r="H393" s="3"/>
      <c r="I393" s="3"/>
      <c r="J393" s="1"/>
      <c r="K393" s="3"/>
      <c r="L393" s="3"/>
      <c r="M393" s="1"/>
      <c r="N393" s="3"/>
    </row>
    <row r="394">
      <c r="A394" s="3"/>
      <c r="B394" s="5"/>
      <c r="C394" s="3"/>
      <c r="D394" s="1"/>
      <c r="E394" s="3"/>
      <c r="F394" s="1"/>
      <c r="G394" s="3"/>
      <c r="H394" s="3"/>
      <c r="I394" s="3"/>
      <c r="J394" s="1"/>
      <c r="K394" s="3"/>
      <c r="L394" s="3"/>
      <c r="M394" s="1"/>
      <c r="N394" s="3"/>
    </row>
    <row r="395">
      <c r="A395" s="3"/>
      <c r="B395" s="5"/>
      <c r="C395" s="3"/>
      <c r="D395" s="1"/>
      <c r="E395" s="3"/>
      <c r="F395" s="1"/>
      <c r="G395" s="3"/>
      <c r="H395" s="3"/>
      <c r="I395" s="3"/>
      <c r="J395" s="1"/>
      <c r="K395" s="3"/>
      <c r="L395" s="3"/>
      <c r="M395" s="1"/>
      <c r="N395" s="3"/>
    </row>
    <row r="396">
      <c r="A396" s="3"/>
      <c r="B396" s="5"/>
      <c r="C396" s="3"/>
      <c r="D396" s="1"/>
      <c r="E396" s="3"/>
      <c r="F396" s="1"/>
      <c r="G396" s="3"/>
      <c r="H396" s="3"/>
      <c r="I396" s="3"/>
      <c r="J396" s="1"/>
      <c r="K396" s="3"/>
      <c r="L396" s="3"/>
      <c r="M396" s="1"/>
      <c r="N396" s="3"/>
    </row>
    <row r="397">
      <c r="A397" s="3"/>
      <c r="B397" s="5"/>
      <c r="C397" s="3"/>
      <c r="D397" s="1"/>
      <c r="E397" s="3"/>
      <c r="F397" s="1"/>
      <c r="G397" s="3"/>
      <c r="H397" s="3"/>
      <c r="I397" s="3"/>
      <c r="J397" s="1"/>
      <c r="K397" s="3"/>
      <c r="L397" s="3"/>
      <c r="M397" s="1"/>
      <c r="N397" s="3"/>
    </row>
    <row r="398">
      <c r="A398" s="3"/>
      <c r="B398" s="5"/>
      <c r="C398" s="3"/>
      <c r="D398" s="1"/>
      <c r="E398" s="3"/>
      <c r="F398" s="1"/>
      <c r="G398" s="3"/>
      <c r="H398" s="3"/>
      <c r="I398" s="3"/>
      <c r="J398" s="1"/>
      <c r="K398" s="3"/>
      <c r="L398" s="3"/>
      <c r="M398" s="1"/>
      <c r="N398" s="3"/>
    </row>
    <row r="399">
      <c r="A399" s="3"/>
      <c r="B399" s="5"/>
      <c r="C399" s="3"/>
      <c r="D399" s="1"/>
      <c r="E399" s="3"/>
      <c r="F399" s="1"/>
      <c r="G399" s="3"/>
      <c r="H399" s="3"/>
      <c r="I399" s="3"/>
      <c r="J399" s="1"/>
      <c r="K399" s="3"/>
      <c r="L399" s="3"/>
      <c r="M399" s="1"/>
      <c r="N399" s="3"/>
    </row>
    <row r="400">
      <c r="A400" s="3"/>
      <c r="B400" s="5"/>
      <c r="C400" s="3"/>
      <c r="D400" s="1"/>
      <c r="E400" s="3"/>
      <c r="F400" s="1"/>
      <c r="G400" s="10"/>
      <c r="H400" s="3"/>
      <c r="I400" s="3"/>
      <c r="J400" s="1"/>
      <c r="K400" s="10"/>
      <c r="L400" s="3"/>
      <c r="M400" s="1"/>
      <c r="N400" s="10"/>
    </row>
    <row r="401">
      <c r="A401" s="3"/>
      <c r="B401" s="5"/>
      <c r="C401" s="3"/>
      <c r="D401" s="1"/>
      <c r="E401" s="3"/>
      <c r="F401" s="1"/>
      <c r="G401" s="3"/>
      <c r="H401" s="3"/>
      <c r="I401" s="3"/>
      <c r="J401" s="1"/>
      <c r="K401" s="3"/>
      <c r="L401" s="3"/>
      <c r="M401" s="1"/>
      <c r="N401" s="3"/>
    </row>
    <row r="402">
      <c r="A402" s="3"/>
      <c r="B402" s="5"/>
      <c r="C402" s="3"/>
      <c r="D402" s="1"/>
      <c r="E402" s="3"/>
      <c r="F402" s="1"/>
      <c r="G402" s="3"/>
      <c r="H402" s="3"/>
      <c r="I402" s="3"/>
      <c r="J402" s="1"/>
      <c r="K402" s="3"/>
      <c r="L402" s="3"/>
      <c r="M402" s="1"/>
      <c r="N402" s="3"/>
    </row>
    <row r="403">
      <c r="A403" s="3"/>
      <c r="B403" s="5"/>
      <c r="C403" s="3"/>
      <c r="D403" s="1"/>
      <c r="E403" s="3"/>
      <c r="F403" s="1"/>
      <c r="G403" s="3"/>
      <c r="H403" s="3"/>
      <c r="I403" s="3"/>
      <c r="J403" s="1"/>
      <c r="K403" s="3"/>
      <c r="L403" s="3"/>
      <c r="M403" s="1"/>
      <c r="N403" s="3"/>
    </row>
    <row r="404">
      <c r="A404" s="3"/>
      <c r="B404" s="5"/>
      <c r="C404" s="3"/>
      <c r="D404" s="1"/>
      <c r="E404" s="3"/>
      <c r="F404" s="1"/>
      <c r="G404" s="3"/>
      <c r="H404" s="3"/>
      <c r="I404" s="3"/>
      <c r="J404" s="1"/>
      <c r="K404" s="3"/>
      <c r="L404" s="3"/>
      <c r="M404" s="1"/>
      <c r="N404" s="3"/>
    </row>
    <row r="405">
      <c r="A405" s="3"/>
      <c r="B405" s="5"/>
      <c r="C405" s="3"/>
      <c r="D405" s="1"/>
      <c r="E405" s="3"/>
      <c r="F405" s="1"/>
      <c r="G405" s="3"/>
      <c r="H405" s="3"/>
      <c r="I405" s="3"/>
      <c r="J405" s="1"/>
      <c r="K405" s="3"/>
      <c r="L405" s="3"/>
      <c r="M405" s="1"/>
      <c r="N405" s="3"/>
    </row>
    <row r="406">
      <c r="A406" s="3"/>
      <c r="B406" s="5"/>
      <c r="C406" s="3"/>
      <c r="D406" s="1"/>
      <c r="E406" s="3"/>
      <c r="F406" s="1"/>
      <c r="G406" s="3"/>
      <c r="H406" s="3"/>
      <c r="I406" s="3"/>
      <c r="J406" s="1"/>
      <c r="K406" s="3"/>
      <c r="L406" s="3"/>
      <c r="M406" s="1"/>
      <c r="N406" s="3"/>
    </row>
    <row r="407">
      <c r="A407" s="3"/>
      <c r="B407" s="5"/>
      <c r="C407" s="3"/>
      <c r="D407" s="1"/>
      <c r="E407" s="3"/>
      <c r="F407" s="1"/>
      <c r="G407" s="3"/>
      <c r="H407" s="3"/>
      <c r="I407" s="3"/>
      <c r="J407" s="1"/>
      <c r="K407" s="3"/>
      <c r="L407" s="3"/>
      <c r="M407" s="1"/>
      <c r="N407" s="3"/>
    </row>
    <row r="408">
      <c r="A408" s="3"/>
      <c r="B408" s="5"/>
      <c r="C408" s="3"/>
      <c r="D408" s="1"/>
      <c r="E408" s="3"/>
      <c r="F408" s="1"/>
      <c r="G408" s="3"/>
      <c r="H408" s="3"/>
      <c r="I408" s="3"/>
      <c r="J408" s="1"/>
      <c r="K408" s="3"/>
      <c r="L408" s="3"/>
      <c r="M408" s="1"/>
      <c r="N408" s="3"/>
    </row>
    <row r="409">
      <c r="A409" s="3"/>
      <c r="B409" s="5"/>
      <c r="C409" s="3"/>
      <c r="D409" s="1"/>
      <c r="E409" s="3"/>
      <c r="F409" s="1"/>
      <c r="G409" s="3"/>
      <c r="H409" s="3"/>
      <c r="I409" s="3"/>
      <c r="J409" s="1"/>
      <c r="K409" s="3"/>
      <c r="L409" s="3"/>
      <c r="M409" s="1"/>
      <c r="N409" s="3"/>
    </row>
    <row r="410">
      <c r="A410" s="3"/>
      <c r="B410" s="5"/>
      <c r="C410" s="3"/>
      <c r="D410" s="1"/>
      <c r="E410" s="3"/>
      <c r="F410" s="1"/>
      <c r="G410" s="3"/>
      <c r="H410" s="3"/>
      <c r="I410" s="3"/>
      <c r="J410" s="1"/>
      <c r="K410" s="3"/>
      <c r="L410" s="3"/>
      <c r="M410" s="1"/>
      <c r="N410" s="3"/>
    </row>
    <row r="411">
      <c r="A411" s="3"/>
      <c r="B411" s="5"/>
      <c r="C411" s="3"/>
      <c r="D411" s="1"/>
      <c r="E411" s="3"/>
      <c r="F411" s="1"/>
      <c r="G411" s="3"/>
      <c r="H411" s="3"/>
      <c r="I411" s="3"/>
      <c r="J411" s="1"/>
      <c r="K411" s="3"/>
      <c r="L411" s="3"/>
      <c r="M411" s="1"/>
      <c r="N411" s="3"/>
    </row>
    <row r="412">
      <c r="A412" s="3"/>
      <c r="B412" s="5"/>
      <c r="C412" s="3"/>
      <c r="D412" s="1"/>
      <c r="E412" s="3"/>
      <c r="F412" s="1"/>
      <c r="G412" s="3"/>
      <c r="H412" s="3"/>
      <c r="I412" s="3"/>
      <c r="J412" s="1"/>
      <c r="K412" s="3"/>
      <c r="L412" s="3"/>
      <c r="M412" s="1"/>
      <c r="N412" s="3"/>
    </row>
    <row r="413">
      <c r="A413" s="3"/>
      <c r="B413" s="5"/>
      <c r="C413" s="3"/>
      <c r="D413" s="1"/>
      <c r="E413" s="3"/>
      <c r="F413" s="1"/>
      <c r="G413" s="3"/>
      <c r="H413" s="3"/>
      <c r="I413" s="3"/>
      <c r="J413" s="1"/>
      <c r="K413" s="3"/>
      <c r="L413" s="3"/>
      <c r="M413" s="1"/>
      <c r="N413" s="3"/>
    </row>
    <row r="414">
      <c r="A414" s="3"/>
      <c r="B414" s="5"/>
      <c r="C414" s="3"/>
      <c r="D414" s="1"/>
      <c r="E414" s="3"/>
      <c r="F414" s="1"/>
      <c r="G414" s="3"/>
      <c r="H414" s="3"/>
      <c r="I414" s="3"/>
      <c r="J414" s="1"/>
      <c r="K414" s="3"/>
      <c r="L414" s="3"/>
      <c r="M414" s="1"/>
      <c r="N414" s="3"/>
    </row>
    <row r="415">
      <c r="A415" s="3"/>
      <c r="B415" s="5"/>
      <c r="C415" s="3"/>
      <c r="D415" s="1"/>
      <c r="E415" s="3"/>
      <c r="F415" s="1"/>
      <c r="G415" s="3"/>
      <c r="H415" s="3"/>
      <c r="I415" s="3"/>
      <c r="J415" s="1"/>
      <c r="K415" s="3"/>
      <c r="L415" s="3"/>
      <c r="M415" s="1"/>
      <c r="N415" s="3"/>
    </row>
    <row r="416">
      <c r="A416" s="3"/>
      <c r="B416" s="5"/>
      <c r="C416" s="3"/>
      <c r="D416" s="1"/>
      <c r="E416" s="3"/>
      <c r="F416" s="1"/>
      <c r="G416" s="3"/>
      <c r="H416" s="3"/>
      <c r="I416" s="3"/>
      <c r="J416" s="1"/>
      <c r="K416" s="3"/>
      <c r="L416" s="3"/>
      <c r="M416" s="1"/>
      <c r="N416" s="3"/>
    </row>
    <row r="417">
      <c r="A417" s="3"/>
      <c r="B417" s="5"/>
      <c r="C417" s="3"/>
      <c r="D417" s="1"/>
      <c r="E417" s="3"/>
      <c r="F417" s="1"/>
      <c r="G417" s="3"/>
      <c r="H417" s="3"/>
      <c r="I417" s="3"/>
      <c r="J417" s="1"/>
      <c r="K417" s="3"/>
      <c r="L417" s="3"/>
      <c r="M417" s="1"/>
      <c r="N417" s="3"/>
    </row>
    <row r="418">
      <c r="A418" s="3"/>
      <c r="B418" s="5"/>
      <c r="C418" s="3"/>
      <c r="D418" s="1"/>
      <c r="E418" s="3"/>
      <c r="F418" s="1"/>
      <c r="G418" s="3"/>
      <c r="H418" s="3"/>
      <c r="I418" s="3"/>
      <c r="J418" s="1"/>
      <c r="K418" s="3"/>
      <c r="L418" s="3"/>
      <c r="M418" s="1"/>
      <c r="N418" s="3"/>
    </row>
    <row r="419">
      <c r="A419" s="3"/>
      <c r="B419" s="5"/>
      <c r="C419" s="3"/>
      <c r="D419" s="1"/>
      <c r="E419" s="3"/>
      <c r="F419" s="1"/>
      <c r="G419" s="3"/>
      <c r="H419" s="3"/>
      <c r="I419" s="3"/>
      <c r="J419" s="1"/>
      <c r="K419" s="3"/>
      <c r="L419" s="3"/>
      <c r="M419" s="1"/>
      <c r="N419" s="3"/>
    </row>
    <row r="420">
      <c r="A420" s="3"/>
      <c r="B420" s="5"/>
      <c r="C420" s="3"/>
      <c r="D420" s="1"/>
      <c r="E420" s="3"/>
      <c r="F420" s="1"/>
      <c r="G420" s="3"/>
      <c r="H420" s="3"/>
      <c r="I420" s="3"/>
      <c r="J420" s="1"/>
      <c r="K420" s="3"/>
      <c r="L420" s="3"/>
      <c r="M420" s="1"/>
      <c r="N420" s="3"/>
    </row>
    <row r="421">
      <c r="A421" s="3"/>
      <c r="B421" s="5"/>
      <c r="C421" s="3"/>
      <c r="D421" s="1"/>
      <c r="E421" s="3"/>
      <c r="F421" s="1"/>
      <c r="G421" s="3"/>
      <c r="H421" s="3"/>
      <c r="I421" s="3"/>
      <c r="J421" s="1"/>
      <c r="K421" s="3"/>
      <c r="L421" s="3"/>
      <c r="M421" s="1"/>
      <c r="N421" s="3"/>
    </row>
    <row r="422">
      <c r="A422" s="3"/>
      <c r="B422" s="5"/>
      <c r="C422" s="3"/>
      <c r="D422" s="1"/>
      <c r="E422" s="3"/>
      <c r="F422" s="1"/>
      <c r="G422" s="3"/>
      <c r="H422" s="3"/>
      <c r="I422" s="3"/>
      <c r="J422" s="1"/>
      <c r="K422" s="3"/>
      <c r="L422" s="3"/>
      <c r="M422" s="1"/>
      <c r="N422" s="3"/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 t="s">
        <v>1540</v>
      </c>
      <c r="C1" s="14" t="s">
        <v>1541</v>
      </c>
    </row>
    <row r="2">
      <c r="A2" s="14" t="s">
        <v>1542</v>
      </c>
      <c r="C2" s="15" t="s">
        <v>1543</v>
      </c>
      <c r="D2" s="4" t="str">
        <f t="shared" ref="D2:D11" si="1">RIGHT(C2,LEN(C2)-2)</f>
        <v>306645,110137,153380,110452,119273,125495</v>
      </c>
      <c r="E2" s="4">
        <f>IFERROR(__xludf.DUMMYFUNCTION("SPLIT(D2,"","")"),306645.0)</f>
        <v>306645</v>
      </c>
      <c r="F2" s="4">
        <f>IFERROR(__xludf.DUMMYFUNCTION("""COMPUTED_VALUE"""),110137.0)</f>
        <v>110137</v>
      </c>
      <c r="G2" s="4">
        <f>IFERROR(__xludf.DUMMYFUNCTION("""COMPUTED_VALUE"""),153380.0)</f>
        <v>153380</v>
      </c>
      <c r="H2" s="4">
        <f>IFERROR(__xludf.DUMMYFUNCTION("""COMPUTED_VALUE"""),110452.0)</f>
        <v>110452</v>
      </c>
      <c r="I2" s="4">
        <f>IFERROR(__xludf.DUMMYFUNCTION("""COMPUTED_VALUE"""),119273.0)</f>
        <v>119273</v>
      </c>
      <c r="J2" s="4">
        <f>IFERROR(__xludf.DUMMYFUNCTION("""COMPUTED_VALUE"""),125495.0)</f>
        <v>125495</v>
      </c>
      <c r="O2" s="14">
        <v>0.0</v>
      </c>
    </row>
    <row r="3">
      <c r="A3" s="14" t="s">
        <v>1544</v>
      </c>
      <c r="C3" s="15" t="s">
        <v>1545</v>
      </c>
      <c r="D3" s="4" t="str">
        <f t="shared" si="1"/>
        <v>118257,148048,186690,184382,119320</v>
      </c>
      <c r="E3" s="4">
        <f>IFERROR(__xludf.DUMMYFUNCTION("SPLIT(D3,"","")"),118257.0)</f>
        <v>118257</v>
      </c>
      <c r="F3" s="4">
        <f>IFERROR(__xludf.DUMMYFUNCTION("""COMPUTED_VALUE"""),148048.0)</f>
        <v>148048</v>
      </c>
      <c r="G3" s="4">
        <f>IFERROR(__xludf.DUMMYFUNCTION("""COMPUTED_VALUE"""),186690.0)</f>
        <v>186690</v>
      </c>
      <c r="H3" s="4">
        <f>IFERROR(__xludf.DUMMYFUNCTION("""COMPUTED_VALUE"""),184382.0)</f>
        <v>184382</v>
      </c>
      <c r="I3" s="4">
        <f>IFERROR(__xludf.DUMMYFUNCTION("""COMPUTED_VALUE"""),119320.0)</f>
        <v>119320</v>
      </c>
      <c r="O3" s="14">
        <v>1.0</v>
      </c>
    </row>
    <row r="4">
      <c r="A4" s="14" t="s">
        <v>1546</v>
      </c>
      <c r="C4" s="15" t="s">
        <v>1547</v>
      </c>
      <c r="D4" s="4" t="str">
        <f t="shared" si="1"/>
        <v>163486,153248,312216,202086</v>
      </c>
      <c r="E4" s="4">
        <f>IFERROR(__xludf.DUMMYFUNCTION("SPLIT(D4,"","")"),163486.0)</f>
        <v>163486</v>
      </c>
      <c r="F4" s="4">
        <f>IFERROR(__xludf.DUMMYFUNCTION("""COMPUTED_VALUE"""),153248.0)</f>
        <v>153248</v>
      </c>
      <c r="G4" s="4">
        <f>IFERROR(__xludf.DUMMYFUNCTION("""COMPUTED_VALUE"""),312216.0)</f>
        <v>312216</v>
      </c>
      <c r="H4" s="4">
        <f>IFERROR(__xludf.DUMMYFUNCTION("""COMPUTED_VALUE"""),202086.0)</f>
        <v>202086</v>
      </c>
      <c r="O4" s="14">
        <v>2.0</v>
      </c>
    </row>
    <row r="5">
      <c r="A5" s="14" t="s">
        <v>1548</v>
      </c>
      <c r="C5" s="15" t="s">
        <v>1549</v>
      </c>
      <c r="D5" s="4" t="str">
        <f t="shared" si="1"/>
        <v>162386,155629,151855,136527,109386,148203</v>
      </c>
      <c r="E5" s="4">
        <f>IFERROR(__xludf.DUMMYFUNCTION("SPLIT(D5,"","")"),162386.0)</f>
        <v>162386</v>
      </c>
      <c r="F5" s="4">
        <f>IFERROR(__xludf.DUMMYFUNCTION("""COMPUTED_VALUE"""),155629.0)</f>
        <v>155629</v>
      </c>
      <c r="G5" s="4">
        <f>IFERROR(__xludf.DUMMYFUNCTION("""COMPUTED_VALUE"""),151855.0)</f>
        <v>151855</v>
      </c>
      <c r="H5" s="4">
        <f>IFERROR(__xludf.DUMMYFUNCTION("""COMPUTED_VALUE"""),136527.0)</f>
        <v>136527</v>
      </c>
      <c r="I5" s="4">
        <f>IFERROR(__xludf.DUMMYFUNCTION("""COMPUTED_VALUE"""),109386.0)</f>
        <v>109386</v>
      </c>
      <c r="J5" s="4">
        <f>IFERROR(__xludf.DUMMYFUNCTION("""COMPUTED_VALUE"""),148203.0)</f>
        <v>148203</v>
      </c>
      <c r="O5" s="14">
        <v>3.0</v>
      </c>
    </row>
    <row r="6">
      <c r="A6" s="14" t="s">
        <v>1550</v>
      </c>
      <c r="C6" s="15" t="s">
        <v>1551</v>
      </c>
      <c r="D6" s="4" t="str">
        <f t="shared" si="1"/>
        <v>190963,311782</v>
      </c>
      <c r="E6" s="4">
        <f>IFERROR(__xludf.DUMMYFUNCTION("SPLIT(D6,"","")"),190963.0)</f>
        <v>190963</v>
      </c>
      <c r="F6" s="4">
        <f>IFERROR(__xludf.DUMMYFUNCTION("""COMPUTED_VALUE"""),311782.0)</f>
        <v>311782</v>
      </c>
      <c r="O6" s="14">
        <v>4.0</v>
      </c>
    </row>
    <row r="7">
      <c r="A7" s="14" t="s">
        <v>1552</v>
      </c>
      <c r="C7" s="15" t="s">
        <v>1553</v>
      </c>
      <c r="D7" s="4" t="str">
        <f t="shared" si="1"/>
        <v>110390,153984,137724,325570,137122,157788,205403,204860,149804,203326</v>
      </c>
      <c r="E7" s="4">
        <f>IFERROR(__xludf.DUMMYFUNCTION("SPLIT(D7,"","")"),110390.0)</f>
        <v>110390</v>
      </c>
      <c r="F7" s="4">
        <f>IFERROR(__xludf.DUMMYFUNCTION("""COMPUTED_VALUE"""),153984.0)</f>
        <v>153984</v>
      </c>
      <c r="G7" s="4">
        <f>IFERROR(__xludf.DUMMYFUNCTION("""COMPUTED_VALUE"""),137724.0)</f>
        <v>137724</v>
      </c>
      <c r="H7" s="4">
        <f>IFERROR(__xludf.DUMMYFUNCTION("""COMPUTED_VALUE"""),325570.0)</f>
        <v>325570</v>
      </c>
      <c r="I7" s="4">
        <f>IFERROR(__xludf.DUMMYFUNCTION("""COMPUTED_VALUE"""),137122.0)</f>
        <v>137122</v>
      </c>
      <c r="J7" s="4">
        <f>IFERROR(__xludf.DUMMYFUNCTION("""COMPUTED_VALUE"""),157788.0)</f>
        <v>157788</v>
      </c>
      <c r="K7" s="4">
        <f>IFERROR(__xludf.DUMMYFUNCTION("""COMPUTED_VALUE"""),205403.0)</f>
        <v>205403</v>
      </c>
      <c r="L7" s="4">
        <f>IFERROR(__xludf.DUMMYFUNCTION("""COMPUTED_VALUE"""),204860.0)</f>
        <v>204860</v>
      </c>
      <c r="M7" s="4">
        <f>IFERROR(__xludf.DUMMYFUNCTION("""COMPUTED_VALUE"""),149804.0)</f>
        <v>149804</v>
      </c>
      <c r="N7" s="4">
        <f>IFERROR(__xludf.DUMMYFUNCTION("""COMPUTED_VALUE"""),203326.0)</f>
        <v>203326</v>
      </c>
      <c r="O7" s="14">
        <v>5.0</v>
      </c>
    </row>
    <row r="8">
      <c r="A8" s="14" t="s">
        <v>1554</v>
      </c>
      <c r="C8" s="15" t="s">
        <v>1555</v>
      </c>
      <c r="D8" s="4" t="str">
        <f t="shared" si="1"/>
        <v>125698,116685,111281,138182</v>
      </c>
      <c r="E8" s="4">
        <f>IFERROR(__xludf.DUMMYFUNCTION("SPLIT(D8,"","")"),125698.0)</f>
        <v>125698</v>
      </c>
      <c r="F8" s="4">
        <f>IFERROR(__xludf.DUMMYFUNCTION("""COMPUTED_VALUE"""),116685.0)</f>
        <v>116685</v>
      </c>
      <c r="G8" s="4">
        <f>IFERROR(__xludf.DUMMYFUNCTION("""COMPUTED_VALUE"""),111281.0)</f>
        <v>111281</v>
      </c>
      <c r="H8" s="4">
        <f>IFERROR(__xludf.DUMMYFUNCTION("""COMPUTED_VALUE"""),138182.0)</f>
        <v>138182</v>
      </c>
      <c r="O8" s="14">
        <v>6.0</v>
      </c>
    </row>
    <row r="9">
      <c r="A9" s="14" t="s">
        <v>1556</v>
      </c>
      <c r="C9" s="15" t="s">
        <v>1557</v>
      </c>
      <c r="D9" s="4" t="str">
        <f t="shared" si="1"/>
        <v>188447,171926,137947,138695,151869,151509</v>
      </c>
      <c r="E9" s="4">
        <f>IFERROR(__xludf.DUMMYFUNCTION("SPLIT(D9,"","")"),188447.0)</f>
        <v>188447</v>
      </c>
      <c r="F9" s="4">
        <f>IFERROR(__xludf.DUMMYFUNCTION("""COMPUTED_VALUE"""),171926.0)</f>
        <v>171926</v>
      </c>
      <c r="G9" s="4">
        <f>IFERROR(__xludf.DUMMYFUNCTION("""COMPUTED_VALUE"""),137947.0)</f>
        <v>137947</v>
      </c>
      <c r="H9" s="4">
        <f>IFERROR(__xludf.DUMMYFUNCTION("""COMPUTED_VALUE"""),138695.0)</f>
        <v>138695</v>
      </c>
      <c r="I9" s="4">
        <f>IFERROR(__xludf.DUMMYFUNCTION("""COMPUTED_VALUE"""),151869.0)</f>
        <v>151869</v>
      </c>
      <c r="J9" s="4">
        <f>IFERROR(__xludf.DUMMYFUNCTION("""COMPUTED_VALUE"""),151509.0)</f>
        <v>151509</v>
      </c>
      <c r="O9" s="14">
        <v>7.0</v>
      </c>
    </row>
    <row r="10">
      <c r="A10" s="14" t="s">
        <v>1558</v>
      </c>
      <c r="C10" s="15" t="s">
        <v>1559</v>
      </c>
      <c r="D10" s="4" t="str">
        <f t="shared" si="1"/>
        <v>152136,301144,110400,306594,204968,150673,149958,306354,203347</v>
      </c>
      <c r="E10" s="4">
        <f>IFERROR(__xludf.DUMMYFUNCTION("SPLIT(D10,"","")"),152136.0)</f>
        <v>152136</v>
      </c>
      <c r="F10" s="4">
        <f>IFERROR(__xludf.DUMMYFUNCTION("""COMPUTED_VALUE"""),301144.0)</f>
        <v>301144</v>
      </c>
      <c r="G10" s="4">
        <f>IFERROR(__xludf.DUMMYFUNCTION("""COMPUTED_VALUE"""),110400.0)</f>
        <v>110400</v>
      </c>
      <c r="H10" s="4">
        <f>IFERROR(__xludf.DUMMYFUNCTION("""COMPUTED_VALUE"""),306594.0)</f>
        <v>306594</v>
      </c>
      <c r="I10" s="4">
        <f>IFERROR(__xludf.DUMMYFUNCTION("""COMPUTED_VALUE"""),204968.0)</f>
        <v>204968</v>
      </c>
      <c r="J10" s="4">
        <f>IFERROR(__xludf.DUMMYFUNCTION("""COMPUTED_VALUE"""),150673.0)</f>
        <v>150673</v>
      </c>
      <c r="K10" s="4">
        <f>IFERROR(__xludf.DUMMYFUNCTION("""COMPUTED_VALUE"""),149958.0)</f>
        <v>149958</v>
      </c>
      <c r="L10" s="4">
        <f>IFERROR(__xludf.DUMMYFUNCTION("""COMPUTED_VALUE"""),306354.0)</f>
        <v>306354</v>
      </c>
      <c r="M10" s="4">
        <f>IFERROR(__xludf.DUMMYFUNCTION("""COMPUTED_VALUE"""),203347.0)</f>
        <v>203347</v>
      </c>
      <c r="O10" s="14">
        <v>8.0</v>
      </c>
    </row>
    <row r="11">
      <c r="A11" s="14" t="s">
        <v>1560</v>
      </c>
      <c r="C11" s="15" t="s">
        <v>1561</v>
      </c>
      <c r="D11" s="4" t="str">
        <f t="shared" si="1"/>
        <v>111849,135551,148882,119049,301743,310859</v>
      </c>
      <c r="E11" s="4">
        <f>IFERROR(__xludf.DUMMYFUNCTION("SPLIT(D11,"","")"),111849.0)</f>
        <v>111849</v>
      </c>
      <c r="F11" s="4">
        <f>IFERROR(__xludf.DUMMYFUNCTION("""COMPUTED_VALUE"""),135551.0)</f>
        <v>135551</v>
      </c>
      <c r="G11" s="4">
        <f>IFERROR(__xludf.DUMMYFUNCTION("""COMPUTED_VALUE"""),148882.0)</f>
        <v>148882</v>
      </c>
      <c r="H11" s="4">
        <f>IFERROR(__xludf.DUMMYFUNCTION("""COMPUTED_VALUE"""),119049.0)</f>
        <v>119049</v>
      </c>
      <c r="I11" s="4">
        <f>IFERROR(__xludf.DUMMYFUNCTION("""COMPUTED_VALUE"""),301743.0)</f>
        <v>301743</v>
      </c>
      <c r="J11" s="4">
        <f>IFERROR(__xludf.DUMMYFUNCTION("""COMPUTED_VALUE"""),310859.0)</f>
        <v>310859</v>
      </c>
      <c r="O11" s="14">
        <v>9.0</v>
      </c>
    </row>
    <row r="12">
      <c r="A12" s="14" t="s">
        <v>1562</v>
      </c>
      <c r="C12" s="15" t="s">
        <v>1563</v>
      </c>
      <c r="D12" s="4" t="str">
        <f t="shared" ref="D12:D52" si="2">RIGHT(C12,LEN(C12)-3)</f>
        <v>324008,177495,319194,159212,150645,306633,151669,145116,151041,152069</v>
      </c>
      <c r="E12" s="4">
        <f>IFERROR(__xludf.DUMMYFUNCTION("SPLIT(D12,"","")"),324008.0)</f>
        <v>324008</v>
      </c>
      <c r="F12" s="4">
        <f>IFERROR(__xludf.DUMMYFUNCTION("""COMPUTED_VALUE"""),177495.0)</f>
        <v>177495</v>
      </c>
      <c r="G12" s="4">
        <f>IFERROR(__xludf.DUMMYFUNCTION("""COMPUTED_VALUE"""),319194.0)</f>
        <v>319194</v>
      </c>
      <c r="H12" s="4">
        <f>IFERROR(__xludf.DUMMYFUNCTION("""COMPUTED_VALUE"""),159212.0)</f>
        <v>159212</v>
      </c>
      <c r="I12" s="4">
        <f>IFERROR(__xludf.DUMMYFUNCTION("""COMPUTED_VALUE"""),150645.0)</f>
        <v>150645</v>
      </c>
      <c r="J12" s="4">
        <f>IFERROR(__xludf.DUMMYFUNCTION("""COMPUTED_VALUE"""),306633.0)</f>
        <v>306633</v>
      </c>
      <c r="K12" s="4">
        <f>IFERROR(__xludf.DUMMYFUNCTION("""COMPUTED_VALUE"""),151669.0)</f>
        <v>151669</v>
      </c>
      <c r="L12" s="4">
        <f>IFERROR(__xludf.DUMMYFUNCTION("""COMPUTED_VALUE"""),145116.0)</f>
        <v>145116</v>
      </c>
      <c r="M12" s="4">
        <f>IFERROR(__xludf.DUMMYFUNCTION("""COMPUTED_VALUE"""),151041.0)</f>
        <v>151041</v>
      </c>
      <c r="N12" s="4">
        <f>IFERROR(__xludf.DUMMYFUNCTION("""COMPUTED_VALUE"""),152069.0)</f>
        <v>152069</v>
      </c>
      <c r="O12" s="14">
        <v>10.0</v>
      </c>
    </row>
    <row r="13">
      <c r="A13" s="14" t="s">
        <v>1564</v>
      </c>
      <c r="C13" s="15" t="s">
        <v>1565</v>
      </c>
      <c r="D13" s="4" t="str">
        <f t="shared" si="2"/>
        <v>115831,163664,311130,113775,119064,109668</v>
      </c>
      <c r="E13" s="4">
        <f>IFERROR(__xludf.DUMMYFUNCTION("SPLIT(D13,"","")"),115831.0)</f>
        <v>115831</v>
      </c>
      <c r="F13" s="4">
        <f>IFERROR(__xludf.DUMMYFUNCTION("""COMPUTED_VALUE"""),163664.0)</f>
        <v>163664</v>
      </c>
      <c r="G13" s="4">
        <f>IFERROR(__xludf.DUMMYFUNCTION("""COMPUTED_VALUE"""),311130.0)</f>
        <v>311130</v>
      </c>
      <c r="H13" s="4">
        <f>IFERROR(__xludf.DUMMYFUNCTION("""COMPUTED_VALUE"""),113775.0)</f>
        <v>113775</v>
      </c>
      <c r="I13" s="4">
        <f>IFERROR(__xludf.DUMMYFUNCTION("""COMPUTED_VALUE"""),119064.0)</f>
        <v>119064</v>
      </c>
      <c r="J13" s="4">
        <f>IFERROR(__xludf.DUMMYFUNCTION("""COMPUTED_VALUE"""),109668.0)</f>
        <v>109668</v>
      </c>
      <c r="O13" s="14">
        <v>11.0</v>
      </c>
    </row>
    <row r="14">
      <c r="A14" s="14" t="s">
        <v>1566</v>
      </c>
      <c r="C14" s="15" t="s">
        <v>1567</v>
      </c>
      <c r="D14" s="4" t="str">
        <f t="shared" si="2"/>
        <v>111264,137043,127778</v>
      </c>
      <c r="E14" s="4">
        <f>IFERROR(__xludf.DUMMYFUNCTION("SPLIT(D14,"","")"),111264.0)</f>
        <v>111264</v>
      </c>
      <c r="F14" s="4">
        <f>IFERROR(__xludf.DUMMYFUNCTION("""COMPUTED_VALUE"""),137043.0)</f>
        <v>137043</v>
      </c>
      <c r="G14" s="4">
        <f>IFERROR(__xludf.DUMMYFUNCTION("""COMPUTED_VALUE"""),127778.0)</f>
        <v>127778</v>
      </c>
      <c r="O14" s="14">
        <v>12.0</v>
      </c>
    </row>
    <row r="15">
      <c r="A15" s="14" t="s">
        <v>1568</v>
      </c>
      <c r="C15" s="15" t="s">
        <v>1569</v>
      </c>
      <c r="D15" s="4" t="str">
        <f t="shared" si="2"/>
        <v>110580,139550,110246,150437</v>
      </c>
      <c r="E15" s="4">
        <f>IFERROR(__xludf.DUMMYFUNCTION("SPLIT(D15,"","")"),110580.0)</f>
        <v>110580</v>
      </c>
      <c r="F15" s="4">
        <f>IFERROR(__xludf.DUMMYFUNCTION("""COMPUTED_VALUE"""),139550.0)</f>
        <v>139550</v>
      </c>
      <c r="G15" s="4">
        <f>IFERROR(__xludf.DUMMYFUNCTION("""COMPUTED_VALUE"""),110246.0)</f>
        <v>110246</v>
      </c>
      <c r="H15" s="4">
        <f>IFERROR(__xludf.DUMMYFUNCTION("""COMPUTED_VALUE"""),150437.0)</f>
        <v>150437</v>
      </c>
      <c r="O15" s="14">
        <v>13.0</v>
      </c>
    </row>
    <row r="16">
      <c r="A16" s="14" t="s">
        <v>1570</v>
      </c>
      <c r="C16" s="15" t="s">
        <v>1571</v>
      </c>
      <c r="D16" s="4" t="str">
        <f t="shared" si="2"/>
        <v>116467,128793,193973</v>
      </c>
      <c r="E16" s="4">
        <f>IFERROR(__xludf.DUMMYFUNCTION("SPLIT(D16,"","")"),116467.0)</f>
        <v>116467</v>
      </c>
      <c r="F16" s="4">
        <f>IFERROR(__xludf.DUMMYFUNCTION("""COMPUTED_VALUE"""),128793.0)</f>
        <v>128793</v>
      </c>
      <c r="G16" s="4">
        <f>IFERROR(__xludf.DUMMYFUNCTION("""COMPUTED_VALUE"""),193973.0)</f>
        <v>193973</v>
      </c>
      <c r="O16" s="14">
        <v>14.0</v>
      </c>
    </row>
    <row r="17">
      <c r="A17" s="14" t="s">
        <v>1572</v>
      </c>
      <c r="C17" s="15" t="s">
        <v>1573</v>
      </c>
      <c r="D17" s="4" t="str">
        <f t="shared" si="2"/>
        <v>165888,148321,326330,110313,112303,111847,306014,150689,204806,198278</v>
      </c>
      <c r="E17" s="4">
        <f>IFERROR(__xludf.DUMMYFUNCTION("SPLIT(D17,"","")"),165888.0)</f>
        <v>165888</v>
      </c>
      <c r="F17" s="4">
        <f>IFERROR(__xludf.DUMMYFUNCTION("""COMPUTED_VALUE"""),148321.0)</f>
        <v>148321</v>
      </c>
      <c r="G17" s="4">
        <f>IFERROR(__xludf.DUMMYFUNCTION("""COMPUTED_VALUE"""),326330.0)</f>
        <v>326330</v>
      </c>
      <c r="H17" s="4">
        <f>IFERROR(__xludf.DUMMYFUNCTION("""COMPUTED_VALUE"""),110313.0)</f>
        <v>110313</v>
      </c>
      <c r="I17" s="4">
        <f>IFERROR(__xludf.DUMMYFUNCTION("""COMPUTED_VALUE"""),112303.0)</f>
        <v>112303</v>
      </c>
      <c r="J17" s="4">
        <f>IFERROR(__xludf.DUMMYFUNCTION("""COMPUTED_VALUE"""),111847.0)</f>
        <v>111847</v>
      </c>
      <c r="K17" s="4">
        <f>IFERROR(__xludf.DUMMYFUNCTION("""COMPUTED_VALUE"""),306014.0)</f>
        <v>306014</v>
      </c>
      <c r="L17" s="4">
        <f>IFERROR(__xludf.DUMMYFUNCTION("""COMPUTED_VALUE"""),150689.0)</f>
        <v>150689</v>
      </c>
      <c r="M17" s="4">
        <f>IFERROR(__xludf.DUMMYFUNCTION("""COMPUTED_VALUE"""),204806.0)</f>
        <v>204806</v>
      </c>
      <c r="N17" s="4">
        <f>IFERROR(__xludf.DUMMYFUNCTION("""COMPUTED_VALUE"""),198278.0)</f>
        <v>198278</v>
      </c>
      <c r="O17" s="14">
        <v>15.0</v>
      </c>
    </row>
    <row r="18">
      <c r="A18" s="14" t="s">
        <v>1574</v>
      </c>
      <c r="C18" s="15" t="s">
        <v>1575</v>
      </c>
      <c r="D18" s="4" t="str">
        <f t="shared" si="2"/>
        <v>182939</v>
      </c>
      <c r="E18" s="4">
        <f>IFERROR(__xludf.DUMMYFUNCTION("SPLIT(D18,"","")"),182939.0)</f>
        <v>182939</v>
      </c>
      <c r="O18" s="14">
        <v>16.0</v>
      </c>
    </row>
    <row r="19">
      <c r="A19" s="14" t="s">
        <v>1576</v>
      </c>
      <c r="C19" s="15" t="s">
        <v>1577</v>
      </c>
      <c r="D19" s="4" t="str">
        <f t="shared" si="2"/>
        <v>180776,154764,110099,188911,153462,137811,186129</v>
      </c>
      <c r="E19" s="4">
        <f>IFERROR(__xludf.DUMMYFUNCTION("SPLIT(D19,"","")"),180776.0)</f>
        <v>180776</v>
      </c>
      <c r="F19" s="4">
        <f>IFERROR(__xludf.DUMMYFUNCTION("""COMPUTED_VALUE"""),154764.0)</f>
        <v>154764</v>
      </c>
      <c r="G19" s="4">
        <f>IFERROR(__xludf.DUMMYFUNCTION("""COMPUTED_VALUE"""),110099.0)</f>
        <v>110099</v>
      </c>
      <c r="H19" s="4">
        <f>IFERROR(__xludf.DUMMYFUNCTION("""COMPUTED_VALUE"""),188911.0)</f>
        <v>188911</v>
      </c>
      <c r="I19" s="4">
        <f>IFERROR(__xludf.DUMMYFUNCTION("""COMPUTED_VALUE"""),153462.0)</f>
        <v>153462</v>
      </c>
      <c r="J19" s="4">
        <f>IFERROR(__xludf.DUMMYFUNCTION("""COMPUTED_VALUE"""),137811.0)</f>
        <v>137811</v>
      </c>
      <c r="K19" s="4">
        <f>IFERROR(__xludf.DUMMYFUNCTION("""COMPUTED_VALUE"""),186129.0)</f>
        <v>186129</v>
      </c>
      <c r="O19" s="14">
        <v>17.0</v>
      </c>
    </row>
    <row r="20">
      <c r="A20" s="14" t="s">
        <v>1578</v>
      </c>
      <c r="C20" s="15" t="s">
        <v>1579</v>
      </c>
      <c r="D20" s="4" t="str">
        <f t="shared" si="2"/>
        <v>152840,310712,127679,187126,151342,152330</v>
      </c>
      <c r="E20" s="4">
        <f>IFERROR(__xludf.DUMMYFUNCTION("SPLIT(D20,"","")"),152840.0)</f>
        <v>152840</v>
      </c>
      <c r="F20" s="4">
        <f>IFERROR(__xludf.DUMMYFUNCTION("""COMPUTED_VALUE"""),310712.0)</f>
        <v>310712</v>
      </c>
      <c r="G20" s="4">
        <f>IFERROR(__xludf.DUMMYFUNCTION("""COMPUTED_VALUE"""),127679.0)</f>
        <v>127679</v>
      </c>
      <c r="H20" s="4">
        <f>IFERROR(__xludf.DUMMYFUNCTION("""COMPUTED_VALUE"""),187126.0)</f>
        <v>187126</v>
      </c>
      <c r="I20" s="4">
        <f>IFERROR(__xludf.DUMMYFUNCTION("""COMPUTED_VALUE"""),151342.0)</f>
        <v>151342</v>
      </c>
      <c r="J20" s="4">
        <f>IFERROR(__xludf.DUMMYFUNCTION("""COMPUTED_VALUE"""),152330.0)</f>
        <v>152330</v>
      </c>
      <c r="O20" s="14">
        <v>18.0</v>
      </c>
    </row>
    <row r="21">
      <c r="A21" s="14" t="s">
        <v>1580</v>
      </c>
      <c r="C21" s="15" t="s">
        <v>1581</v>
      </c>
      <c r="D21" s="4" t="str">
        <f t="shared" si="2"/>
        <v>138492,138050,136592,314880,188263,137290,119421,313865,157280,150327</v>
      </c>
      <c r="E21" s="4">
        <f>IFERROR(__xludf.DUMMYFUNCTION("SPLIT(D21,"","")"),138492.0)</f>
        <v>138492</v>
      </c>
      <c r="F21" s="4">
        <f>IFERROR(__xludf.DUMMYFUNCTION("""COMPUTED_VALUE"""),138050.0)</f>
        <v>138050</v>
      </c>
      <c r="G21" s="4">
        <f>IFERROR(__xludf.DUMMYFUNCTION("""COMPUTED_VALUE"""),136592.0)</f>
        <v>136592</v>
      </c>
      <c r="H21" s="4">
        <f>IFERROR(__xludf.DUMMYFUNCTION("""COMPUTED_VALUE"""),314880.0)</f>
        <v>314880</v>
      </c>
      <c r="I21" s="4">
        <f>IFERROR(__xludf.DUMMYFUNCTION("""COMPUTED_VALUE"""),188263.0)</f>
        <v>188263</v>
      </c>
      <c r="J21" s="4">
        <f>IFERROR(__xludf.DUMMYFUNCTION("""COMPUTED_VALUE"""),137290.0)</f>
        <v>137290</v>
      </c>
      <c r="K21" s="4">
        <f>IFERROR(__xludf.DUMMYFUNCTION("""COMPUTED_VALUE"""),119421.0)</f>
        <v>119421</v>
      </c>
      <c r="L21" s="4">
        <f>IFERROR(__xludf.DUMMYFUNCTION("""COMPUTED_VALUE"""),313865.0)</f>
        <v>313865</v>
      </c>
      <c r="M21" s="4">
        <f>IFERROR(__xludf.DUMMYFUNCTION("""COMPUTED_VALUE"""),157280.0)</f>
        <v>157280</v>
      </c>
      <c r="N21" s="4">
        <f>IFERROR(__xludf.DUMMYFUNCTION("""COMPUTED_VALUE"""),150327.0)</f>
        <v>150327</v>
      </c>
      <c r="O21" s="14">
        <v>19.0</v>
      </c>
    </row>
    <row r="22">
      <c r="A22" s="14" t="s">
        <v>1582</v>
      </c>
      <c r="C22" s="15" t="s">
        <v>1583</v>
      </c>
      <c r="D22" s="4" t="str">
        <f t="shared" si="2"/>
        <v>145700,109820,150353</v>
      </c>
      <c r="E22" s="4">
        <f>IFERROR(__xludf.DUMMYFUNCTION("SPLIT(D22,"","")"),145700.0)</f>
        <v>145700</v>
      </c>
      <c r="F22" s="4">
        <f>IFERROR(__xludf.DUMMYFUNCTION("""COMPUTED_VALUE"""),109820.0)</f>
        <v>109820</v>
      </c>
      <c r="G22" s="4">
        <f>IFERROR(__xludf.DUMMYFUNCTION("""COMPUTED_VALUE"""),150353.0)</f>
        <v>150353</v>
      </c>
      <c r="O22" s="14">
        <v>20.0</v>
      </c>
    </row>
    <row r="23">
      <c r="A23" s="14" t="s">
        <v>1584</v>
      </c>
      <c r="C23" s="15" t="s">
        <v>1585</v>
      </c>
      <c r="D23" s="4" t="str">
        <f t="shared" si="2"/>
        <v>136893,109886</v>
      </c>
      <c r="E23" s="4">
        <f>IFERROR(__xludf.DUMMYFUNCTION("SPLIT(D23,"","")"),136893.0)</f>
        <v>136893</v>
      </c>
      <c r="F23" s="4">
        <f>IFERROR(__xludf.DUMMYFUNCTION("""COMPUTED_VALUE"""),109886.0)</f>
        <v>109886</v>
      </c>
      <c r="O23" s="14">
        <v>21.0</v>
      </c>
    </row>
    <row r="24">
      <c r="A24" s="14" t="s">
        <v>1586</v>
      </c>
      <c r="C24" s="15" t="s">
        <v>1587</v>
      </c>
      <c r="D24" s="4" t="str">
        <f t="shared" si="2"/>
        <v>162647,164480,136686,138399,136292,314091,119856,164534,119813,148270</v>
      </c>
      <c r="E24" s="4">
        <f>IFERROR(__xludf.DUMMYFUNCTION("SPLIT(D24,"","")"),162647.0)</f>
        <v>162647</v>
      </c>
      <c r="F24" s="4">
        <f>IFERROR(__xludf.DUMMYFUNCTION("""COMPUTED_VALUE"""),164480.0)</f>
        <v>164480</v>
      </c>
      <c r="G24" s="4">
        <f>IFERROR(__xludf.DUMMYFUNCTION("""COMPUTED_VALUE"""),136686.0)</f>
        <v>136686</v>
      </c>
      <c r="H24" s="4">
        <f>IFERROR(__xludf.DUMMYFUNCTION("""COMPUTED_VALUE"""),138399.0)</f>
        <v>138399</v>
      </c>
      <c r="I24" s="4">
        <f>IFERROR(__xludf.DUMMYFUNCTION("""COMPUTED_VALUE"""),136292.0)</f>
        <v>136292</v>
      </c>
      <c r="J24" s="4">
        <f>IFERROR(__xludf.DUMMYFUNCTION("""COMPUTED_VALUE"""),314091.0)</f>
        <v>314091</v>
      </c>
      <c r="K24" s="4">
        <f>IFERROR(__xludf.DUMMYFUNCTION("""COMPUTED_VALUE"""),119856.0)</f>
        <v>119856</v>
      </c>
      <c r="L24" s="4">
        <f>IFERROR(__xludf.DUMMYFUNCTION("""COMPUTED_VALUE"""),164534.0)</f>
        <v>164534</v>
      </c>
      <c r="M24" s="4">
        <f>IFERROR(__xludf.DUMMYFUNCTION("""COMPUTED_VALUE"""),119813.0)</f>
        <v>119813</v>
      </c>
      <c r="N24" s="4">
        <f>IFERROR(__xludf.DUMMYFUNCTION("""COMPUTED_VALUE"""),148270.0)</f>
        <v>148270</v>
      </c>
      <c r="O24" s="14">
        <v>22.0</v>
      </c>
    </row>
    <row r="25">
      <c r="A25" s="14" t="s">
        <v>1588</v>
      </c>
      <c r="C25" s="15" t="s">
        <v>1589</v>
      </c>
      <c r="D25" s="4" t="str">
        <f t="shared" si="2"/>
        <v>119687,320421,180390</v>
      </c>
      <c r="E25" s="4">
        <f>IFERROR(__xludf.DUMMYFUNCTION("SPLIT(D25,"","")"),119687.0)</f>
        <v>119687</v>
      </c>
      <c r="F25" s="4">
        <f>IFERROR(__xludf.DUMMYFUNCTION("""COMPUTED_VALUE"""),320421.0)</f>
        <v>320421</v>
      </c>
      <c r="G25" s="4">
        <f>IFERROR(__xludf.DUMMYFUNCTION("""COMPUTED_VALUE"""),180390.0)</f>
        <v>180390</v>
      </c>
      <c r="O25" s="14">
        <v>23.0</v>
      </c>
    </row>
    <row r="26">
      <c r="A26" s="14" t="s">
        <v>1590</v>
      </c>
      <c r="C26" s="15" t="s">
        <v>1591</v>
      </c>
      <c r="D26" s="4" t="str">
        <f t="shared" si="2"/>
        <v>315002,327227,179850,192335,304150,149907,188888</v>
      </c>
      <c r="E26" s="4">
        <f>IFERROR(__xludf.DUMMYFUNCTION("SPLIT(D26,"","")"),315002.0)</f>
        <v>315002</v>
      </c>
      <c r="F26" s="4">
        <f>IFERROR(__xludf.DUMMYFUNCTION("""COMPUTED_VALUE"""),327227.0)</f>
        <v>327227</v>
      </c>
      <c r="G26" s="4">
        <f>IFERROR(__xludf.DUMMYFUNCTION("""COMPUTED_VALUE"""),179850.0)</f>
        <v>179850</v>
      </c>
      <c r="H26" s="4">
        <f>IFERROR(__xludf.DUMMYFUNCTION("""COMPUTED_VALUE"""),192335.0)</f>
        <v>192335</v>
      </c>
      <c r="I26" s="4">
        <f>IFERROR(__xludf.DUMMYFUNCTION("""COMPUTED_VALUE"""),304150.0)</f>
        <v>304150</v>
      </c>
      <c r="J26" s="4">
        <f>IFERROR(__xludf.DUMMYFUNCTION("""COMPUTED_VALUE"""),149907.0)</f>
        <v>149907</v>
      </c>
      <c r="K26" s="4">
        <f>IFERROR(__xludf.DUMMYFUNCTION("""COMPUTED_VALUE"""),188888.0)</f>
        <v>188888</v>
      </c>
      <c r="O26" s="14">
        <v>24.0</v>
      </c>
    </row>
    <row r="27">
      <c r="A27" s="14" t="s">
        <v>1592</v>
      </c>
      <c r="C27" s="15" t="s">
        <v>1593</v>
      </c>
      <c r="D27" s="4" t="str">
        <f t="shared" si="2"/>
        <v>124187,323614,150236,138394,189124,142597,318895,128023,148202,319859</v>
      </c>
      <c r="E27" s="4">
        <f>IFERROR(__xludf.DUMMYFUNCTION("SPLIT(D27,"","")"),124187.0)</f>
        <v>124187</v>
      </c>
      <c r="F27" s="4">
        <f>IFERROR(__xludf.DUMMYFUNCTION("""COMPUTED_VALUE"""),323614.0)</f>
        <v>323614</v>
      </c>
      <c r="G27" s="4">
        <f>IFERROR(__xludf.DUMMYFUNCTION("""COMPUTED_VALUE"""),150236.0)</f>
        <v>150236</v>
      </c>
      <c r="H27" s="4">
        <f>IFERROR(__xludf.DUMMYFUNCTION("""COMPUTED_VALUE"""),138394.0)</f>
        <v>138394</v>
      </c>
      <c r="I27" s="4">
        <f>IFERROR(__xludf.DUMMYFUNCTION("""COMPUTED_VALUE"""),189124.0)</f>
        <v>189124</v>
      </c>
      <c r="J27" s="4">
        <f>IFERROR(__xludf.DUMMYFUNCTION("""COMPUTED_VALUE"""),142597.0)</f>
        <v>142597</v>
      </c>
      <c r="K27" s="4">
        <f>IFERROR(__xludf.DUMMYFUNCTION("""COMPUTED_VALUE"""),318895.0)</f>
        <v>318895</v>
      </c>
      <c r="L27" s="4">
        <f>IFERROR(__xludf.DUMMYFUNCTION("""COMPUTED_VALUE"""),128023.0)</f>
        <v>128023</v>
      </c>
      <c r="M27" s="4">
        <f>IFERROR(__xludf.DUMMYFUNCTION("""COMPUTED_VALUE"""),148202.0)</f>
        <v>148202</v>
      </c>
      <c r="N27" s="4">
        <f>IFERROR(__xludf.DUMMYFUNCTION("""COMPUTED_VALUE"""),319859.0)</f>
        <v>319859</v>
      </c>
      <c r="O27" s="14">
        <v>25.0</v>
      </c>
    </row>
    <row r="28">
      <c r="A28" s="14" t="s">
        <v>1594</v>
      </c>
      <c r="C28" s="15" t="s">
        <v>1595</v>
      </c>
      <c r="D28" s="4" t="str">
        <f t="shared" si="2"/>
        <v>118860,119009,124399,171913,136455,151799</v>
      </c>
      <c r="E28" s="4">
        <f>IFERROR(__xludf.DUMMYFUNCTION("SPLIT(D28,"","")"),118860.0)</f>
        <v>118860</v>
      </c>
      <c r="F28" s="4">
        <f>IFERROR(__xludf.DUMMYFUNCTION("""COMPUTED_VALUE"""),119009.0)</f>
        <v>119009</v>
      </c>
      <c r="G28" s="4">
        <f>IFERROR(__xludf.DUMMYFUNCTION("""COMPUTED_VALUE"""),124399.0)</f>
        <v>124399</v>
      </c>
      <c r="H28" s="4">
        <f>IFERROR(__xludf.DUMMYFUNCTION("""COMPUTED_VALUE"""),171913.0)</f>
        <v>171913</v>
      </c>
      <c r="I28" s="4">
        <f>IFERROR(__xludf.DUMMYFUNCTION("""COMPUTED_VALUE"""),136455.0)</f>
        <v>136455</v>
      </c>
      <c r="J28" s="4">
        <f>IFERROR(__xludf.DUMMYFUNCTION("""COMPUTED_VALUE"""),151799.0)</f>
        <v>151799</v>
      </c>
      <c r="O28" s="14">
        <v>26.0</v>
      </c>
    </row>
    <row r="29">
      <c r="A29" s="14" t="s">
        <v>1596</v>
      </c>
      <c r="C29" s="15" t="s">
        <v>1597</v>
      </c>
      <c r="D29" s="4" t="str">
        <f t="shared" si="2"/>
        <v>119448,301809,150842,301529,306632</v>
      </c>
      <c r="E29" s="4">
        <f>IFERROR(__xludf.DUMMYFUNCTION("SPLIT(D29,"","")"),119448.0)</f>
        <v>119448</v>
      </c>
      <c r="F29" s="4">
        <f>IFERROR(__xludf.DUMMYFUNCTION("""COMPUTED_VALUE"""),301809.0)</f>
        <v>301809</v>
      </c>
      <c r="G29" s="4">
        <f>IFERROR(__xludf.DUMMYFUNCTION("""COMPUTED_VALUE"""),150842.0)</f>
        <v>150842</v>
      </c>
      <c r="H29" s="4">
        <f>IFERROR(__xludf.DUMMYFUNCTION("""COMPUTED_VALUE"""),301529.0)</f>
        <v>301529</v>
      </c>
      <c r="I29" s="4">
        <f>IFERROR(__xludf.DUMMYFUNCTION("""COMPUTED_VALUE"""),306632.0)</f>
        <v>306632</v>
      </c>
      <c r="O29" s="14">
        <v>27.0</v>
      </c>
    </row>
    <row r="30">
      <c r="A30" s="14" t="s">
        <v>1598</v>
      </c>
      <c r="C30" s="15" t="s">
        <v>1599</v>
      </c>
      <c r="D30" s="4" t="str">
        <f t="shared" si="2"/>
        <v>110481,154787,193431,189852,136429,313866,162277,118943</v>
      </c>
      <c r="E30" s="4">
        <f>IFERROR(__xludf.DUMMYFUNCTION("SPLIT(D30,"","")"),110481.0)</f>
        <v>110481</v>
      </c>
      <c r="F30" s="4">
        <f>IFERROR(__xludf.DUMMYFUNCTION("""COMPUTED_VALUE"""),154787.0)</f>
        <v>154787</v>
      </c>
      <c r="G30" s="4">
        <f>IFERROR(__xludf.DUMMYFUNCTION("""COMPUTED_VALUE"""),193431.0)</f>
        <v>193431</v>
      </c>
      <c r="H30" s="4">
        <f>IFERROR(__xludf.DUMMYFUNCTION("""COMPUTED_VALUE"""),189852.0)</f>
        <v>189852</v>
      </c>
      <c r="I30" s="4">
        <f>IFERROR(__xludf.DUMMYFUNCTION("""COMPUTED_VALUE"""),136429.0)</f>
        <v>136429</v>
      </c>
      <c r="J30" s="4">
        <f>IFERROR(__xludf.DUMMYFUNCTION("""COMPUTED_VALUE"""),313866.0)</f>
        <v>313866</v>
      </c>
      <c r="K30" s="4">
        <f>IFERROR(__xludf.DUMMYFUNCTION("""COMPUTED_VALUE"""),162277.0)</f>
        <v>162277</v>
      </c>
      <c r="L30" s="4">
        <f>IFERROR(__xludf.DUMMYFUNCTION("""COMPUTED_VALUE"""),118943.0)</f>
        <v>118943</v>
      </c>
      <c r="O30" s="14">
        <v>28.0</v>
      </c>
    </row>
    <row r="31">
      <c r="A31" s="14" t="s">
        <v>1600</v>
      </c>
      <c r="C31" s="15" t="s">
        <v>1601</v>
      </c>
      <c r="D31" s="4" t="str">
        <f t="shared" si="2"/>
        <v>503997</v>
      </c>
      <c r="E31" s="4">
        <f>IFERROR(__xludf.DUMMYFUNCTION("SPLIT(D31,"","")"),503997.0)</f>
        <v>503997</v>
      </c>
      <c r="O31" s="14">
        <v>29.0</v>
      </c>
    </row>
    <row r="32">
      <c r="A32" s="14" t="s">
        <v>1602</v>
      </c>
      <c r="C32" s="15" t="s">
        <v>1603</v>
      </c>
      <c r="D32" s="4" t="str">
        <f t="shared" si="2"/>
        <v>118526,187156,184175,119330,190651,163774,301949,137374,189122,318753</v>
      </c>
      <c r="E32" s="4">
        <f>IFERROR(__xludf.DUMMYFUNCTION("SPLIT(D32,"","")"),118526.0)</f>
        <v>118526</v>
      </c>
      <c r="F32" s="4">
        <f>IFERROR(__xludf.DUMMYFUNCTION("""COMPUTED_VALUE"""),187156.0)</f>
        <v>187156</v>
      </c>
      <c r="G32" s="4">
        <f>IFERROR(__xludf.DUMMYFUNCTION("""COMPUTED_VALUE"""),184175.0)</f>
        <v>184175</v>
      </c>
      <c r="H32" s="4">
        <f>IFERROR(__xludf.DUMMYFUNCTION("""COMPUTED_VALUE"""),119330.0)</f>
        <v>119330</v>
      </c>
      <c r="I32" s="4">
        <f>IFERROR(__xludf.DUMMYFUNCTION("""COMPUTED_VALUE"""),190651.0)</f>
        <v>190651</v>
      </c>
      <c r="J32" s="4">
        <f>IFERROR(__xludf.DUMMYFUNCTION("""COMPUTED_VALUE"""),163774.0)</f>
        <v>163774</v>
      </c>
      <c r="K32" s="4">
        <f>IFERROR(__xludf.DUMMYFUNCTION("""COMPUTED_VALUE"""),301949.0)</f>
        <v>301949</v>
      </c>
      <c r="L32" s="4">
        <f>IFERROR(__xludf.DUMMYFUNCTION("""COMPUTED_VALUE"""),137374.0)</f>
        <v>137374</v>
      </c>
      <c r="M32" s="4">
        <f>IFERROR(__xludf.DUMMYFUNCTION("""COMPUTED_VALUE"""),189122.0)</f>
        <v>189122</v>
      </c>
      <c r="N32" s="4">
        <f>IFERROR(__xludf.DUMMYFUNCTION("""COMPUTED_VALUE"""),318753.0)</f>
        <v>318753</v>
      </c>
      <c r="O32" s="14">
        <v>30.0</v>
      </c>
    </row>
    <row r="33">
      <c r="A33" s="14" t="s">
        <v>1604</v>
      </c>
      <c r="C33" s="15" t="s">
        <v>1605</v>
      </c>
      <c r="D33" s="4" t="str">
        <f t="shared" si="2"/>
        <v>145985,120747,139393,109964,315581,124166,164111,151566</v>
      </c>
      <c r="E33" s="4">
        <f>IFERROR(__xludf.DUMMYFUNCTION("SPLIT(D33,"","")"),145985.0)</f>
        <v>145985</v>
      </c>
      <c r="F33" s="4">
        <f>IFERROR(__xludf.DUMMYFUNCTION("""COMPUTED_VALUE"""),120747.0)</f>
        <v>120747</v>
      </c>
      <c r="G33" s="4">
        <f>IFERROR(__xludf.DUMMYFUNCTION("""COMPUTED_VALUE"""),139393.0)</f>
        <v>139393</v>
      </c>
      <c r="H33" s="4">
        <f>IFERROR(__xludf.DUMMYFUNCTION("""COMPUTED_VALUE"""),109964.0)</f>
        <v>109964</v>
      </c>
      <c r="I33" s="4">
        <f>IFERROR(__xludf.DUMMYFUNCTION("""COMPUTED_VALUE"""),315581.0)</f>
        <v>315581</v>
      </c>
      <c r="J33" s="4">
        <f>IFERROR(__xludf.DUMMYFUNCTION("""COMPUTED_VALUE"""),124166.0)</f>
        <v>124166</v>
      </c>
      <c r="K33" s="4">
        <f>IFERROR(__xludf.DUMMYFUNCTION("""COMPUTED_VALUE"""),164111.0)</f>
        <v>164111</v>
      </c>
      <c r="L33" s="4">
        <f>IFERROR(__xludf.DUMMYFUNCTION("""COMPUTED_VALUE"""),151566.0)</f>
        <v>151566</v>
      </c>
      <c r="O33" s="14">
        <v>31.0</v>
      </c>
    </row>
    <row r="34">
      <c r="A34" s="14" t="s">
        <v>1606</v>
      </c>
      <c r="C34" s="15" t="s">
        <v>1607</v>
      </c>
      <c r="D34" s="4" t="str">
        <f t="shared" si="2"/>
        <v>110139,110629,193690,150837,206812,150693</v>
      </c>
      <c r="E34" s="4">
        <f>IFERROR(__xludf.DUMMYFUNCTION("SPLIT(D34,"","")"),110139.0)</f>
        <v>110139</v>
      </c>
      <c r="F34" s="4">
        <f>IFERROR(__xludf.DUMMYFUNCTION("""COMPUTED_VALUE"""),110629.0)</f>
        <v>110629</v>
      </c>
      <c r="G34" s="4">
        <f>IFERROR(__xludf.DUMMYFUNCTION("""COMPUTED_VALUE"""),193690.0)</f>
        <v>193690</v>
      </c>
      <c r="H34" s="4">
        <f>IFERROR(__xludf.DUMMYFUNCTION("""COMPUTED_VALUE"""),150837.0)</f>
        <v>150837</v>
      </c>
      <c r="I34" s="4">
        <f>IFERROR(__xludf.DUMMYFUNCTION("""COMPUTED_VALUE"""),206812.0)</f>
        <v>206812</v>
      </c>
      <c r="J34" s="4">
        <f>IFERROR(__xludf.DUMMYFUNCTION("""COMPUTED_VALUE"""),150693.0)</f>
        <v>150693</v>
      </c>
      <c r="O34" s="14">
        <v>32.0</v>
      </c>
    </row>
    <row r="35">
      <c r="A35" s="14" t="s">
        <v>1608</v>
      </c>
      <c r="C35" s="15" t="s">
        <v>1609</v>
      </c>
      <c r="D35" s="4" t="str">
        <f t="shared" si="2"/>
        <v>303237</v>
      </c>
      <c r="E35" s="4">
        <f>IFERROR(__xludf.DUMMYFUNCTION("SPLIT(D35,"","")"),303237.0)</f>
        <v>303237</v>
      </c>
      <c r="O35" s="14">
        <v>33.0</v>
      </c>
    </row>
    <row r="36">
      <c r="A36" s="14" t="s">
        <v>1610</v>
      </c>
      <c r="C36" s="15" t="s">
        <v>1611</v>
      </c>
      <c r="D36" s="4" t="str">
        <f t="shared" si="2"/>
        <v>306538,109687,301719,138608,150386,119432,151773</v>
      </c>
      <c r="E36" s="4">
        <f>IFERROR(__xludf.DUMMYFUNCTION("SPLIT(D36,"","")"),306538.0)</f>
        <v>306538</v>
      </c>
      <c r="F36" s="4">
        <f>IFERROR(__xludf.DUMMYFUNCTION("""COMPUTED_VALUE"""),109687.0)</f>
        <v>109687</v>
      </c>
      <c r="G36" s="4">
        <f>IFERROR(__xludf.DUMMYFUNCTION("""COMPUTED_VALUE"""),301719.0)</f>
        <v>301719</v>
      </c>
      <c r="H36" s="4">
        <f>IFERROR(__xludf.DUMMYFUNCTION("""COMPUTED_VALUE"""),138608.0)</f>
        <v>138608</v>
      </c>
      <c r="I36" s="4">
        <f>IFERROR(__xludf.DUMMYFUNCTION("""COMPUTED_VALUE"""),150386.0)</f>
        <v>150386</v>
      </c>
      <c r="J36" s="4">
        <f>IFERROR(__xludf.DUMMYFUNCTION("""COMPUTED_VALUE"""),119432.0)</f>
        <v>119432</v>
      </c>
      <c r="K36" s="4">
        <f>IFERROR(__xludf.DUMMYFUNCTION("""COMPUTED_VALUE"""),151773.0)</f>
        <v>151773</v>
      </c>
      <c r="O36" s="14">
        <v>34.0</v>
      </c>
    </row>
    <row r="37">
      <c r="A37" s="14" t="s">
        <v>1612</v>
      </c>
      <c r="C37" s="15" t="s">
        <v>1613</v>
      </c>
      <c r="D37" s="4" t="str">
        <f t="shared" si="2"/>
        <v>196392,162280,129064</v>
      </c>
      <c r="E37" s="4">
        <f>IFERROR(__xludf.DUMMYFUNCTION("SPLIT(D37,"","")"),196392.0)</f>
        <v>196392</v>
      </c>
      <c r="F37" s="4">
        <f>IFERROR(__xludf.DUMMYFUNCTION("""COMPUTED_VALUE"""),162280.0)</f>
        <v>162280</v>
      </c>
      <c r="G37" s="4">
        <f>IFERROR(__xludf.DUMMYFUNCTION("""COMPUTED_VALUE"""),129064.0)</f>
        <v>129064</v>
      </c>
      <c r="O37" s="14">
        <v>35.0</v>
      </c>
    </row>
    <row r="38">
      <c r="A38" s="14" t="s">
        <v>1614</v>
      </c>
      <c r="C38" s="15" t="s">
        <v>1615</v>
      </c>
      <c r="D38" s="4" t="str">
        <f t="shared" si="2"/>
        <v>150663,207052,177631,137911,326007,154981</v>
      </c>
      <c r="E38" s="4">
        <f>IFERROR(__xludf.DUMMYFUNCTION("SPLIT(D38,"","")"),150663.0)</f>
        <v>150663</v>
      </c>
      <c r="F38" s="4">
        <f>IFERROR(__xludf.DUMMYFUNCTION("""COMPUTED_VALUE"""),207052.0)</f>
        <v>207052</v>
      </c>
      <c r="G38" s="4">
        <f>IFERROR(__xludf.DUMMYFUNCTION("""COMPUTED_VALUE"""),177631.0)</f>
        <v>177631</v>
      </c>
      <c r="H38" s="4">
        <f>IFERROR(__xludf.DUMMYFUNCTION("""COMPUTED_VALUE"""),137911.0)</f>
        <v>137911</v>
      </c>
      <c r="I38" s="4">
        <f>IFERROR(__xludf.DUMMYFUNCTION("""COMPUTED_VALUE"""),326007.0)</f>
        <v>326007</v>
      </c>
      <c r="J38" s="4">
        <f>IFERROR(__xludf.DUMMYFUNCTION("""COMPUTED_VALUE"""),154981.0)</f>
        <v>154981</v>
      </c>
      <c r="O38" s="14">
        <v>36.0</v>
      </c>
    </row>
    <row r="39">
      <c r="A39" s="14" t="s">
        <v>1616</v>
      </c>
      <c r="C39" s="15" t="s">
        <v>1617</v>
      </c>
      <c r="D39" s="4" t="str">
        <f t="shared" si="2"/>
        <v>150826,192804,304949,171928,169390,318933,311055,151671</v>
      </c>
      <c r="E39" s="4">
        <f>IFERROR(__xludf.DUMMYFUNCTION("SPLIT(D39,"","")"),150826.0)</f>
        <v>150826</v>
      </c>
      <c r="F39" s="4">
        <f>IFERROR(__xludf.DUMMYFUNCTION("""COMPUTED_VALUE"""),192804.0)</f>
        <v>192804</v>
      </c>
      <c r="G39" s="4">
        <f>IFERROR(__xludf.DUMMYFUNCTION("""COMPUTED_VALUE"""),304949.0)</f>
        <v>304949</v>
      </c>
      <c r="H39" s="4">
        <f>IFERROR(__xludf.DUMMYFUNCTION("""COMPUTED_VALUE"""),171928.0)</f>
        <v>171928</v>
      </c>
      <c r="I39" s="4">
        <f>IFERROR(__xludf.DUMMYFUNCTION("""COMPUTED_VALUE"""),169390.0)</f>
        <v>169390</v>
      </c>
      <c r="J39" s="4">
        <f>IFERROR(__xludf.DUMMYFUNCTION("""COMPUTED_VALUE"""),318933.0)</f>
        <v>318933</v>
      </c>
      <c r="K39" s="4">
        <f>IFERROR(__xludf.DUMMYFUNCTION("""COMPUTED_VALUE"""),311055.0)</f>
        <v>311055</v>
      </c>
      <c r="L39" s="4">
        <f>IFERROR(__xludf.DUMMYFUNCTION("""COMPUTED_VALUE"""),151671.0)</f>
        <v>151671</v>
      </c>
      <c r="O39" s="14">
        <v>37.0</v>
      </c>
    </row>
    <row r="40">
      <c r="A40" s="14" t="s">
        <v>1618</v>
      </c>
      <c r="C40" s="15" t="s">
        <v>1619</v>
      </c>
      <c r="D40" s="4" t="str">
        <f t="shared" si="2"/>
        <v>206031,150581,204995,206209,205217,150316,173955,150671,149693,138451</v>
      </c>
      <c r="E40" s="4">
        <f>IFERROR(__xludf.DUMMYFUNCTION("SPLIT(D40,"","")"),206031.0)</f>
        <v>206031</v>
      </c>
      <c r="F40" s="4">
        <f>IFERROR(__xludf.DUMMYFUNCTION("""COMPUTED_VALUE"""),150581.0)</f>
        <v>150581</v>
      </c>
      <c r="G40" s="4">
        <f>IFERROR(__xludf.DUMMYFUNCTION("""COMPUTED_VALUE"""),204995.0)</f>
        <v>204995</v>
      </c>
      <c r="H40" s="4">
        <f>IFERROR(__xludf.DUMMYFUNCTION("""COMPUTED_VALUE"""),206209.0)</f>
        <v>206209</v>
      </c>
      <c r="I40" s="4">
        <f>IFERROR(__xludf.DUMMYFUNCTION("""COMPUTED_VALUE"""),205217.0)</f>
        <v>205217</v>
      </c>
      <c r="J40" s="4">
        <f>IFERROR(__xludf.DUMMYFUNCTION("""COMPUTED_VALUE"""),150316.0)</f>
        <v>150316</v>
      </c>
      <c r="K40" s="4">
        <f>IFERROR(__xludf.DUMMYFUNCTION("""COMPUTED_VALUE"""),173955.0)</f>
        <v>173955</v>
      </c>
      <c r="L40" s="4">
        <f>IFERROR(__xludf.DUMMYFUNCTION("""COMPUTED_VALUE"""),150671.0)</f>
        <v>150671</v>
      </c>
      <c r="M40" s="4">
        <f>IFERROR(__xludf.DUMMYFUNCTION("""COMPUTED_VALUE"""),149693.0)</f>
        <v>149693</v>
      </c>
      <c r="N40" s="4">
        <f>IFERROR(__xludf.DUMMYFUNCTION("""COMPUTED_VALUE"""),138451.0)</f>
        <v>138451</v>
      </c>
      <c r="O40" s="14">
        <v>38.0</v>
      </c>
    </row>
    <row r="41">
      <c r="A41" s="14" t="s">
        <v>1620</v>
      </c>
      <c r="C41" s="15" t="s">
        <v>1621</v>
      </c>
      <c r="D41" s="4" t="str">
        <f t="shared" si="2"/>
        <v>301227,117129,155451,150361</v>
      </c>
      <c r="E41" s="4">
        <f>IFERROR(__xludf.DUMMYFUNCTION("SPLIT(D41,"","")"),301227.0)</f>
        <v>301227</v>
      </c>
      <c r="F41" s="4">
        <f>IFERROR(__xludf.DUMMYFUNCTION("""COMPUTED_VALUE"""),117129.0)</f>
        <v>117129</v>
      </c>
      <c r="G41" s="4">
        <f>IFERROR(__xludf.DUMMYFUNCTION("""COMPUTED_VALUE"""),155451.0)</f>
        <v>155451</v>
      </c>
      <c r="H41" s="4">
        <f>IFERROR(__xludf.DUMMYFUNCTION("""COMPUTED_VALUE"""),150361.0)</f>
        <v>150361</v>
      </c>
      <c r="O41" s="14">
        <v>39.0</v>
      </c>
    </row>
    <row r="42">
      <c r="A42" s="14" t="s">
        <v>1622</v>
      </c>
      <c r="C42" s="15" t="s">
        <v>1623</v>
      </c>
      <c r="D42" s="4" t="str">
        <f t="shared" si="2"/>
        <v>136204,182956,124385,150726</v>
      </c>
      <c r="E42" s="4">
        <f>IFERROR(__xludf.DUMMYFUNCTION("SPLIT(D42,"","")"),136204.0)</f>
        <v>136204</v>
      </c>
      <c r="F42" s="4">
        <f>IFERROR(__xludf.DUMMYFUNCTION("""COMPUTED_VALUE"""),182956.0)</f>
        <v>182956</v>
      </c>
      <c r="G42" s="4">
        <f>IFERROR(__xludf.DUMMYFUNCTION("""COMPUTED_VALUE"""),124385.0)</f>
        <v>124385</v>
      </c>
      <c r="H42" s="4">
        <f>IFERROR(__xludf.DUMMYFUNCTION("""COMPUTED_VALUE"""),150726.0)</f>
        <v>150726</v>
      </c>
      <c r="O42" s="14">
        <v>40.0</v>
      </c>
    </row>
    <row r="43">
      <c r="A43" s="14" t="s">
        <v>1624</v>
      </c>
      <c r="C43" s="15" t="s">
        <v>1625</v>
      </c>
      <c r="D43" s="4" t="str">
        <f t="shared" si="2"/>
        <v>118662,126515,136758,150390</v>
      </c>
      <c r="E43" s="4">
        <f>IFERROR(__xludf.DUMMYFUNCTION("SPLIT(D43,"","")"),118662.0)</f>
        <v>118662</v>
      </c>
      <c r="F43" s="4">
        <f>IFERROR(__xludf.DUMMYFUNCTION("""COMPUTED_VALUE"""),126515.0)</f>
        <v>126515</v>
      </c>
      <c r="G43" s="4">
        <f>IFERROR(__xludf.DUMMYFUNCTION("""COMPUTED_VALUE"""),136758.0)</f>
        <v>136758</v>
      </c>
      <c r="H43" s="4">
        <f>IFERROR(__xludf.DUMMYFUNCTION("""COMPUTED_VALUE"""),150390.0)</f>
        <v>150390</v>
      </c>
      <c r="O43" s="14">
        <v>41.0</v>
      </c>
    </row>
    <row r="44">
      <c r="A44" s="14" t="s">
        <v>1626</v>
      </c>
      <c r="C44" s="15" t="s">
        <v>1627</v>
      </c>
      <c r="D44" s="4" t="str">
        <f t="shared" si="2"/>
        <v>118770,319260</v>
      </c>
      <c r="E44" s="4">
        <f>IFERROR(__xludf.DUMMYFUNCTION("SPLIT(D44,"","")"),118770.0)</f>
        <v>118770</v>
      </c>
      <c r="F44" s="4">
        <f>IFERROR(__xludf.DUMMYFUNCTION("""COMPUTED_VALUE"""),319260.0)</f>
        <v>319260</v>
      </c>
      <c r="O44" s="14">
        <v>42.0</v>
      </c>
    </row>
    <row r="45">
      <c r="A45" s="14" t="s">
        <v>1628</v>
      </c>
      <c r="C45" s="15" t="s">
        <v>1629</v>
      </c>
      <c r="D45" s="4" t="str">
        <f t="shared" si="2"/>
        <v>149616</v>
      </c>
      <c r="E45" s="4">
        <f>IFERROR(__xludf.DUMMYFUNCTION("SPLIT(D45,"","")"),149616.0)</f>
        <v>149616</v>
      </c>
      <c r="O45" s="14">
        <v>43.0</v>
      </c>
    </row>
    <row r="46">
      <c r="A46" s="14" t="s">
        <v>1630</v>
      </c>
      <c r="C46" s="15" t="s">
        <v>1631</v>
      </c>
      <c r="D46" s="4" t="str">
        <f t="shared" si="2"/>
        <v>308141,152185,137962</v>
      </c>
      <c r="E46" s="4">
        <f>IFERROR(__xludf.DUMMYFUNCTION("SPLIT(D46,"","")"),308141.0)</f>
        <v>308141</v>
      </c>
      <c r="F46" s="4">
        <f>IFERROR(__xludf.DUMMYFUNCTION("""COMPUTED_VALUE"""),152185.0)</f>
        <v>152185</v>
      </c>
      <c r="G46" s="4">
        <f>IFERROR(__xludf.DUMMYFUNCTION("""COMPUTED_VALUE"""),137962.0)</f>
        <v>137962</v>
      </c>
      <c r="O46" s="14">
        <v>44.0</v>
      </c>
    </row>
    <row r="47">
      <c r="A47" s="14" t="s">
        <v>1632</v>
      </c>
      <c r="C47" s="15" t="s">
        <v>1633</v>
      </c>
      <c r="D47" s="4" t="str">
        <f t="shared" si="2"/>
        <v>110176,323044,192465,150359</v>
      </c>
      <c r="E47" s="4">
        <f>IFERROR(__xludf.DUMMYFUNCTION("SPLIT(D47,"","")"),110176.0)</f>
        <v>110176</v>
      </c>
      <c r="F47" s="4">
        <f>IFERROR(__xludf.DUMMYFUNCTION("""COMPUTED_VALUE"""),323044.0)</f>
        <v>323044</v>
      </c>
      <c r="G47" s="4">
        <f>IFERROR(__xludf.DUMMYFUNCTION("""COMPUTED_VALUE"""),192465.0)</f>
        <v>192465</v>
      </c>
      <c r="H47" s="4">
        <f>IFERROR(__xludf.DUMMYFUNCTION("""COMPUTED_VALUE"""),150359.0)</f>
        <v>150359</v>
      </c>
      <c r="O47" s="14">
        <v>45.0</v>
      </c>
    </row>
    <row r="48">
      <c r="A48" s="14" t="s">
        <v>1634</v>
      </c>
      <c r="C48" s="15" t="s">
        <v>1635</v>
      </c>
      <c r="D48" s="4" t="str">
        <f t="shared" si="2"/>
        <v>151889,312060,317736,118719,209153</v>
      </c>
      <c r="E48" s="4">
        <f>IFERROR(__xludf.DUMMYFUNCTION("SPLIT(D48,"","")"),151889.0)</f>
        <v>151889</v>
      </c>
      <c r="F48" s="4">
        <f>IFERROR(__xludf.DUMMYFUNCTION("""COMPUTED_VALUE"""),312060.0)</f>
        <v>312060</v>
      </c>
      <c r="G48" s="4">
        <f>IFERROR(__xludf.DUMMYFUNCTION("""COMPUTED_VALUE"""),317736.0)</f>
        <v>317736</v>
      </c>
      <c r="H48" s="4">
        <f>IFERROR(__xludf.DUMMYFUNCTION("""COMPUTED_VALUE"""),118719.0)</f>
        <v>118719</v>
      </c>
      <c r="I48" s="4">
        <f>IFERROR(__xludf.DUMMYFUNCTION("""COMPUTED_VALUE"""),209153.0)</f>
        <v>209153</v>
      </c>
      <c r="O48" s="14">
        <v>46.0</v>
      </c>
    </row>
    <row r="49">
      <c r="A49" s="14" t="s">
        <v>1636</v>
      </c>
      <c r="C49" s="15" t="s">
        <v>1637</v>
      </c>
      <c r="D49" s="4" t="str">
        <f t="shared" si="2"/>
        <v>148480,110181,124274,150818,326504,118704,151672,317849,136461</v>
      </c>
      <c r="E49" s="4">
        <f>IFERROR(__xludf.DUMMYFUNCTION("SPLIT(D49,"","")"),148480.0)</f>
        <v>148480</v>
      </c>
      <c r="F49" s="4">
        <f>IFERROR(__xludf.DUMMYFUNCTION("""COMPUTED_VALUE"""),110181.0)</f>
        <v>110181</v>
      </c>
      <c r="G49" s="4">
        <f>IFERROR(__xludf.DUMMYFUNCTION("""COMPUTED_VALUE"""),124274.0)</f>
        <v>124274</v>
      </c>
      <c r="H49" s="4">
        <f>IFERROR(__xludf.DUMMYFUNCTION("""COMPUTED_VALUE"""),150818.0)</f>
        <v>150818</v>
      </c>
      <c r="I49" s="4">
        <f>IFERROR(__xludf.DUMMYFUNCTION("""COMPUTED_VALUE"""),326504.0)</f>
        <v>326504</v>
      </c>
      <c r="J49" s="4">
        <f>IFERROR(__xludf.DUMMYFUNCTION("""COMPUTED_VALUE"""),118704.0)</f>
        <v>118704</v>
      </c>
      <c r="K49" s="4">
        <f>IFERROR(__xludf.DUMMYFUNCTION("""COMPUTED_VALUE"""),151672.0)</f>
        <v>151672</v>
      </c>
      <c r="L49" s="4">
        <f>IFERROR(__xludf.DUMMYFUNCTION("""COMPUTED_VALUE"""),317849.0)</f>
        <v>317849</v>
      </c>
      <c r="M49" s="4">
        <f>IFERROR(__xludf.DUMMYFUNCTION("""COMPUTED_VALUE"""),136461.0)</f>
        <v>136461</v>
      </c>
      <c r="O49" s="14">
        <v>47.0</v>
      </c>
    </row>
    <row r="50">
      <c r="A50" s="14" t="s">
        <v>1638</v>
      </c>
      <c r="C50" s="15" t="s">
        <v>1639</v>
      </c>
      <c r="D50" s="4" t="str">
        <f t="shared" si="2"/>
        <v>111512,180335,111261,157686,314879,171656,151881,151883,150825,320526</v>
      </c>
      <c r="E50" s="4">
        <f>IFERROR(__xludf.DUMMYFUNCTION("SPLIT(D50,"","")"),111512.0)</f>
        <v>111512</v>
      </c>
      <c r="F50" s="4">
        <f>IFERROR(__xludf.DUMMYFUNCTION("""COMPUTED_VALUE"""),180335.0)</f>
        <v>180335</v>
      </c>
      <c r="G50" s="4">
        <f>IFERROR(__xludf.DUMMYFUNCTION("""COMPUTED_VALUE"""),111261.0)</f>
        <v>111261</v>
      </c>
      <c r="H50" s="4">
        <f>IFERROR(__xludf.DUMMYFUNCTION("""COMPUTED_VALUE"""),157686.0)</f>
        <v>157686</v>
      </c>
      <c r="I50" s="4">
        <f>IFERROR(__xludf.DUMMYFUNCTION("""COMPUTED_VALUE"""),314879.0)</f>
        <v>314879</v>
      </c>
      <c r="J50" s="4">
        <f>IFERROR(__xludf.DUMMYFUNCTION("""COMPUTED_VALUE"""),171656.0)</f>
        <v>171656</v>
      </c>
      <c r="K50" s="4">
        <f>IFERROR(__xludf.DUMMYFUNCTION("""COMPUTED_VALUE"""),151881.0)</f>
        <v>151881</v>
      </c>
      <c r="L50" s="4">
        <f>IFERROR(__xludf.DUMMYFUNCTION("""COMPUTED_VALUE"""),151883.0)</f>
        <v>151883</v>
      </c>
      <c r="M50" s="4">
        <f>IFERROR(__xludf.DUMMYFUNCTION("""COMPUTED_VALUE"""),150825.0)</f>
        <v>150825</v>
      </c>
      <c r="N50" s="4">
        <f>IFERROR(__xludf.DUMMYFUNCTION("""COMPUTED_VALUE"""),320526.0)</f>
        <v>320526</v>
      </c>
      <c r="O50" s="14">
        <v>48.0</v>
      </c>
    </row>
    <row r="51">
      <c r="A51" s="14" t="s">
        <v>1640</v>
      </c>
      <c r="C51" s="15" t="s">
        <v>1641</v>
      </c>
      <c r="D51" s="4" t="str">
        <f t="shared" si="2"/>
        <v>139441,309122,195481,209436,165873,178492,205730</v>
      </c>
      <c r="E51" s="4">
        <f>IFERROR(__xludf.DUMMYFUNCTION("SPLIT(D51,"","")"),139441.0)</f>
        <v>139441</v>
      </c>
      <c r="F51" s="4">
        <f>IFERROR(__xludf.DUMMYFUNCTION("""COMPUTED_VALUE"""),309122.0)</f>
        <v>309122</v>
      </c>
      <c r="G51" s="4">
        <f>IFERROR(__xludf.DUMMYFUNCTION("""COMPUTED_VALUE"""),195481.0)</f>
        <v>195481</v>
      </c>
      <c r="H51" s="4">
        <f>IFERROR(__xludf.DUMMYFUNCTION("""COMPUTED_VALUE"""),209436.0)</f>
        <v>209436</v>
      </c>
      <c r="I51" s="4">
        <f>IFERROR(__xludf.DUMMYFUNCTION("""COMPUTED_VALUE"""),165873.0)</f>
        <v>165873</v>
      </c>
      <c r="J51" s="4">
        <f>IFERROR(__xludf.DUMMYFUNCTION("""COMPUTED_VALUE"""),178492.0)</f>
        <v>178492</v>
      </c>
      <c r="K51" s="4">
        <f>IFERROR(__xludf.DUMMYFUNCTION("""COMPUTED_VALUE"""),205730.0)</f>
        <v>205730</v>
      </c>
      <c r="O51" s="14">
        <v>49.0</v>
      </c>
    </row>
    <row r="52">
      <c r="A52" s="14" t="s">
        <v>1642</v>
      </c>
      <c r="C52" s="15" t="s">
        <v>1643</v>
      </c>
      <c r="D52" s="4" t="str">
        <f t="shared" si="2"/>
        <v>111134,119554,152872,324051,119930,111838,110571,136210,137864,320476</v>
      </c>
      <c r="E52" s="4">
        <f>IFERROR(__xludf.DUMMYFUNCTION("SPLIT(D52,"","")"),111134.0)</f>
        <v>111134</v>
      </c>
      <c r="F52" s="4">
        <f>IFERROR(__xludf.DUMMYFUNCTION("""COMPUTED_VALUE"""),119554.0)</f>
        <v>119554</v>
      </c>
      <c r="G52" s="4">
        <f>IFERROR(__xludf.DUMMYFUNCTION("""COMPUTED_VALUE"""),152872.0)</f>
        <v>152872</v>
      </c>
      <c r="H52" s="4">
        <f>IFERROR(__xludf.DUMMYFUNCTION("""COMPUTED_VALUE"""),324051.0)</f>
        <v>324051</v>
      </c>
      <c r="I52" s="4">
        <f>IFERROR(__xludf.DUMMYFUNCTION("""COMPUTED_VALUE"""),119930.0)</f>
        <v>119930</v>
      </c>
      <c r="J52" s="4">
        <f>IFERROR(__xludf.DUMMYFUNCTION("""COMPUTED_VALUE"""),111838.0)</f>
        <v>111838</v>
      </c>
      <c r="K52" s="4">
        <f>IFERROR(__xludf.DUMMYFUNCTION("""COMPUTED_VALUE"""),110571.0)</f>
        <v>110571</v>
      </c>
      <c r="L52" s="4">
        <f>IFERROR(__xludf.DUMMYFUNCTION("""COMPUTED_VALUE"""),136210.0)</f>
        <v>136210</v>
      </c>
      <c r="M52" s="4">
        <f>IFERROR(__xludf.DUMMYFUNCTION("""COMPUTED_VALUE"""),137864.0)</f>
        <v>137864</v>
      </c>
      <c r="N52" s="4">
        <f>IFERROR(__xludf.DUMMYFUNCTION("""COMPUTED_VALUE"""),320476.0)</f>
        <v>320476</v>
      </c>
      <c r="O52" s="14">
        <v>50.0</v>
      </c>
    </row>
    <row r="53">
      <c r="A53" s="14" t="s">
        <v>1644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6" max="16" width="23.38"/>
  </cols>
  <sheetData>
    <row r="1">
      <c r="A1" s="14" t="s">
        <v>1540</v>
      </c>
      <c r="C1" s="14" t="s">
        <v>1541</v>
      </c>
    </row>
    <row r="2">
      <c r="A2" s="14" t="s">
        <v>1542</v>
      </c>
      <c r="C2" s="15" t="s">
        <v>1543</v>
      </c>
      <c r="D2" s="4" t="str">
        <f t="shared" ref="D2:D11" si="1">RIGHT(C2,LEN(C2)-2)</f>
        <v>306645,110137,153380,110452,119273,125495</v>
      </c>
      <c r="E2" s="4">
        <f>IFERROR(__xludf.DUMMYFUNCTION("SPLIT(D2,"","")"),306645.0)</f>
        <v>306645</v>
      </c>
      <c r="F2" s="4">
        <f>IFERROR(__xludf.DUMMYFUNCTION("""COMPUTED_VALUE"""),110137.0)</f>
        <v>110137</v>
      </c>
      <c r="G2" s="4">
        <f>IFERROR(__xludf.DUMMYFUNCTION("""COMPUTED_VALUE"""),153380.0)</f>
        <v>153380</v>
      </c>
      <c r="H2" s="4">
        <f>IFERROR(__xludf.DUMMYFUNCTION("""COMPUTED_VALUE"""),110452.0)</f>
        <v>110452</v>
      </c>
      <c r="I2" s="4">
        <f>IFERROR(__xludf.DUMMYFUNCTION("""COMPUTED_VALUE"""),119273.0)</f>
        <v>119273</v>
      </c>
      <c r="J2" s="4">
        <f>IFERROR(__xludf.DUMMYFUNCTION("""COMPUTED_VALUE"""),125495.0)</f>
        <v>125495</v>
      </c>
      <c r="O2" s="14">
        <v>0.0</v>
      </c>
      <c r="P2" s="4" t="str">
        <f t="array" ref="P2">xlookup(O2,Sheet2!B:B,Sheet2!A:A)</f>
        <v>Accounting Applications (ACT)</v>
      </c>
      <c r="Q2" s="4" t="str">
        <f t="array" ref="Q2">IF(xlookup(E2,'924 data aggregation'!$B:$B,'924 data aggregation'!$G:$G) = "NA",xlookup(E2,'924 data aggregation'!$B:$B,'924 data aggregation'!$A:$A),xlookup(E2,'924 data aggregation'!$B:$B,'924 data aggregation'!$G:$G))</f>
        <v>Adarsh Rajesh</v>
      </c>
      <c r="R2" s="4" t="str">
        <f t="array" ref="R2">IF(xlookup(F2,'924 data aggregation'!$B:$B,'924 data aggregation'!$G:$G) = "NA",xlookup(F2,'924 data aggregation'!$B:$B,'924 data aggregation'!$A:$A),xlookup(F2,'924 data aggregation'!$B:$B,'924 data aggregation'!$G:$G))</f>
        <v>Vinay Reddy</v>
      </c>
      <c r="S2" s="4" t="str">
        <f t="array" ref="S2">IF(xlookup(G2,'924 data aggregation'!$B:$B,'924 data aggregation'!$G:$G) = "NA",xlookup(G2,'924 data aggregation'!$B:$B,'924 data aggregation'!$A:$A),xlookup(G2,'924 data aggregation'!$B:$B,'924 data aggregation'!$G:$G))</f>
        <v>Victor Lehr</v>
      </c>
      <c r="T2" s="4" t="str">
        <f t="array" ref="T2">IF(xlookup(H2,'924 data aggregation'!$B:$B,'924 data aggregation'!$G:$G) = "NA",xlookup(H2,'924 data aggregation'!$B:$B,'924 data aggregation'!$A:$A),xlookup(H2,'924 data aggregation'!$B:$B,'924 data aggregation'!$G:$G))</f>
        <v>Ryan Lee</v>
      </c>
      <c r="U2" s="4" t="str">
        <f t="array" ref="U2">IF(xlookup(I2,'924 data aggregation'!$B:$B,'924 data aggregation'!$G:$G) = "NA",xlookup(I2,'924 data aggregation'!$B:$B,'924 data aggregation'!$A:$A),xlookup(I2,'924 data aggregation'!$B:$B,'924 data aggregation'!$G:$G))</f>
        <v>Roger Peng</v>
      </c>
      <c r="V2" s="4" t="str">
        <f t="array" ref="V2">IF(xlookup(J2,'924 data aggregation'!$B:$B,'924 data aggregation'!$G:$G) = "NA",xlookup(J2,'924 data aggregation'!$B:$B,'924 data aggregation'!$A:$A),xlookup(J2,'924 data aggregation'!$B:$B,'924 data aggregation'!$G:$G))</f>
        <v>Rafay Chaudhry</v>
      </c>
      <c r="W2" s="4" t="str">
        <f t="array" ref="W2">IF(xlookup(K2,'924 data aggregation'!$B:$B,'924 data aggregation'!$G:$G) = "NA",xlookup(K2,'924 data aggregation'!$B:$B,'924 data aggregation'!$A:$A),xlookup(K2,'924 data aggregation'!$B:$B,'924 data aggregation'!$G:$G))</f>
        <v>#N/A</v>
      </c>
      <c r="X2" s="4" t="str">
        <f t="array" ref="X2">IF(xlookup(L2,'924 data aggregation'!$B:$B,'924 data aggregation'!$G:$G) = "NA",xlookup(L2,'924 data aggregation'!$B:$B,'924 data aggregation'!$A:$A),xlookup(L2,'924 data aggregation'!$B:$B,'924 data aggregation'!$G:$G))</f>
        <v>#N/A</v>
      </c>
      <c r="Y2" s="4" t="str">
        <f t="array" ref="Y2">IF(xlookup(M2,'924 data aggregation'!$B:$B,'924 data aggregation'!$G:$G) = "NA",xlookup(M2,'924 data aggregation'!$B:$B,'924 data aggregation'!$A:$A),xlookup(M2,'924 data aggregation'!$B:$B,'924 data aggregation'!$G:$G))</f>
        <v>#N/A</v>
      </c>
      <c r="Z2" s="4" t="str">
        <f t="array" ref="Z2">IF(xlookup(N2,'924 data aggregation'!$B:$B,'924 data aggregation'!$G:$G) = "NA",xlookup(N2,'924 data aggregation'!$B:$B,'924 data aggregation'!$A:$A),xlookup(N2,'924 data aggregation'!$B:$B,'924 data aggregation'!$G:$G))</f>
        <v>#N/A</v>
      </c>
    </row>
    <row r="3">
      <c r="A3" s="14" t="s">
        <v>1544</v>
      </c>
      <c r="C3" s="15" t="s">
        <v>1545</v>
      </c>
      <c r="D3" s="4" t="str">
        <f t="shared" si="1"/>
        <v>118257,148048,186690,184382,119320</v>
      </c>
      <c r="E3" s="4">
        <f>IFERROR(__xludf.DUMMYFUNCTION("SPLIT(D3,"","")"),118257.0)</f>
        <v>118257</v>
      </c>
      <c r="F3" s="4">
        <f>IFERROR(__xludf.DUMMYFUNCTION("""COMPUTED_VALUE"""),148048.0)</f>
        <v>148048</v>
      </c>
      <c r="G3" s="4">
        <f>IFERROR(__xludf.DUMMYFUNCTION("""COMPUTED_VALUE"""),186690.0)</f>
        <v>186690</v>
      </c>
      <c r="H3" s="4">
        <f>IFERROR(__xludf.DUMMYFUNCTION("""COMPUTED_VALUE"""),184382.0)</f>
        <v>184382</v>
      </c>
      <c r="I3" s="4">
        <f>IFERROR(__xludf.DUMMYFUNCTION("""COMPUTED_VALUE"""),119320.0)</f>
        <v>119320</v>
      </c>
      <c r="O3" s="14">
        <v>1.0</v>
      </c>
      <c r="P3" s="4" t="str">
        <f t="array" ref="P3">xlookup(O3,Sheet2!B:B,Sheet2!A:A)</f>
        <v>Apparel and Accessories Marketing (AAM)</v>
      </c>
      <c r="Q3" s="4" t="str">
        <f t="array" ref="Q3">IF(xlookup(E3,'924 data aggregation'!B:B,'924 data aggregation'!G:G) = "NA",xlookup(E3,'924 data aggregation'!B:B,'924 data aggregation'!A:A),xlookup(E3,'924 data aggregation'!B:B,'924 data aggregation'!G:G))</f>
        <v>Avery Chen</v>
      </c>
      <c r="R3" s="4" t="str">
        <f t="array" ref="R3">IF(xlookup(F3,'924 data aggregation'!$B:$B,'924 data aggregation'!$G:$G) = "NA",xlookup(F3,'924 data aggregation'!$B:$B,'924 data aggregation'!$A:$A),xlookup(F3,'924 data aggregation'!$B:$B,'924 data aggregation'!$G:$G))</f>
        <v>Shruti Sijaria</v>
      </c>
      <c r="S3" s="4" t="str">
        <f t="array" ref="S3">IF(xlookup(G3,'924 data aggregation'!$B:$B,'924 data aggregation'!$G:$G) = "NA",xlookup(G3,'924 data aggregation'!$B:$B,'924 data aggregation'!$A:$A),xlookup(G3,'924 data aggregation'!$B:$B,'924 data aggregation'!$G:$G))</f>
        <v>Sai Anumakonda</v>
      </c>
      <c r="T3" s="4" t="str">
        <f t="array" ref="T3">IF(xlookup(H3,'924 data aggregation'!$B:$B,'924 data aggregation'!$G:$G) = "NA",xlookup(H3,'924 data aggregation'!$B:$B,'924 data aggregation'!$A:$A),xlookup(H3,'924 data aggregation'!$B:$B,'924 data aggregation'!$G:$G))</f>
        <v>Nitya Dani</v>
      </c>
      <c r="U3" s="4" t="str">
        <f t="array" ref="U3">IF(xlookup(I3,'924 data aggregation'!$B:$B,'924 data aggregation'!$G:$G) = "NA",xlookup(I3,'924 data aggregation'!$B:$B,'924 data aggregation'!$A:$A),xlookup(I3,'924 data aggregation'!$B:$B,'924 data aggregation'!$G:$G))</f>
        <v>Evelyn Stidvent</v>
      </c>
      <c r="V3" s="4" t="str">
        <f t="array" ref="V3">IF(xlookup(J3,'924 data aggregation'!$B:$B,'924 data aggregation'!$G:$G) = "NA",xlookup(J3,'924 data aggregation'!$B:$B,'924 data aggregation'!$A:$A),xlookup(J3,'924 data aggregation'!$B:$B,'924 data aggregation'!$G:$G))</f>
        <v>#N/A</v>
      </c>
      <c r="W3" s="4" t="str">
        <f t="array" ref="W3">IF(xlookup(K3,'924 data aggregation'!$B:$B,'924 data aggregation'!$G:$G) = "NA",xlookup(K3,'924 data aggregation'!$B:$B,'924 data aggregation'!$A:$A),xlookup(K3,'924 data aggregation'!$B:$B,'924 data aggregation'!$G:$G))</f>
        <v>#N/A</v>
      </c>
      <c r="X3" s="4" t="str">
        <f t="array" ref="X3">IF(xlookup(L3,'924 data aggregation'!$B:$B,'924 data aggregation'!$G:$G) = "NA",xlookup(L3,'924 data aggregation'!$B:$B,'924 data aggregation'!$A:$A),xlookup(L3,'924 data aggregation'!$B:$B,'924 data aggregation'!$G:$G))</f>
        <v>#N/A</v>
      </c>
      <c r="Y3" s="4" t="str">
        <f t="array" ref="Y3">IF(xlookup(M3,'924 data aggregation'!$B:$B,'924 data aggregation'!$G:$G) = "NA",xlookup(M3,'924 data aggregation'!$B:$B,'924 data aggregation'!$A:$A),xlookup(M3,'924 data aggregation'!$B:$B,'924 data aggregation'!$G:$G))</f>
        <v>#N/A</v>
      </c>
      <c r="Z3" s="4" t="str">
        <f t="array" ref="Z3">IF(xlookup(N3,'924 data aggregation'!$B:$B,'924 data aggregation'!$G:$G) = "NA",xlookup(N3,'924 data aggregation'!$B:$B,'924 data aggregation'!$A:$A),xlookup(N3,'924 data aggregation'!$B:$B,'924 data aggregation'!$G:$G))</f>
        <v>#N/A</v>
      </c>
    </row>
    <row r="4">
      <c r="A4" s="14" t="s">
        <v>1546</v>
      </c>
      <c r="C4" s="15" t="s">
        <v>1547</v>
      </c>
      <c r="D4" s="4" t="str">
        <f t="shared" si="1"/>
        <v>163486,153248,312216,202086</v>
      </c>
      <c r="E4" s="4">
        <f>IFERROR(__xludf.DUMMYFUNCTION("SPLIT(D4,"","")"),163486.0)</f>
        <v>163486</v>
      </c>
      <c r="F4" s="4">
        <f>IFERROR(__xludf.DUMMYFUNCTION("""COMPUTED_VALUE"""),153248.0)</f>
        <v>153248</v>
      </c>
      <c r="G4" s="4">
        <f>IFERROR(__xludf.DUMMYFUNCTION("""COMPUTED_VALUE"""),312216.0)</f>
        <v>312216</v>
      </c>
      <c r="H4" s="4">
        <f>IFERROR(__xludf.DUMMYFUNCTION("""COMPUTED_VALUE"""),202086.0)</f>
        <v>202086</v>
      </c>
      <c r="O4" s="14">
        <v>2.0</v>
      </c>
      <c r="P4" s="4" t="str">
        <f t="array" ref="P4">xlookup(O4,Sheet2!B:B,Sheet2!A:A)</f>
        <v>Automotive Services Marketing (ASM)</v>
      </c>
      <c r="Q4" s="4" t="str">
        <f t="array" ref="Q4">IF(xlookup(E4,'924 data aggregation'!B:B,'924 data aggregation'!G:G) = "NA",xlookup(E4,'924 data aggregation'!B:B,'924 data aggregation'!A:A),xlookup(E4,'924 data aggregation'!B:B,'924 data aggregation'!G:G))</f>
        <v>Nithin Shankara</v>
      </c>
      <c r="R4" s="4" t="str">
        <f t="array" ref="R4">IF(xlookup(F4,'924 data aggregation'!$B:$B,'924 data aggregation'!$G:$G) = "NA",xlookup(F4,'924 data aggregation'!$B:$B,'924 data aggregation'!$A:$A),xlookup(F4,'924 data aggregation'!$B:$B,'924 data aggregation'!$G:$G))</f>
        <v>Santosh Balasubramanian</v>
      </c>
      <c r="S4" s="4" t="str">
        <f t="array" ref="S4">IF(xlookup(G4,'924 data aggregation'!$B:$B,'924 data aggregation'!$G:$G) = "NA",xlookup(G4,'924 data aggregation'!$B:$B,'924 data aggregation'!$A:$A),xlookup(G4,'924 data aggregation'!$B:$B,'924 data aggregation'!$G:$G))</f>
        <v>Akshobhya Manthati</v>
      </c>
      <c r="T4" s="4" t="str">
        <f t="array" ref="T4">IF(xlookup(H4,'924 data aggregation'!$B:$B,'924 data aggregation'!$G:$G) = "NA",xlookup(H4,'924 data aggregation'!$B:$B,'924 data aggregation'!$A:$A),xlookup(H4,'924 data aggregation'!$B:$B,'924 data aggregation'!$G:$G))</f>
        <v>Jayant, Kalra</v>
      </c>
      <c r="U4" s="4" t="str">
        <f t="array" ref="U4">IF(xlookup(I4,'924 data aggregation'!$B:$B,'924 data aggregation'!$G:$G) = "NA",xlookup(I4,'924 data aggregation'!$B:$B,'924 data aggregation'!$A:$A),xlookup(I4,'924 data aggregation'!$B:$B,'924 data aggregation'!$G:$G))</f>
        <v>#N/A</v>
      </c>
      <c r="V4" s="4" t="str">
        <f t="array" ref="V4">IF(xlookup(J4,'924 data aggregation'!$B:$B,'924 data aggregation'!$G:$G) = "NA",xlookup(J4,'924 data aggregation'!$B:$B,'924 data aggregation'!$A:$A),xlookup(J4,'924 data aggregation'!$B:$B,'924 data aggregation'!$G:$G))</f>
        <v>#N/A</v>
      </c>
      <c r="W4" s="4" t="str">
        <f t="array" ref="W4">IF(xlookup(K4,'924 data aggregation'!$B:$B,'924 data aggregation'!$G:$G) = "NA",xlookup(K4,'924 data aggregation'!$B:$B,'924 data aggregation'!$A:$A),xlookup(K4,'924 data aggregation'!$B:$B,'924 data aggregation'!$G:$G))</f>
        <v>#N/A</v>
      </c>
      <c r="X4" s="4" t="str">
        <f t="array" ref="X4">IF(xlookup(L4,'924 data aggregation'!$B:$B,'924 data aggregation'!$G:$G) = "NA",xlookup(L4,'924 data aggregation'!$B:$B,'924 data aggregation'!$A:$A),xlookup(L4,'924 data aggregation'!$B:$B,'924 data aggregation'!$G:$G))</f>
        <v>#N/A</v>
      </c>
      <c r="Y4" s="4" t="str">
        <f t="array" ref="Y4">IF(xlookup(M4,'924 data aggregation'!$B:$B,'924 data aggregation'!$G:$G) = "NA",xlookup(M4,'924 data aggregation'!$B:$B,'924 data aggregation'!$A:$A),xlookup(M4,'924 data aggregation'!$B:$B,'924 data aggregation'!$G:$G))</f>
        <v>#N/A</v>
      </c>
      <c r="Z4" s="4" t="str">
        <f t="array" ref="Z4">IF(xlookup(N4,'924 data aggregation'!$B:$B,'924 data aggregation'!$G:$G) = "NA",xlookup(N4,'924 data aggregation'!$B:$B,'924 data aggregation'!$A:$A),xlookup(N4,'924 data aggregation'!$B:$B,'924 data aggregation'!$G:$G))</f>
        <v>#N/A</v>
      </c>
    </row>
    <row r="5">
      <c r="A5" s="14" t="s">
        <v>1548</v>
      </c>
      <c r="C5" s="15" t="s">
        <v>1549</v>
      </c>
      <c r="D5" s="4" t="str">
        <f t="shared" si="1"/>
        <v>162386,155629,151855,136527,109386,148203</v>
      </c>
      <c r="E5" s="4">
        <f>IFERROR(__xludf.DUMMYFUNCTION("SPLIT(D5,"","")"),162386.0)</f>
        <v>162386</v>
      </c>
      <c r="F5" s="4">
        <f>IFERROR(__xludf.DUMMYFUNCTION("""COMPUTED_VALUE"""),155629.0)</f>
        <v>155629</v>
      </c>
      <c r="G5" s="4">
        <f>IFERROR(__xludf.DUMMYFUNCTION("""COMPUTED_VALUE"""),151855.0)</f>
        <v>151855</v>
      </c>
      <c r="H5" s="4">
        <f>IFERROR(__xludf.DUMMYFUNCTION("""COMPUTED_VALUE"""),136527.0)</f>
        <v>136527</v>
      </c>
      <c r="I5" s="4">
        <f>IFERROR(__xludf.DUMMYFUNCTION("""COMPUTED_VALUE"""),109386.0)</f>
        <v>109386</v>
      </c>
      <c r="J5" s="4">
        <f>IFERROR(__xludf.DUMMYFUNCTION("""COMPUTED_VALUE"""),148203.0)</f>
        <v>148203</v>
      </c>
      <c r="O5" s="14">
        <v>3.0</v>
      </c>
      <c r="P5" s="4" t="str">
        <f t="array" ref="P5">xlookup(O5,Sheet2!B:B,Sheet2!A:A)</f>
        <v>Business Finance (BFS)</v>
      </c>
      <c r="Q5" s="4" t="str">
        <f t="array" ref="Q5">IF(xlookup(E5,'924 data aggregation'!B:B,'924 data aggregation'!G:G) = "NA",xlookup(E5,'924 data aggregation'!B:B,'924 data aggregation'!A:A),xlookup(E5,'924 data aggregation'!B:B,'924 data aggregation'!G:G))</f>
        <v>Neha Reddy</v>
      </c>
      <c r="R5" s="4" t="str">
        <f t="array" ref="R5">IF(xlookup(F5,'924 data aggregation'!$B:$B,'924 data aggregation'!$G:$G) = "NA",xlookup(F5,'924 data aggregation'!$B:$B,'924 data aggregation'!$A:$A),xlookup(F5,'924 data aggregation'!$B:$B,'924 data aggregation'!$G:$G))</f>
        <v>Savya Bhat</v>
      </c>
      <c r="S5" s="4" t="str">
        <f t="array" ref="S5">IF(xlookup(G5,'924 data aggregation'!$B:$B,'924 data aggregation'!$G:$G) = "NA",xlookup(G5,'924 data aggregation'!$B:$B,'924 data aggregation'!$A:$A),xlookup(G5,'924 data aggregation'!$B:$B,'924 data aggregation'!$G:$G))</f>
        <v>Isha Gokhale</v>
      </c>
      <c r="T5" s="4" t="str">
        <f t="array" ref="T5">IF(xlookup(H5,'924 data aggregation'!$B:$B,'924 data aggregation'!$G:$G) = "NA",xlookup(H5,'924 data aggregation'!$B:$B,'924 data aggregation'!$A:$A),xlookup(H5,'924 data aggregation'!$B:$B,'924 data aggregation'!$G:$G))</f>
        <v>Vishan Lakhia</v>
      </c>
      <c r="U5" s="4" t="str">
        <f t="array" ref="U5">IF(xlookup(I5,'924 data aggregation'!$B:$B,'924 data aggregation'!$G:$G) = "NA",xlookup(I5,'924 data aggregation'!$B:$B,'924 data aggregation'!$A:$A),xlookup(I5,'924 data aggregation'!$B:$B,'924 data aggregation'!$G:$G))</f>
        <v>Nischal Kotamraju</v>
      </c>
      <c r="V5" s="4" t="str">
        <f t="array" ref="V5">IF(xlookup(J5,'924 data aggregation'!$B:$B,'924 data aggregation'!$G:$G) = "NA",xlookup(J5,'924 data aggregation'!$B:$B,'924 data aggregation'!$A:$A),xlookup(J5,'924 data aggregation'!$B:$B,'924 data aggregation'!$G:$G))</f>
        <v>Jai Shenoy</v>
      </c>
      <c r="W5" s="4" t="str">
        <f t="array" ref="W5">IF(xlookup(K5,'924 data aggregation'!$B:$B,'924 data aggregation'!$G:$G) = "NA",xlookup(K5,'924 data aggregation'!$B:$B,'924 data aggregation'!$A:$A),xlookup(K5,'924 data aggregation'!$B:$B,'924 data aggregation'!$G:$G))</f>
        <v>#N/A</v>
      </c>
      <c r="X5" s="4" t="str">
        <f t="array" ref="X5">IF(xlookup(L5,'924 data aggregation'!$B:$B,'924 data aggregation'!$G:$G) = "NA",xlookup(L5,'924 data aggregation'!$B:$B,'924 data aggregation'!$A:$A),xlookup(L5,'924 data aggregation'!$B:$B,'924 data aggregation'!$G:$G))</f>
        <v>#N/A</v>
      </c>
      <c r="Y5" s="4" t="str">
        <f t="array" ref="Y5">IF(xlookup(M5,'924 data aggregation'!$B:$B,'924 data aggregation'!$G:$G) = "NA",xlookup(M5,'924 data aggregation'!$B:$B,'924 data aggregation'!$A:$A),xlookup(M5,'924 data aggregation'!$B:$B,'924 data aggregation'!$G:$G))</f>
        <v>#N/A</v>
      </c>
      <c r="Z5" s="4" t="str">
        <f t="array" ref="Z5">IF(xlookup(N5,'924 data aggregation'!$B:$B,'924 data aggregation'!$G:$G) = "NA",xlookup(N5,'924 data aggregation'!$B:$B,'924 data aggregation'!$A:$A),xlookup(N5,'924 data aggregation'!$B:$B,'924 data aggregation'!$G:$G))</f>
        <v>#N/A</v>
      </c>
    </row>
    <row r="6">
      <c r="A6" s="14" t="s">
        <v>1550</v>
      </c>
      <c r="C6" s="15" t="s">
        <v>1551</v>
      </c>
      <c r="D6" s="4" t="str">
        <f t="shared" si="1"/>
        <v>190963,311782</v>
      </c>
      <c r="E6" s="4">
        <f>IFERROR(__xludf.DUMMYFUNCTION("SPLIT(D6,"","")"),190963.0)</f>
        <v>190963</v>
      </c>
      <c r="F6" s="4">
        <f>IFERROR(__xludf.DUMMYFUNCTION("""COMPUTED_VALUE"""),311782.0)</f>
        <v>311782</v>
      </c>
      <c r="O6" s="14">
        <v>4.0</v>
      </c>
      <c r="P6" s="4" t="str">
        <f t="array" ref="P6">xlookup(O6,Sheet2!B:B,Sheet2!A:A)</f>
        <v>Business Growth Plan (EBG)</v>
      </c>
      <c r="Q6" s="4" t="str">
        <f t="array" ref="Q6">IF(xlookup(E6,'924 data aggregation'!B:B,'924 data aggregation'!G:G) = "NA",xlookup(E6,'924 data aggregation'!B:B,'924 data aggregation'!A:A),xlookup(E6,'924 data aggregation'!B:B,'924 data aggregation'!G:G))</f>
        <v>Aarav Kumar</v>
      </c>
      <c r="R6" s="4" t="str">
        <f t="array" ref="R6">IF(xlookup(F6,'924 data aggregation'!$B:$B,'924 data aggregation'!$G:$G) = "NA",xlookup(F6,'924 data aggregation'!$B:$B,'924 data aggregation'!$A:$A),xlookup(F6,'924 data aggregation'!$B:$B,'924 data aggregation'!$G:$G))</f>
        <v>Matan Heber, Henit Jain, Tam Bao Tran</v>
      </c>
      <c r="S6" s="4" t="str">
        <f t="array" ref="S6">IF(xlookup(G6,'924 data aggregation'!$B:$B,'924 data aggregation'!$G:$G) = "NA",xlookup(G6,'924 data aggregation'!$B:$B,'924 data aggregation'!$A:$A),xlookup(G6,'924 data aggregation'!$B:$B,'924 data aggregation'!$G:$G))</f>
        <v>#N/A</v>
      </c>
      <c r="T6" s="4" t="str">
        <f t="array" ref="T6">IF(xlookup(H6,'924 data aggregation'!$B:$B,'924 data aggregation'!$G:$G) = "NA",xlookup(H6,'924 data aggregation'!$B:$B,'924 data aggregation'!$A:$A),xlookup(H6,'924 data aggregation'!$B:$B,'924 data aggregation'!$G:$G))</f>
        <v>#N/A</v>
      </c>
      <c r="U6" s="4" t="str">
        <f t="array" ref="U6">IF(xlookup(I6,'924 data aggregation'!$B:$B,'924 data aggregation'!$G:$G) = "NA",xlookup(I6,'924 data aggregation'!$B:$B,'924 data aggregation'!$A:$A),xlookup(I6,'924 data aggregation'!$B:$B,'924 data aggregation'!$G:$G))</f>
        <v>#N/A</v>
      </c>
      <c r="V6" s="4" t="str">
        <f t="array" ref="V6">IF(xlookup(J6,'924 data aggregation'!$B:$B,'924 data aggregation'!$G:$G) = "NA",xlookup(J6,'924 data aggregation'!$B:$B,'924 data aggregation'!$A:$A),xlookup(J6,'924 data aggregation'!$B:$B,'924 data aggregation'!$G:$G))</f>
        <v>#N/A</v>
      </c>
      <c r="W6" s="4" t="str">
        <f t="array" ref="W6">IF(xlookup(K6,'924 data aggregation'!$B:$B,'924 data aggregation'!$G:$G) = "NA",xlookup(K6,'924 data aggregation'!$B:$B,'924 data aggregation'!$A:$A),xlookup(K6,'924 data aggregation'!$B:$B,'924 data aggregation'!$G:$G))</f>
        <v>#N/A</v>
      </c>
      <c r="X6" s="4" t="str">
        <f t="array" ref="X6">IF(xlookup(L6,'924 data aggregation'!$B:$B,'924 data aggregation'!$G:$G) = "NA",xlookup(L6,'924 data aggregation'!$B:$B,'924 data aggregation'!$A:$A),xlookup(L6,'924 data aggregation'!$B:$B,'924 data aggregation'!$G:$G))</f>
        <v>#N/A</v>
      </c>
      <c r="Y6" s="4" t="str">
        <f t="array" ref="Y6">IF(xlookup(M6,'924 data aggregation'!$B:$B,'924 data aggregation'!$G:$G) = "NA",xlookup(M6,'924 data aggregation'!$B:$B,'924 data aggregation'!$A:$A),xlookup(M6,'924 data aggregation'!$B:$B,'924 data aggregation'!$G:$G))</f>
        <v>#N/A</v>
      </c>
      <c r="Z6" s="4" t="str">
        <f t="array" ref="Z6">IF(xlookup(N6,'924 data aggregation'!$B:$B,'924 data aggregation'!$G:$G) = "NA",xlookup(N6,'924 data aggregation'!$B:$B,'924 data aggregation'!$A:$A),xlookup(N6,'924 data aggregation'!$B:$B,'924 data aggregation'!$G:$G))</f>
        <v>#N/A</v>
      </c>
    </row>
    <row r="7">
      <c r="A7" s="14" t="s">
        <v>1552</v>
      </c>
      <c r="C7" s="15" t="s">
        <v>1553</v>
      </c>
      <c r="D7" s="4" t="str">
        <f t="shared" si="1"/>
        <v>110390,153984,137724,325570,137122,157788,205403,204860,149804,203326</v>
      </c>
      <c r="E7" s="4">
        <f>IFERROR(__xludf.DUMMYFUNCTION("SPLIT(D7,"","")"),110390.0)</f>
        <v>110390</v>
      </c>
      <c r="F7" s="4">
        <f>IFERROR(__xludf.DUMMYFUNCTION("""COMPUTED_VALUE"""),153984.0)</f>
        <v>153984</v>
      </c>
      <c r="G7" s="4">
        <f>IFERROR(__xludf.DUMMYFUNCTION("""COMPUTED_VALUE"""),137724.0)</f>
        <v>137724</v>
      </c>
      <c r="H7" s="4">
        <f>IFERROR(__xludf.DUMMYFUNCTION("""COMPUTED_VALUE"""),325570.0)</f>
        <v>325570</v>
      </c>
      <c r="I7" s="4">
        <f>IFERROR(__xludf.DUMMYFUNCTION("""COMPUTED_VALUE"""),137122.0)</f>
        <v>137122</v>
      </c>
      <c r="J7" s="4">
        <f>IFERROR(__xludf.DUMMYFUNCTION("""COMPUTED_VALUE"""),157788.0)</f>
        <v>157788</v>
      </c>
      <c r="K7" s="4">
        <f>IFERROR(__xludf.DUMMYFUNCTION("""COMPUTED_VALUE"""),205403.0)</f>
        <v>205403</v>
      </c>
      <c r="L7" s="4">
        <f>IFERROR(__xludf.DUMMYFUNCTION("""COMPUTED_VALUE"""),204860.0)</f>
        <v>204860</v>
      </c>
      <c r="M7" s="4">
        <f>IFERROR(__xludf.DUMMYFUNCTION("""COMPUTED_VALUE"""),149804.0)</f>
        <v>149804</v>
      </c>
      <c r="N7" s="4">
        <f>IFERROR(__xludf.DUMMYFUNCTION("""COMPUTED_VALUE"""),203326.0)</f>
        <v>203326</v>
      </c>
      <c r="O7" s="14">
        <v>5.0</v>
      </c>
      <c r="P7" s="4" t="str">
        <f t="array" ref="P7">xlookup(O7,Sheet2!B:B,Sheet2!A:A)</f>
        <v>Business Law and Ethics (BLTDM)</v>
      </c>
      <c r="Q7" s="4" t="str">
        <f t="array" ref="Q7">IF(xlookup(E7,'924 data aggregation'!B:B,'924 data aggregation'!G:G) = "NA",xlookup(E7,'924 data aggregation'!B:B,'924 data aggregation'!A:A),xlookup(E7,'924 data aggregation'!B:B,'924 data aggregation'!G:G))</f>
        <v>Loy Bhowmick, Neev Gupta</v>
      </c>
      <c r="R7" s="4" t="str">
        <f t="array" ref="R7">IF(xlookup(F7,'924 data aggregation'!$B:$B,'924 data aggregation'!$G:$G) = "NA",xlookup(F7,'924 data aggregation'!$B:$B,'924 data aggregation'!$A:$A),xlookup(F7,'924 data aggregation'!$B:$B,'924 data aggregation'!$G:$G))</f>
        <v>Howell Wu, Aaron Yeh</v>
      </c>
      <c r="S7" s="4" t="str">
        <f t="array" ref="S7">IF(xlookup(G7,'924 data aggregation'!$B:$B,'924 data aggregation'!$G:$G) = "NA",xlookup(G7,'924 data aggregation'!$B:$B,'924 data aggregation'!$A:$A),xlookup(G7,'924 data aggregation'!$B:$B,'924 data aggregation'!$G:$G))</f>
        <v>Brijnandan Saranu, Joshua Boersema</v>
      </c>
      <c r="T7" s="4" t="str">
        <f t="array" ref="T7">IF(xlookup(H7,'924 data aggregation'!$B:$B,'924 data aggregation'!$G:$G) = "NA",xlookup(H7,'924 data aggregation'!$B:$B,'924 data aggregation'!$A:$A),xlookup(H7,'924 data aggregation'!$B:$B,'924 data aggregation'!$G:$G))</f>
        <v>Haoxin Wang, Rupal Jain</v>
      </c>
      <c r="U7" s="4" t="str">
        <f t="array" ref="U7">IF(xlookup(I7,'924 data aggregation'!$B:$B,'924 data aggregation'!$G:$G) = "NA",xlookup(I7,'924 data aggregation'!$B:$B,'924 data aggregation'!$A:$A),xlookup(I7,'924 data aggregation'!$B:$B,'924 data aggregation'!$G:$G))</f>
        <v>Yasmine Siba, Amira Benchouia </v>
      </c>
      <c r="V7" s="4" t="str">
        <f t="array" ref="V7">IF(xlookup(J7,'924 data aggregation'!$B:$B,'924 data aggregation'!$G:$G) = "NA",xlookup(J7,'924 data aggregation'!$B:$B,'924 data aggregation'!$A:$A),xlookup(J7,'924 data aggregation'!$B:$B,'924 data aggregation'!$G:$G))</f>
        <v>Aman Dave, Hanish Mamidi</v>
      </c>
      <c r="W7" s="4" t="str">
        <f t="array" ref="W7">IF(xlookup(K7,'924 data aggregation'!$B:$B,'924 data aggregation'!$G:$G) = "NA",xlookup(K7,'924 data aggregation'!$B:$B,'924 data aggregation'!$A:$A),xlookup(K7,'924 data aggregation'!$B:$B,'924 data aggregation'!$G:$G))</f>
        <v>Raina Nasta, Vishwa Parakkuth</v>
      </c>
      <c r="X7" s="4" t="str">
        <f t="array" ref="X7">IF(xlookup(L7,'924 data aggregation'!$B:$B,'924 data aggregation'!$G:$G) = "NA",xlookup(L7,'924 data aggregation'!$B:$B,'924 data aggregation'!$A:$A),xlookup(L7,'924 data aggregation'!$B:$B,'924 data aggregation'!$G:$G))</f>
        <v>Mia Shetty, Julianne Wu</v>
      </c>
      <c r="Y7" s="4" t="str">
        <f t="array" ref="Y7">IF(xlookup(M7,'924 data aggregation'!$B:$B,'924 data aggregation'!$G:$G) = "NA",xlookup(M7,'924 data aggregation'!$B:$B,'924 data aggregation'!$A:$A),xlookup(M7,'924 data aggregation'!$B:$B,'924 data aggregation'!$G:$G))</f>
        <v>Emma Xia, Alyssa Li</v>
      </c>
      <c r="Z7" s="4" t="str">
        <f t="array" ref="Z7">IF(xlookup(N7,'924 data aggregation'!$B:$B,'924 data aggregation'!$G:$G) = "NA",xlookup(N7,'924 data aggregation'!$B:$B,'924 data aggregation'!$A:$A),xlookup(N7,'924 data aggregation'!$B:$B,'924 data aggregation'!$G:$G))</f>
        <v>Khyathi Vangali, Nandhini Arunachalam</v>
      </c>
    </row>
    <row r="8">
      <c r="A8" s="14" t="s">
        <v>1554</v>
      </c>
      <c r="C8" s="15" t="s">
        <v>1555</v>
      </c>
      <c r="D8" s="4" t="str">
        <f t="shared" si="1"/>
        <v>125698,116685,111281,138182</v>
      </c>
      <c r="E8" s="4">
        <f>IFERROR(__xludf.DUMMYFUNCTION("SPLIT(D8,"","")"),125698.0)</f>
        <v>125698</v>
      </c>
      <c r="F8" s="4">
        <f>IFERROR(__xludf.DUMMYFUNCTION("""COMPUTED_VALUE"""),116685.0)</f>
        <v>116685</v>
      </c>
      <c r="G8" s="4">
        <f>IFERROR(__xludf.DUMMYFUNCTION("""COMPUTED_VALUE"""),111281.0)</f>
        <v>111281</v>
      </c>
      <c r="H8" s="4">
        <f>IFERROR(__xludf.DUMMYFUNCTION("""COMPUTED_VALUE"""),138182.0)</f>
        <v>138182</v>
      </c>
      <c r="O8" s="14">
        <v>6.0</v>
      </c>
      <c r="P8" s="4" t="str">
        <f t="array" ref="P8">xlookup(O8,Sheet2!B:B,Sheet2!A:A)</f>
        <v>Business Services Marketing (BSM)</v>
      </c>
      <c r="Q8" s="4" t="str">
        <f t="array" ref="Q8">IF(xlookup(E8,'924 data aggregation'!B:B,'924 data aggregation'!G:G) = "NA",xlookup(E8,'924 data aggregation'!B:B,'924 data aggregation'!A:A),xlookup(E8,'924 data aggregation'!B:B,'924 data aggregation'!G:G))</f>
        <v>Arnav Maskey</v>
      </c>
      <c r="R8" s="4" t="str">
        <f t="array" ref="R8">IF(xlookup(F8,'924 data aggregation'!$B:$B,'924 data aggregation'!$G:$G) = "NA",xlookup(F8,'924 data aggregation'!$B:$B,'924 data aggregation'!$A:$A),xlookup(F8,'924 data aggregation'!$B:$B,'924 data aggregation'!$G:$G))</f>
        <v>Charlie Hui</v>
      </c>
      <c r="S8" s="4" t="str">
        <f t="array" ref="S8">IF(xlookup(G8,'924 data aggregation'!$B:$B,'924 data aggregation'!$G:$G) = "NA",xlookup(G8,'924 data aggregation'!$B:$B,'924 data aggregation'!$A:$A),xlookup(G8,'924 data aggregation'!$B:$B,'924 data aggregation'!$G:$G))</f>
        <v>Aayush Kumar</v>
      </c>
      <c r="T8" s="4" t="str">
        <f t="array" ref="T8">IF(xlookup(H8,'924 data aggregation'!$B:$B,'924 data aggregation'!$G:$G) = "NA",xlookup(H8,'924 data aggregation'!$B:$B,'924 data aggregation'!$A:$A),xlookup(H8,'924 data aggregation'!$B:$B,'924 data aggregation'!$G:$G))</f>
        <v>Ethan Grigsby</v>
      </c>
      <c r="U8" s="4" t="str">
        <f t="array" ref="U8">IF(xlookup(I8,'924 data aggregation'!$B:$B,'924 data aggregation'!$G:$G) = "NA",xlookup(I8,'924 data aggregation'!$B:$B,'924 data aggregation'!$A:$A),xlookup(I8,'924 data aggregation'!$B:$B,'924 data aggregation'!$G:$G))</f>
        <v>#N/A</v>
      </c>
      <c r="V8" s="4" t="str">
        <f t="array" ref="V8">IF(xlookup(J8,'924 data aggregation'!$B:$B,'924 data aggregation'!$G:$G) = "NA",xlookup(J8,'924 data aggregation'!$B:$B,'924 data aggregation'!$A:$A),xlookup(J8,'924 data aggregation'!$B:$B,'924 data aggregation'!$G:$G))</f>
        <v>#N/A</v>
      </c>
      <c r="W8" s="4" t="str">
        <f t="array" ref="W8">IF(xlookup(K8,'924 data aggregation'!$B:$B,'924 data aggregation'!$G:$G) = "NA",xlookup(K8,'924 data aggregation'!$B:$B,'924 data aggregation'!$A:$A),xlookup(K8,'924 data aggregation'!$B:$B,'924 data aggregation'!$G:$G))</f>
        <v>#N/A</v>
      </c>
      <c r="X8" s="4" t="str">
        <f t="array" ref="X8">IF(xlookup(L8,'924 data aggregation'!$B:$B,'924 data aggregation'!$G:$G) = "NA",xlookup(L8,'924 data aggregation'!$B:$B,'924 data aggregation'!$A:$A),xlookup(L8,'924 data aggregation'!$B:$B,'924 data aggregation'!$G:$G))</f>
        <v>#N/A</v>
      </c>
      <c r="Y8" s="4" t="str">
        <f t="array" ref="Y8">IF(xlookup(M8,'924 data aggregation'!$B:$B,'924 data aggregation'!$G:$G) = "NA",xlookup(M8,'924 data aggregation'!$B:$B,'924 data aggregation'!$A:$A),xlookup(M8,'924 data aggregation'!$B:$B,'924 data aggregation'!$G:$G))</f>
        <v>#N/A</v>
      </c>
      <c r="Z8" s="4" t="str">
        <f t="array" ref="Z8">IF(xlookup(N8,'924 data aggregation'!$B:$B,'924 data aggregation'!$G:$G) = "NA",xlookup(N8,'924 data aggregation'!$B:$B,'924 data aggregation'!$A:$A),xlookup(N8,'924 data aggregation'!$B:$B,'924 data aggregation'!$G:$G))</f>
        <v>#N/A</v>
      </c>
    </row>
    <row r="9">
      <c r="A9" s="14" t="s">
        <v>1556</v>
      </c>
      <c r="C9" s="15" t="s">
        <v>1557</v>
      </c>
      <c r="D9" s="4" t="str">
        <f t="shared" si="1"/>
        <v>188447,171926,137947,138695,151869,151509</v>
      </c>
      <c r="E9" s="4">
        <f>IFERROR(__xludf.DUMMYFUNCTION("SPLIT(D9,"","")"),188447.0)</f>
        <v>188447</v>
      </c>
      <c r="F9" s="4">
        <f>IFERROR(__xludf.DUMMYFUNCTION("""COMPUTED_VALUE"""),171926.0)</f>
        <v>171926</v>
      </c>
      <c r="G9" s="4">
        <f>IFERROR(__xludf.DUMMYFUNCTION("""COMPUTED_VALUE"""),137947.0)</f>
        <v>137947</v>
      </c>
      <c r="H9" s="4">
        <f>IFERROR(__xludf.DUMMYFUNCTION("""COMPUTED_VALUE"""),138695.0)</f>
        <v>138695</v>
      </c>
      <c r="I9" s="4">
        <f>IFERROR(__xludf.DUMMYFUNCTION("""COMPUTED_VALUE"""),151869.0)</f>
        <v>151869</v>
      </c>
      <c r="J9" s="4">
        <f>IFERROR(__xludf.DUMMYFUNCTION("""COMPUTED_VALUE"""),151509.0)</f>
        <v>151509</v>
      </c>
      <c r="O9" s="14">
        <v>7.0</v>
      </c>
      <c r="P9" s="4" t="str">
        <f t="array" ref="P9">xlookup(O9,Sheet2!B:B,Sheet2!A:A)</f>
        <v>Business Services Operations (BOR)</v>
      </c>
      <c r="Q9" s="4" t="str">
        <f t="array" ref="Q9">IF(xlookup(E9,'924 data aggregation'!B:B,'924 data aggregation'!G:G) = "NA",xlookup(E9,'924 data aggregation'!B:B,'924 data aggregation'!A:A),xlookup(E9,'924 data aggregation'!B:B,'924 data aggregation'!G:G))</f>
        <v>Arshi Moozhikkara, Laasya Bysani</v>
      </c>
      <c r="R9" s="4" t="str">
        <f t="array" ref="R9">IF(xlookup(F9,'924 data aggregation'!$B:$B,'924 data aggregation'!$G:$G) = "NA",xlookup(F9,'924 data aggregation'!$B:$B,'924 data aggregation'!$A:$A),xlookup(F9,'924 data aggregation'!$B:$B,'924 data aggregation'!$G:$G))</f>
        <v>Nicholas Ledesma, Aaron Yoo, Liam Beekman</v>
      </c>
      <c r="S9" s="4" t="str">
        <f t="array" ref="S9">IF(xlookup(G9,'924 data aggregation'!$B:$B,'924 data aggregation'!$G:$G) = "NA",xlookup(G9,'924 data aggregation'!$B:$B,'924 data aggregation'!$A:$A),xlookup(G9,'924 data aggregation'!$B:$B,'924 data aggregation'!$G:$G))</f>
        <v>Mokshaa Rao</v>
      </c>
      <c r="T9" s="4" t="str">
        <f t="array" ref="T9">IF(xlookup(H9,'924 data aggregation'!$B:$B,'924 data aggregation'!$G:$G) = "NA",xlookup(H9,'924 data aggregation'!$B:$B,'924 data aggregation'!$A:$A),xlookup(H9,'924 data aggregation'!$B:$B,'924 data aggregation'!$G:$G))</f>
        <v>Sarah Yang, Anandiganga Raj</v>
      </c>
      <c r="U9" s="4" t="str">
        <f t="array" ref="U9">IF(xlookup(I9,'924 data aggregation'!$B:$B,'924 data aggregation'!$G:$G) = "NA",xlookup(I9,'924 data aggregation'!$B:$B,'924 data aggregation'!$A:$A),xlookup(I9,'924 data aggregation'!$B:$B,'924 data aggregation'!$G:$G))</f>
        <v>Isabelle Call, Preeya Panwalker, Sailee Chitari</v>
      </c>
      <c r="V9" s="4" t="str">
        <f t="array" ref="V9">IF(xlookup(J9,'924 data aggregation'!$B:$B,'924 data aggregation'!$G:$G) = "NA",xlookup(J9,'924 data aggregation'!$B:$B,'924 data aggregation'!$A:$A),xlookup(J9,'924 data aggregation'!$B:$B,'924 data aggregation'!$G:$G))</f>
        <v>Preeya Panwalker, Sailee Chitari , Isabelle Call</v>
      </c>
      <c r="W9" s="4" t="str">
        <f t="array" ref="W9">IF(xlookup(K9,'924 data aggregation'!$B:$B,'924 data aggregation'!$G:$G) = "NA",xlookup(K9,'924 data aggregation'!$B:$B,'924 data aggregation'!$A:$A),xlookup(K9,'924 data aggregation'!$B:$B,'924 data aggregation'!$G:$G))</f>
        <v>#N/A</v>
      </c>
      <c r="X9" s="4" t="str">
        <f t="array" ref="X9">IF(xlookup(L9,'924 data aggregation'!$B:$B,'924 data aggregation'!$G:$G) = "NA",xlookup(L9,'924 data aggregation'!$B:$B,'924 data aggregation'!$A:$A),xlookup(L9,'924 data aggregation'!$B:$B,'924 data aggregation'!$G:$G))</f>
        <v>#N/A</v>
      </c>
      <c r="Y9" s="4" t="str">
        <f t="array" ref="Y9">IF(xlookup(M9,'924 data aggregation'!$B:$B,'924 data aggregation'!$G:$G) = "NA",xlookup(M9,'924 data aggregation'!$B:$B,'924 data aggregation'!$A:$A),xlookup(M9,'924 data aggregation'!$B:$B,'924 data aggregation'!$G:$G))</f>
        <v>#N/A</v>
      </c>
      <c r="Z9" s="4" t="str">
        <f t="array" ref="Z9">IF(xlookup(N9,'924 data aggregation'!$B:$B,'924 data aggregation'!$G:$G) = "NA",xlookup(N9,'924 data aggregation'!$B:$B,'924 data aggregation'!$A:$A),xlookup(N9,'924 data aggregation'!$B:$B,'924 data aggregation'!$G:$G))</f>
        <v>#N/A</v>
      </c>
    </row>
    <row r="10">
      <c r="A10" s="14" t="s">
        <v>1558</v>
      </c>
      <c r="C10" s="15" t="s">
        <v>1559</v>
      </c>
      <c r="D10" s="4" t="str">
        <f t="shared" si="1"/>
        <v>152136,301144,110400,306594,204968,150673,149958,306354,203347</v>
      </c>
      <c r="E10" s="4">
        <f>IFERROR(__xludf.DUMMYFUNCTION("SPLIT(D10,"","")"),152136.0)</f>
        <v>152136</v>
      </c>
      <c r="F10" s="4">
        <f>IFERROR(__xludf.DUMMYFUNCTION("""COMPUTED_VALUE"""),301144.0)</f>
        <v>301144</v>
      </c>
      <c r="G10" s="4">
        <f>IFERROR(__xludf.DUMMYFUNCTION("""COMPUTED_VALUE"""),110400.0)</f>
        <v>110400</v>
      </c>
      <c r="H10" s="4">
        <f>IFERROR(__xludf.DUMMYFUNCTION("""COMPUTED_VALUE"""),306594.0)</f>
        <v>306594</v>
      </c>
      <c r="I10" s="4">
        <f>IFERROR(__xludf.DUMMYFUNCTION("""COMPUTED_VALUE"""),204968.0)</f>
        <v>204968</v>
      </c>
      <c r="J10" s="4">
        <f>IFERROR(__xludf.DUMMYFUNCTION("""COMPUTED_VALUE"""),150673.0)</f>
        <v>150673</v>
      </c>
      <c r="K10" s="4">
        <f>IFERROR(__xludf.DUMMYFUNCTION("""COMPUTED_VALUE"""),149958.0)</f>
        <v>149958</v>
      </c>
      <c r="L10" s="4">
        <f>IFERROR(__xludf.DUMMYFUNCTION("""COMPUTED_VALUE"""),306354.0)</f>
        <v>306354</v>
      </c>
      <c r="M10" s="4">
        <f>IFERROR(__xludf.DUMMYFUNCTION("""COMPUTED_VALUE"""),203347.0)</f>
        <v>203347</v>
      </c>
      <c r="O10" s="14">
        <v>8.0</v>
      </c>
      <c r="P10" s="4" t="str">
        <f t="array" ref="P10">xlookup(O10,Sheet2!B:B,Sheet2!A:A)</f>
        <v>Business Solutions Project (PMBS)</v>
      </c>
      <c r="Q10" s="4" t="str">
        <f t="array" ref="Q10">IF(xlookup(E10,'924 data aggregation'!B:B,'924 data aggregation'!G:G) = "NA",xlookup(E10,'924 data aggregation'!B:B,'924 data aggregation'!A:A),xlookup(E10,'924 data aggregation'!B:B,'924 data aggregation'!G:G))</f>
        <v>Yonnie Yang, Sriya Chakravarthy </v>
      </c>
      <c r="R10" s="4" t="str">
        <f t="array" ref="R10">IF(xlookup(F10,'924 data aggregation'!$B:$B,'924 data aggregation'!$G:$G) = "NA",xlookup(F10,'924 data aggregation'!$B:$B,'924 data aggregation'!$A:$A),xlookup(F10,'924 data aggregation'!$B:$B,'924 data aggregation'!$G:$G))</f>
        <v>Sriya Chakravarthy, Yonnie Yang</v>
      </c>
      <c r="S10" s="4" t="str">
        <f t="array" ref="S10">IF(xlookup(G10,'924 data aggregation'!$B:$B,'924 data aggregation'!$G:$G) = "NA",xlookup(G10,'924 data aggregation'!$B:$B,'924 data aggregation'!$A:$A),xlookup(G10,'924 data aggregation'!$B:$B,'924 data aggregation'!$G:$G))</f>
        <v>Prithvi Krishnan</v>
      </c>
      <c r="T10" s="4" t="str">
        <f t="array" ref="T10">IF(xlookup(H10,'924 data aggregation'!$B:$B,'924 data aggregation'!$G:$G) = "NA",xlookup(H10,'924 data aggregation'!$B:$B,'924 data aggregation'!$A:$A),xlookup(H10,'924 data aggregation'!$B:$B,'924 data aggregation'!$G:$G))</f>
        <v>Emma Rincon, Satchi Patki</v>
      </c>
      <c r="U10" s="4" t="str">
        <f t="array" ref="U10">IF(xlookup(I10,'924 data aggregation'!$B:$B,'924 data aggregation'!$G:$G) = "NA",xlookup(I10,'924 data aggregation'!$B:$B,'924 data aggregation'!$A:$A),xlookup(I10,'924 data aggregation'!$B:$B,'924 data aggregation'!$G:$G))</f>
        <v>Jadyn Kennedy</v>
      </c>
      <c r="V10" s="4" t="str">
        <f t="array" ref="V10">IF(xlookup(J10,'924 data aggregation'!$B:$B,'924 data aggregation'!$G:$G) = "NA",xlookup(J10,'924 data aggregation'!$B:$B,'924 data aggregation'!$A:$A),xlookup(J10,'924 data aggregation'!$B:$B,'924 data aggregation'!$G:$G))</f>
        <v>Elaine Liu, Doris Peng, Bella Wen</v>
      </c>
      <c r="W10" s="4" t="str">
        <f t="array" ref="W10">IF(xlookup(K10,'924 data aggregation'!$B:$B,'924 data aggregation'!$G:$G) = "NA",xlookup(K10,'924 data aggregation'!$B:$B,'924 data aggregation'!$A:$A),xlookup(K10,'924 data aggregation'!$B:$B,'924 data aggregation'!$G:$G))</f>
        <v>Elly Chen, Vanessa Guan, Kylie Xu</v>
      </c>
      <c r="X10" s="4" t="str">
        <f t="array" ref="X10">IF(xlookup(L10,'924 data aggregation'!$B:$B,'924 data aggregation'!$G:$G) = "NA",xlookup(L10,'924 data aggregation'!$B:$B,'924 data aggregation'!$A:$A),xlookup(L10,'924 data aggregation'!$B:$B,'924 data aggregation'!$G:$G))</f>
        <v>Vanessa guan and elly chen</v>
      </c>
      <c r="Y10" s="4" t="str">
        <f t="array" ref="Y10">IF(xlookup(M10,'924 data aggregation'!$B:$B,'924 data aggregation'!$G:$G) = "NA",xlookup(M10,'924 data aggregation'!$B:$B,'924 data aggregation'!$A:$A),xlookup(M10,'924 data aggregation'!$B:$B,'924 data aggregation'!$G:$G))</f>
        <v>Haolang Liu, Yanqing Hua</v>
      </c>
      <c r="Z10" s="4" t="str">
        <f t="array" ref="Z10">IF(xlookup(N10,'924 data aggregation'!$B:$B,'924 data aggregation'!$G:$G) = "NA",xlookup(N10,'924 data aggregation'!$B:$B,'924 data aggregation'!$A:$A),xlookup(N10,'924 data aggregation'!$B:$B,'924 data aggregation'!$G:$G))</f>
        <v>#N/A</v>
      </c>
    </row>
    <row r="11">
      <c r="A11" s="14" t="s">
        <v>1560</v>
      </c>
      <c r="C11" s="15" t="s">
        <v>1561</v>
      </c>
      <c r="D11" s="4" t="str">
        <f t="shared" si="1"/>
        <v>111849,135551,148882,119049,301743,310859</v>
      </c>
      <c r="E11" s="4">
        <f>IFERROR(__xludf.DUMMYFUNCTION("SPLIT(D11,"","")"),111849.0)</f>
        <v>111849</v>
      </c>
      <c r="F11" s="4">
        <f>IFERROR(__xludf.DUMMYFUNCTION("""COMPUTED_VALUE"""),135551.0)</f>
        <v>135551</v>
      </c>
      <c r="G11" s="4">
        <f>IFERROR(__xludf.DUMMYFUNCTION("""COMPUTED_VALUE"""),148882.0)</f>
        <v>148882</v>
      </c>
      <c r="H11" s="4">
        <f>IFERROR(__xludf.DUMMYFUNCTION("""COMPUTED_VALUE"""),119049.0)</f>
        <v>119049</v>
      </c>
      <c r="I11" s="4">
        <f>IFERROR(__xludf.DUMMYFUNCTION("""COMPUTED_VALUE"""),301743.0)</f>
        <v>301743</v>
      </c>
      <c r="J11" s="4">
        <f>IFERROR(__xludf.DUMMYFUNCTION("""COMPUTED_VALUE"""),310859.0)</f>
        <v>310859</v>
      </c>
      <c r="O11" s="14">
        <v>9.0</v>
      </c>
      <c r="P11" s="4" t="str">
        <f t="array" ref="P11">xlookup(O11,Sheet2!B:B,Sheet2!A:A)</f>
        <v>Buying and Merchandising (BTDM)</v>
      </c>
      <c r="Q11" s="4" t="str">
        <f t="array" ref="Q11">IF(xlookup(E11,'924 data aggregation'!B:B,'924 data aggregation'!G:G) = "NA",xlookup(E11,'924 data aggregation'!B:B,'924 data aggregation'!A:A),xlookup(E11,'924 data aggregation'!B:B,'924 data aggregation'!G:G))</f>
        <v>Visshwa Balasubramanian </v>
      </c>
      <c r="R11" s="4" t="str">
        <f t="array" ref="R11">IF(xlookup(F11,'924 data aggregation'!$B:$B,'924 data aggregation'!$G:$G) = "NA",xlookup(F11,'924 data aggregation'!$B:$B,'924 data aggregation'!$A:$A),xlookup(F11,'924 data aggregation'!$B:$B,'924 data aggregation'!$G:$G))</f>
        <v>Daniel Nam, Suchir Kumar</v>
      </c>
      <c r="S11" s="4" t="str">
        <f t="array" ref="S11">IF(xlookup(G11,'924 data aggregation'!$B:$B,'924 data aggregation'!$G:$G) = "NA",xlookup(G11,'924 data aggregation'!$B:$B,'924 data aggregation'!$A:$A),xlookup(G11,'924 data aggregation'!$B:$B,'924 data aggregation'!$G:$G))</f>
        <v>Visshwa Balasubramanian, Tarun Kallur</v>
      </c>
      <c r="T11" s="4" t="str">
        <f t="array" ref="T11">IF(xlookup(H11,'924 data aggregation'!$B:$B,'924 data aggregation'!$G:$G) = "NA",xlookup(H11,'924 data aggregation'!$B:$B,'924 data aggregation'!$A:$A),xlookup(H11,'924 data aggregation'!$B:$B,'924 data aggregation'!$G:$G))</f>
        <v>Rayan Dange, Sambit Kanjilal</v>
      </c>
      <c r="U11" s="4" t="str">
        <f t="array" ref="U11">IF(xlookup(I11,'924 data aggregation'!$B:$B,'924 data aggregation'!$G:$G) = "NA",xlookup(I11,'924 data aggregation'!$B:$B,'924 data aggregation'!$A:$A),xlookup(I11,'924 data aggregation'!$B:$B,'924 data aggregation'!$G:$G))</f>
        <v>Jiya Guleria, Nishka Gupta</v>
      </c>
      <c r="V11" s="4" t="str">
        <f t="array" ref="V11">IF(xlookup(J11,'924 data aggregation'!$B:$B,'924 data aggregation'!$G:$G) = "NA",xlookup(J11,'924 data aggregation'!$B:$B,'924 data aggregation'!$A:$A),xlookup(J11,'924 data aggregation'!$B:$B,'924 data aggregation'!$G:$G))</f>
        <v>Reesha Malpani, Sahana Jelakara</v>
      </c>
      <c r="W11" s="4" t="str">
        <f t="array" ref="W11">IF(xlookup(K11,'924 data aggregation'!$B:$B,'924 data aggregation'!$G:$G) = "NA",xlookup(K11,'924 data aggregation'!$B:$B,'924 data aggregation'!$A:$A),xlookup(K11,'924 data aggregation'!$B:$B,'924 data aggregation'!$G:$G))</f>
        <v>#N/A</v>
      </c>
      <c r="X11" s="4" t="str">
        <f t="array" ref="X11">IF(xlookup(L11,'924 data aggregation'!$B:$B,'924 data aggregation'!$G:$G) = "NA",xlookup(L11,'924 data aggregation'!$B:$B,'924 data aggregation'!$A:$A),xlookup(L11,'924 data aggregation'!$B:$B,'924 data aggregation'!$G:$G))</f>
        <v>#N/A</v>
      </c>
      <c r="Y11" s="4" t="str">
        <f t="array" ref="Y11">IF(xlookup(M11,'924 data aggregation'!$B:$B,'924 data aggregation'!$G:$G) = "NA",xlookup(M11,'924 data aggregation'!$B:$B,'924 data aggregation'!$A:$A),xlookup(M11,'924 data aggregation'!$B:$B,'924 data aggregation'!$G:$G))</f>
        <v>#N/A</v>
      </c>
      <c r="Z11" s="4" t="str">
        <f t="array" ref="Z11">IF(xlookup(N11,'924 data aggregation'!$B:$B,'924 data aggregation'!$G:$G) = "NA",xlookup(N11,'924 data aggregation'!$B:$B,'924 data aggregation'!$A:$A),xlookup(N11,'924 data aggregation'!$B:$B,'924 data aggregation'!$G:$G))</f>
        <v>#N/A</v>
      </c>
    </row>
    <row r="12">
      <c r="A12" s="14" t="s">
        <v>1562</v>
      </c>
      <c r="C12" s="15" t="s">
        <v>1563</v>
      </c>
      <c r="D12" s="4" t="str">
        <f t="shared" ref="D12:D52" si="2">RIGHT(C12,LEN(C12)-3)</f>
        <v>324008,177495,319194,159212,150645,306633,151669,145116,151041,152069</v>
      </c>
      <c r="E12" s="4">
        <f>IFERROR(__xludf.DUMMYFUNCTION("SPLIT(D12,"","")"),324008.0)</f>
        <v>324008</v>
      </c>
      <c r="F12" s="4">
        <f>IFERROR(__xludf.DUMMYFUNCTION("""COMPUTED_VALUE"""),177495.0)</f>
        <v>177495</v>
      </c>
      <c r="G12" s="4">
        <f>IFERROR(__xludf.DUMMYFUNCTION("""COMPUTED_VALUE"""),319194.0)</f>
        <v>319194</v>
      </c>
      <c r="H12" s="4">
        <f>IFERROR(__xludf.DUMMYFUNCTION("""COMPUTED_VALUE"""),159212.0)</f>
        <v>159212</v>
      </c>
      <c r="I12" s="4">
        <f>IFERROR(__xludf.DUMMYFUNCTION("""COMPUTED_VALUE"""),150645.0)</f>
        <v>150645</v>
      </c>
      <c r="J12" s="4">
        <f>IFERROR(__xludf.DUMMYFUNCTION("""COMPUTED_VALUE"""),306633.0)</f>
        <v>306633</v>
      </c>
      <c r="K12" s="4">
        <f>IFERROR(__xludf.DUMMYFUNCTION("""COMPUTED_VALUE"""),151669.0)</f>
        <v>151669</v>
      </c>
      <c r="L12" s="4">
        <f>IFERROR(__xludf.DUMMYFUNCTION("""COMPUTED_VALUE"""),145116.0)</f>
        <v>145116</v>
      </c>
      <c r="M12" s="4">
        <f>IFERROR(__xludf.DUMMYFUNCTION("""COMPUTED_VALUE"""),151041.0)</f>
        <v>151041</v>
      </c>
      <c r="N12" s="4">
        <f>IFERROR(__xludf.DUMMYFUNCTION("""COMPUTED_VALUE"""),152069.0)</f>
        <v>152069</v>
      </c>
      <c r="O12" s="14">
        <v>10.0</v>
      </c>
      <c r="P12" s="4" t="str">
        <f t="array" ref="P12">xlookup(O12,Sheet2!B:B,Sheet2!A:A)</f>
        <v>Buying and Merchandising Operations (BMOR)</v>
      </c>
      <c r="Q12" s="4" t="str">
        <f t="array" ref="Q12">IF(xlookup(E12,'924 data aggregation'!B:B,'924 data aggregation'!G:G) = "NA",xlookup(E12,'924 data aggregation'!B:B,'924 data aggregation'!A:A),xlookup(E12,'924 data aggregation'!B:B,'924 data aggregation'!G:G))</f>
        <v>Anchal Yadav, Riti Meeniga, Yan Rong</v>
      </c>
      <c r="R12" s="4" t="str">
        <f t="array" ref="R12">IF(xlookup(F12,'924 data aggregation'!$B:$B,'924 data aggregation'!$G:$G) = "NA",xlookup(F12,'924 data aggregation'!$B:$B,'924 data aggregation'!$A:$A),xlookup(F12,'924 data aggregation'!$B:$B,'924 data aggregation'!$G:$G))</f>
        <v>Hannah Mary Vinesh, Preethi Ram and Shraddha Sule</v>
      </c>
      <c r="S12" s="4" t="str">
        <f t="array" ref="S12">IF(xlookup(G12,'924 data aggregation'!$B:$B,'924 data aggregation'!$G:$G) = "NA",xlookup(G12,'924 data aggregation'!$B:$B,'924 data aggregation'!$A:$A),xlookup(G12,'924 data aggregation'!$B:$B,'924 data aggregation'!$G:$G))</f>
        <v>Sandali gangwar</v>
      </c>
      <c r="T12" s="4" t="str">
        <f t="array" ref="T12">IF(xlookup(H12,'924 data aggregation'!$B:$B,'924 data aggregation'!$G:$G) = "NA",xlookup(H12,'924 data aggregation'!$B:$B,'924 data aggregation'!$A:$A),xlookup(H12,'924 data aggregation'!$B:$B,'924 data aggregation'!$G:$G))</f>
        <v>Shraddha Sule, Hannah Mary Vinesh, Preethi Ram</v>
      </c>
      <c r="U12" s="4" t="str">
        <f t="array" ref="U12">IF(xlookup(I12,'924 data aggregation'!$B:$B,'924 data aggregation'!$G:$G) = "NA",xlookup(I12,'924 data aggregation'!$B:$B,'924 data aggregation'!$A:$A),xlookup(I12,'924 data aggregation'!$B:$B,'924 data aggregation'!$G:$G))</f>
        <v>Cecilia Chen</v>
      </c>
      <c r="V12" s="4" t="str">
        <f t="array" ref="V12">IF(xlookup(J12,'924 data aggregation'!$B:$B,'924 data aggregation'!$G:$G) = "NA",xlookup(J12,'924 data aggregation'!$B:$B,'924 data aggregation'!$A:$A),xlookup(J12,'924 data aggregation'!$B:$B,'924 data aggregation'!$G:$G))</f>
        <v>Yan Rong, Riti Meeniga, Aachal Yadav</v>
      </c>
      <c r="W12" s="4" t="str">
        <f t="array" ref="W12">IF(xlookup(K12,'924 data aggregation'!$B:$B,'924 data aggregation'!$G:$G) = "NA",xlookup(K12,'924 data aggregation'!$B:$B,'924 data aggregation'!$A:$A),xlookup(K12,'924 data aggregation'!$B:$B,'924 data aggregation'!$G:$G))</f>
        <v>Myra Kandhari, Shloka Gurram, Tanya Pant </v>
      </c>
      <c r="X12" s="4" t="str">
        <f t="array" ref="X12">IF(xlookup(L12,'924 data aggregation'!$B:$B,'924 data aggregation'!$G:$G) = "NA",xlookup(L12,'924 data aggregation'!$B:$B,'924 data aggregation'!$A:$A),xlookup(L12,'924 data aggregation'!$B:$B,'924 data aggregation'!$G:$G))</f>
        <v>Myra Kandhari, Tanya Pant, Shloka Gurram</v>
      </c>
      <c r="Y12" s="4" t="str">
        <f t="array" ref="Y12">IF(xlookup(M12,'924 data aggregation'!$B:$B,'924 data aggregation'!$G:$G) = "NA",xlookup(M12,'924 data aggregation'!$B:$B,'924 data aggregation'!$A:$A),xlookup(M12,'924 data aggregation'!$B:$B,'924 data aggregation'!$G:$G))</f>
        <v>Tanya Pant, Myra Kandhari, and shloka  Gurram</v>
      </c>
      <c r="Z12" s="4" t="str">
        <f t="array" ref="Z12">IF(xlookup(N12,'924 data aggregation'!$B:$B,'924 data aggregation'!$G:$G) = "NA",xlookup(N12,'924 data aggregation'!$B:$B,'924 data aggregation'!$A:$A),xlookup(N12,'924 data aggregation'!$B:$B,'924 data aggregation'!$G:$G))</f>
        <v>Mrunali Rajiv, Ritul Prasad, Jayani Akula</v>
      </c>
    </row>
    <row r="13">
      <c r="A13" s="14" t="s">
        <v>1564</v>
      </c>
      <c r="C13" s="15" t="s">
        <v>1565</v>
      </c>
      <c r="D13" s="4" t="str">
        <f t="shared" si="2"/>
        <v>115831,163664,311130,113775,119064,109668</v>
      </c>
      <c r="E13" s="4">
        <f>IFERROR(__xludf.DUMMYFUNCTION("SPLIT(D13,"","")"),115831.0)</f>
        <v>115831</v>
      </c>
      <c r="F13" s="4">
        <f>IFERROR(__xludf.DUMMYFUNCTION("""COMPUTED_VALUE"""),163664.0)</f>
        <v>163664</v>
      </c>
      <c r="G13" s="4">
        <f>IFERROR(__xludf.DUMMYFUNCTION("""COMPUTED_VALUE"""),311130.0)</f>
        <v>311130</v>
      </c>
      <c r="H13" s="4">
        <f>IFERROR(__xludf.DUMMYFUNCTION("""COMPUTED_VALUE"""),113775.0)</f>
        <v>113775</v>
      </c>
      <c r="I13" s="4">
        <f>IFERROR(__xludf.DUMMYFUNCTION("""COMPUTED_VALUE"""),119064.0)</f>
        <v>119064</v>
      </c>
      <c r="J13" s="4">
        <f>IFERROR(__xludf.DUMMYFUNCTION("""COMPUTED_VALUE"""),109668.0)</f>
        <v>109668</v>
      </c>
      <c r="O13" s="14">
        <v>11.0</v>
      </c>
      <c r="P13" s="4" t="str">
        <f t="array" ref="P13">xlookup(O13,Sheet2!B:B,Sheet2!A:A)</f>
        <v>Career Development Project (PMCD)</v>
      </c>
      <c r="Q13" s="4" t="str">
        <f t="array" ref="Q13">IF(xlookup(E13,'924 data aggregation'!B:B,'924 data aggregation'!G:G) = "NA",xlookup(E13,'924 data aggregation'!B:B,'924 data aggregation'!A:A),xlookup(E13,'924 data aggregation'!B:B,'924 data aggregation'!G:G))</f>
        <v>Dawoon Jung, Chloe Oakley, Isabella Shi</v>
      </c>
      <c r="R13" s="4" t="str">
        <f t="array" ref="R13">IF(xlookup(F13,'924 data aggregation'!$B:$B,'924 data aggregation'!$G:$G) = "NA",xlookup(F13,'924 data aggregation'!$B:$B,'924 data aggregation'!$A:$A),xlookup(F13,'924 data aggregation'!$B:$B,'924 data aggregation'!$G:$G))</f>
        <v>Chloe Oakley, Olivia Jung, Isabella Shi</v>
      </c>
      <c r="S13" s="4" t="str">
        <f t="array" ref="S13">IF(xlookup(G13,'924 data aggregation'!$B:$B,'924 data aggregation'!$G:$G) = "NA",xlookup(G13,'924 data aggregation'!$B:$B,'924 data aggregation'!$A:$A),xlookup(G13,'924 data aggregation'!$B:$B,'924 data aggregation'!$G:$G))</f>
        <v>Aryan Sehgal</v>
      </c>
      <c r="T13" s="4" t="str">
        <f t="array" ref="T13">IF(xlookup(H13,'924 data aggregation'!$B:$B,'924 data aggregation'!$G:$G) = "NA",xlookup(H13,'924 data aggregation'!$B:$B,'924 data aggregation'!$A:$A),xlookup(H13,'924 data aggregation'!$B:$B,'924 data aggregation'!$G:$G))</f>
        <v>Amogh Badrayani</v>
      </c>
      <c r="U13" s="4" t="str">
        <f t="array" ref="U13">IF(xlookup(I13,'924 data aggregation'!$B:$B,'924 data aggregation'!$G:$G) = "NA",xlookup(I13,'924 data aggregation'!$B:$B,'924 data aggregation'!$A:$A),xlookup(I13,'924 data aggregation'!$B:$B,'924 data aggregation'!$G:$G))</f>
        <v>Xinyi Lai, Reva Chandane, Meera Iyengar</v>
      </c>
      <c r="V13" s="4" t="str">
        <f t="array" ref="V13">IF(xlookup(J13,'924 data aggregation'!$B:$B,'924 data aggregation'!$G:$G) = "NA",xlookup(J13,'924 data aggregation'!$B:$B,'924 data aggregation'!$A:$A),xlookup(J13,'924 data aggregation'!$B:$B,'924 data aggregation'!$G:$G))</f>
        <v>Arjun Bhardwaj, Aarvin Hirode, Samarth Margasahayam</v>
      </c>
      <c r="W13" s="4" t="str">
        <f t="array" ref="W13">IF(xlookup(K13,'924 data aggregation'!$B:$B,'924 data aggregation'!$G:$G) = "NA",xlookup(K13,'924 data aggregation'!$B:$B,'924 data aggregation'!$A:$A),xlookup(K13,'924 data aggregation'!$B:$B,'924 data aggregation'!$G:$G))</f>
        <v>#N/A</v>
      </c>
      <c r="X13" s="4" t="str">
        <f t="array" ref="X13">IF(xlookup(L13,'924 data aggregation'!$B:$B,'924 data aggregation'!$G:$G) = "NA",xlookup(L13,'924 data aggregation'!$B:$B,'924 data aggregation'!$A:$A),xlookup(L13,'924 data aggregation'!$B:$B,'924 data aggregation'!$G:$G))</f>
        <v>#N/A</v>
      </c>
      <c r="Y13" s="4" t="str">
        <f t="array" ref="Y13">IF(xlookup(M13,'924 data aggregation'!$B:$B,'924 data aggregation'!$G:$G) = "NA",xlookup(M13,'924 data aggregation'!$B:$B,'924 data aggregation'!$A:$A),xlookup(M13,'924 data aggregation'!$B:$B,'924 data aggregation'!$G:$G))</f>
        <v>#N/A</v>
      </c>
      <c r="Z13" s="4" t="str">
        <f t="array" ref="Z13">IF(xlookup(N13,'924 data aggregation'!$B:$B,'924 data aggregation'!$G:$G) = "NA",xlookup(N13,'924 data aggregation'!$B:$B,'924 data aggregation'!$A:$A),xlookup(N13,'924 data aggregation'!$B:$B,'924 data aggregation'!$G:$G))</f>
        <v>#N/A</v>
      </c>
    </row>
    <row r="14">
      <c r="A14" s="14" t="s">
        <v>1566</v>
      </c>
      <c r="C14" s="15" t="s">
        <v>1567</v>
      </c>
      <c r="D14" s="4" t="str">
        <f t="shared" si="2"/>
        <v>111264,137043,127778</v>
      </c>
      <c r="E14" s="4">
        <f>IFERROR(__xludf.DUMMYFUNCTION("SPLIT(D14,"","")"),111264.0)</f>
        <v>111264</v>
      </c>
      <c r="F14" s="4">
        <f>IFERROR(__xludf.DUMMYFUNCTION("""COMPUTED_VALUE"""),137043.0)</f>
        <v>137043</v>
      </c>
      <c r="G14" s="4">
        <f>IFERROR(__xludf.DUMMYFUNCTION("""COMPUTED_VALUE"""),127778.0)</f>
        <v>127778</v>
      </c>
      <c r="O14" s="14">
        <v>12.0</v>
      </c>
      <c r="P14" s="4" t="str">
        <f t="array" ref="P14">xlookup(O14,Sheet2!B:B,Sheet2!A:A)</f>
        <v>Community Awareness Project (PMCA)</v>
      </c>
      <c r="Q14" s="4" t="str">
        <f t="array" ref="Q14">IF(xlookup(E14,'924 data aggregation'!B:B,'924 data aggregation'!G:G) = "NA",xlookup(E14,'924 data aggregation'!B:B,'924 data aggregation'!A:A),xlookup(E14,'924 data aggregation'!B:B,'924 data aggregation'!G:G))</f>
        <v>Farzana Khan</v>
      </c>
      <c r="R14" s="4" t="str">
        <f t="array" ref="R14">IF(xlookup(F14,'924 data aggregation'!$B:$B,'924 data aggregation'!$G:$G) = "NA",xlookup(F14,'924 data aggregation'!$B:$B,'924 data aggregation'!$A:$A),xlookup(F14,'924 data aggregation'!$B:$B,'924 data aggregation'!$G:$G))</f>
        <v>Parisha Acharya, Emily Rincon, Sheerali Talati</v>
      </c>
      <c r="S14" s="4" t="str">
        <f t="array" ref="S14">IF(xlookup(G14,'924 data aggregation'!$B:$B,'924 data aggregation'!$G:$G) = "NA",xlookup(G14,'924 data aggregation'!$B:$B,'924 data aggregation'!$A:$A),xlookup(G14,'924 data aggregation'!$B:$B,'924 data aggregation'!$G:$G))</f>
        <v>Nova Wang, Elizabeth Ma</v>
      </c>
      <c r="T14" s="4" t="str">
        <f t="array" ref="T14">IF(xlookup(H14,'924 data aggregation'!$B:$B,'924 data aggregation'!$G:$G) = "NA",xlookup(H14,'924 data aggregation'!$B:$B,'924 data aggregation'!$A:$A),xlookup(H14,'924 data aggregation'!$B:$B,'924 data aggregation'!$G:$G))</f>
        <v>#N/A</v>
      </c>
      <c r="U14" s="4" t="str">
        <f t="array" ref="U14">IF(xlookup(I14,'924 data aggregation'!$B:$B,'924 data aggregation'!$G:$G) = "NA",xlookup(I14,'924 data aggregation'!$B:$B,'924 data aggregation'!$A:$A),xlookup(I14,'924 data aggregation'!$B:$B,'924 data aggregation'!$G:$G))</f>
        <v>#N/A</v>
      </c>
      <c r="V14" s="4" t="str">
        <f t="array" ref="V14">IF(xlookup(J14,'924 data aggregation'!$B:$B,'924 data aggregation'!$G:$G) = "NA",xlookup(J14,'924 data aggregation'!$B:$B,'924 data aggregation'!$A:$A),xlookup(J14,'924 data aggregation'!$B:$B,'924 data aggregation'!$G:$G))</f>
        <v>#N/A</v>
      </c>
      <c r="W14" s="4" t="str">
        <f t="array" ref="W14">IF(xlookup(K14,'924 data aggregation'!$B:$B,'924 data aggregation'!$G:$G) = "NA",xlookup(K14,'924 data aggregation'!$B:$B,'924 data aggregation'!$A:$A),xlookup(K14,'924 data aggregation'!$B:$B,'924 data aggregation'!$G:$G))</f>
        <v>#N/A</v>
      </c>
      <c r="X14" s="4" t="str">
        <f t="array" ref="X14">IF(xlookup(L14,'924 data aggregation'!$B:$B,'924 data aggregation'!$G:$G) = "NA",xlookup(L14,'924 data aggregation'!$B:$B,'924 data aggregation'!$A:$A),xlookup(L14,'924 data aggregation'!$B:$B,'924 data aggregation'!$G:$G))</f>
        <v>#N/A</v>
      </c>
      <c r="Y14" s="4" t="str">
        <f t="array" ref="Y14">IF(xlookup(M14,'924 data aggregation'!$B:$B,'924 data aggregation'!$G:$G) = "NA",xlookup(M14,'924 data aggregation'!$B:$B,'924 data aggregation'!$A:$A),xlookup(M14,'924 data aggregation'!$B:$B,'924 data aggregation'!$G:$G))</f>
        <v>#N/A</v>
      </c>
      <c r="Z14" s="4" t="str">
        <f t="array" ref="Z14">IF(xlookup(N14,'924 data aggregation'!$B:$B,'924 data aggregation'!$G:$G) = "NA",xlookup(N14,'924 data aggregation'!$B:$B,'924 data aggregation'!$A:$A),xlookup(N14,'924 data aggregation'!$B:$B,'924 data aggregation'!$G:$G))</f>
        <v>#N/A</v>
      </c>
    </row>
    <row r="15">
      <c r="A15" s="14" t="s">
        <v>1568</v>
      </c>
      <c r="C15" s="15" t="s">
        <v>1569</v>
      </c>
      <c r="D15" s="4" t="str">
        <f t="shared" si="2"/>
        <v>110580,139550,110246,150437</v>
      </c>
      <c r="E15" s="4">
        <f>IFERROR(__xludf.DUMMYFUNCTION("SPLIT(D15,"","")"),110580.0)</f>
        <v>110580</v>
      </c>
      <c r="F15" s="4">
        <f>IFERROR(__xludf.DUMMYFUNCTION("""COMPUTED_VALUE"""),139550.0)</f>
        <v>139550</v>
      </c>
      <c r="G15" s="4">
        <f>IFERROR(__xludf.DUMMYFUNCTION("""COMPUTED_VALUE"""),110246.0)</f>
        <v>110246</v>
      </c>
      <c r="H15" s="4">
        <f>IFERROR(__xludf.DUMMYFUNCTION("""COMPUTED_VALUE"""),150437.0)</f>
        <v>150437</v>
      </c>
      <c r="O15" s="14">
        <v>13.0</v>
      </c>
      <c r="P15" s="4" t="str">
        <f t="array" ref="P15">xlookup(O15,Sheet2!B:B,Sheet2!A:A)</f>
        <v>Community Giving Project (PMCG)</v>
      </c>
      <c r="Q15" s="4" t="str">
        <f t="array" ref="Q15">IF(xlookup(E15,'924 data aggregation'!B:B,'924 data aggregation'!G:G) = "NA",xlookup(E15,'924 data aggregation'!B:B,'924 data aggregation'!A:A),xlookup(E15,'924 data aggregation'!B:B,'924 data aggregation'!G:G))</f>
        <v>Harrison Malinger, Sawyer Grimaldi, Shridhar Nagaprabhu</v>
      </c>
      <c r="R15" s="4" t="str">
        <f t="array" ref="R15">IF(xlookup(F15,'924 data aggregation'!$B:$B,'924 data aggregation'!$G:$G) = "NA",xlookup(F15,'924 data aggregation'!$B:$B,'924 data aggregation'!$A:$A),xlookup(F15,'924 data aggregation'!$B:$B,'924 data aggregation'!$G:$G))</f>
        <v>Harrison Mallenger, Shridar Nagaprahbu, Sawyer Grimaldi</v>
      </c>
      <c r="S15" s="4" t="str">
        <f t="array" ref="S15">IF(xlookup(G15,'924 data aggregation'!$B:$B,'924 data aggregation'!$G:$G) = "NA",xlookup(G15,'924 data aggregation'!$B:$B,'924 data aggregation'!$A:$A),xlookup(G15,'924 data aggregation'!$B:$B,'924 data aggregation'!$G:$G))</f>
        <v>Shridhar Nagaprabhu, Harrison Mallinger, Sawyer Grimaldi</v>
      </c>
      <c r="T15" s="4" t="str">
        <f t="array" ref="T15">IF(xlookup(H15,'924 data aggregation'!$B:$B,'924 data aggregation'!$G:$G) = "NA",xlookup(H15,'924 data aggregation'!$B:$B,'924 data aggregation'!$A:$A),xlookup(H15,'924 data aggregation'!$B:$B,'924 data aggregation'!$G:$G))</f>
        <v>Lucinda McWilliams, Ashka Rajbhandari</v>
      </c>
      <c r="U15" s="4" t="str">
        <f t="array" ref="U15">IF(xlookup(I15,'924 data aggregation'!$B:$B,'924 data aggregation'!$G:$G) = "NA",xlookup(I15,'924 data aggregation'!$B:$B,'924 data aggregation'!$A:$A),xlookup(I15,'924 data aggregation'!$B:$B,'924 data aggregation'!$G:$G))</f>
        <v>#N/A</v>
      </c>
      <c r="V15" s="4" t="str">
        <f t="array" ref="V15">IF(xlookup(J15,'924 data aggregation'!$B:$B,'924 data aggregation'!$G:$G) = "NA",xlookup(J15,'924 data aggregation'!$B:$B,'924 data aggregation'!$A:$A),xlookup(J15,'924 data aggregation'!$B:$B,'924 data aggregation'!$G:$G))</f>
        <v>#N/A</v>
      </c>
      <c r="W15" s="4" t="str">
        <f t="array" ref="W15">IF(xlookup(K15,'924 data aggregation'!$B:$B,'924 data aggregation'!$G:$G) = "NA",xlookup(K15,'924 data aggregation'!$B:$B,'924 data aggregation'!$A:$A),xlookup(K15,'924 data aggregation'!$B:$B,'924 data aggregation'!$G:$G))</f>
        <v>#N/A</v>
      </c>
      <c r="X15" s="4" t="str">
        <f t="array" ref="X15">IF(xlookup(L15,'924 data aggregation'!$B:$B,'924 data aggregation'!$G:$G) = "NA",xlookup(L15,'924 data aggregation'!$B:$B,'924 data aggregation'!$A:$A),xlookup(L15,'924 data aggregation'!$B:$B,'924 data aggregation'!$G:$G))</f>
        <v>#N/A</v>
      </c>
      <c r="Y15" s="4" t="str">
        <f t="array" ref="Y15">IF(xlookup(M15,'924 data aggregation'!$B:$B,'924 data aggregation'!$G:$G) = "NA",xlookup(M15,'924 data aggregation'!$B:$B,'924 data aggregation'!$A:$A),xlookup(M15,'924 data aggregation'!$B:$B,'924 data aggregation'!$G:$G))</f>
        <v>#N/A</v>
      </c>
      <c r="Z15" s="4" t="str">
        <f t="array" ref="Z15">IF(xlookup(N15,'924 data aggregation'!$B:$B,'924 data aggregation'!$G:$G) = "NA",xlookup(N15,'924 data aggregation'!$B:$B,'924 data aggregation'!$A:$A),xlookup(N15,'924 data aggregation'!$B:$B,'924 data aggregation'!$G:$G))</f>
        <v>#N/A</v>
      </c>
    </row>
    <row r="16">
      <c r="A16" s="14" t="s">
        <v>1570</v>
      </c>
      <c r="C16" s="15" t="s">
        <v>1571</v>
      </c>
      <c r="D16" s="4" t="str">
        <f t="shared" si="2"/>
        <v>116467,128793,193973</v>
      </c>
      <c r="E16" s="4">
        <f>IFERROR(__xludf.DUMMYFUNCTION("SPLIT(D16,"","")"),116467.0)</f>
        <v>116467</v>
      </c>
      <c r="F16" s="4">
        <f>IFERROR(__xludf.DUMMYFUNCTION("""COMPUTED_VALUE"""),128793.0)</f>
        <v>128793</v>
      </c>
      <c r="G16" s="4">
        <f>IFERROR(__xludf.DUMMYFUNCTION("""COMPUTED_VALUE"""),193973.0)</f>
        <v>193973</v>
      </c>
      <c r="O16" s="14">
        <v>14.0</v>
      </c>
      <c r="P16" s="4" t="str">
        <f t="array" ref="P16">xlookup(O16,Sheet2!B:B,Sheet2!A:A)</f>
        <v>Entrepreneurship (ENT)</v>
      </c>
      <c r="Q16" s="4" t="str">
        <f t="array" ref="Q16">IF(xlookup(E16,'924 data aggregation'!B:B,'924 data aggregation'!G:G) = "NA",xlookup(E16,'924 data aggregation'!B:B,'924 data aggregation'!A:A),xlookup(E16,'924 data aggregation'!B:B,'924 data aggregation'!G:G))</f>
        <v>Vedant Desai</v>
      </c>
      <c r="R16" s="4" t="str">
        <f t="array" ref="R16">IF(xlookup(F16,'924 data aggregation'!$B:$B,'924 data aggregation'!$G:$G) = "NA",xlookup(F16,'924 data aggregation'!$B:$B,'924 data aggregation'!$A:$A),xlookup(F16,'924 data aggregation'!$B:$B,'924 data aggregation'!$G:$G))</f>
        <v>Vishnu Mahadasu</v>
      </c>
      <c r="S16" s="4" t="str">
        <f t="array" ref="S16">IF(xlookup(G16,'924 data aggregation'!$B:$B,'924 data aggregation'!$G:$G) = "NA",xlookup(G16,'924 data aggregation'!$B:$B,'924 data aggregation'!$A:$A),xlookup(G16,'924 data aggregation'!$B:$B,'924 data aggregation'!$G:$G))</f>
        <v>Guy Kahler</v>
      </c>
      <c r="T16" s="4" t="str">
        <f t="array" ref="T16">IF(xlookup(H16,'924 data aggregation'!$B:$B,'924 data aggregation'!$G:$G) = "NA",xlookup(H16,'924 data aggregation'!$B:$B,'924 data aggregation'!$A:$A),xlookup(H16,'924 data aggregation'!$B:$B,'924 data aggregation'!$G:$G))</f>
        <v>#N/A</v>
      </c>
      <c r="U16" s="4" t="str">
        <f t="array" ref="U16">IF(xlookup(I16,'924 data aggregation'!$B:$B,'924 data aggregation'!$G:$G) = "NA",xlookup(I16,'924 data aggregation'!$B:$B,'924 data aggregation'!$A:$A),xlookup(I16,'924 data aggregation'!$B:$B,'924 data aggregation'!$G:$G))</f>
        <v>#N/A</v>
      </c>
      <c r="V16" s="4" t="str">
        <f t="array" ref="V16">IF(xlookup(J16,'924 data aggregation'!$B:$B,'924 data aggregation'!$G:$G) = "NA",xlookup(J16,'924 data aggregation'!$B:$B,'924 data aggregation'!$A:$A),xlookup(J16,'924 data aggregation'!$B:$B,'924 data aggregation'!$G:$G))</f>
        <v>#N/A</v>
      </c>
      <c r="W16" s="4" t="str">
        <f t="array" ref="W16">IF(xlookup(K16,'924 data aggregation'!$B:$B,'924 data aggregation'!$G:$G) = "NA",xlookup(K16,'924 data aggregation'!$B:$B,'924 data aggregation'!$A:$A),xlookup(K16,'924 data aggregation'!$B:$B,'924 data aggregation'!$G:$G))</f>
        <v>#N/A</v>
      </c>
      <c r="X16" s="4" t="str">
        <f t="array" ref="X16">IF(xlookup(L16,'924 data aggregation'!$B:$B,'924 data aggregation'!$G:$G) = "NA",xlookup(L16,'924 data aggregation'!$B:$B,'924 data aggregation'!$A:$A),xlookup(L16,'924 data aggregation'!$B:$B,'924 data aggregation'!$G:$G))</f>
        <v>#N/A</v>
      </c>
      <c r="Y16" s="4" t="str">
        <f t="array" ref="Y16">IF(xlookup(M16,'924 data aggregation'!$B:$B,'924 data aggregation'!$G:$G) = "NA",xlookup(M16,'924 data aggregation'!$B:$B,'924 data aggregation'!$A:$A),xlookup(M16,'924 data aggregation'!$B:$B,'924 data aggregation'!$G:$G))</f>
        <v>#N/A</v>
      </c>
      <c r="Z16" s="4" t="str">
        <f t="array" ref="Z16">IF(xlookup(N16,'924 data aggregation'!$B:$B,'924 data aggregation'!$G:$G) = "NA",xlookup(N16,'924 data aggregation'!$B:$B,'924 data aggregation'!$A:$A),xlookup(N16,'924 data aggregation'!$B:$B,'924 data aggregation'!$G:$G))</f>
        <v>#N/A</v>
      </c>
    </row>
    <row r="17">
      <c r="A17" s="14" t="s">
        <v>1572</v>
      </c>
      <c r="C17" s="15" t="s">
        <v>1573</v>
      </c>
      <c r="D17" s="4" t="str">
        <f t="shared" si="2"/>
        <v>165888,148321,326330,110313,112303,111847,306014,150689,204806,198278</v>
      </c>
      <c r="E17" s="4">
        <f>IFERROR(__xludf.DUMMYFUNCTION("SPLIT(D17,"","")"),165888.0)</f>
        <v>165888</v>
      </c>
      <c r="F17" s="4">
        <f>IFERROR(__xludf.DUMMYFUNCTION("""COMPUTED_VALUE"""),148321.0)</f>
        <v>148321</v>
      </c>
      <c r="G17" s="4">
        <f>IFERROR(__xludf.DUMMYFUNCTION("""COMPUTED_VALUE"""),326330.0)</f>
        <v>326330</v>
      </c>
      <c r="H17" s="4">
        <f>IFERROR(__xludf.DUMMYFUNCTION("""COMPUTED_VALUE"""),110313.0)</f>
        <v>110313</v>
      </c>
      <c r="I17" s="4">
        <f>IFERROR(__xludf.DUMMYFUNCTION("""COMPUTED_VALUE"""),112303.0)</f>
        <v>112303</v>
      </c>
      <c r="J17" s="4">
        <f>IFERROR(__xludf.DUMMYFUNCTION("""COMPUTED_VALUE"""),111847.0)</f>
        <v>111847</v>
      </c>
      <c r="K17" s="4">
        <f>IFERROR(__xludf.DUMMYFUNCTION("""COMPUTED_VALUE"""),306014.0)</f>
        <v>306014</v>
      </c>
      <c r="L17" s="4">
        <f>IFERROR(__xludf.DUMMYFUNCTION("""COMPUTED_VALUE"""),150689.0)</f>
        <v>150689</v>
      </c>
      <c r="M17" s="4">
        <f>IFERROR(__xludf.DUMMYFUNCTION("""COMPUTED_VALUE"""),204806.0)</f>
        <v>204806</v>
      </c>
      <c r="N17" s="4">
        <f>IFERROR(__xludf.DUMMYFUNCTION("""COMPUTED_VALUE"""),198278.0)</f>
        <v>198278</v>
      </c>
      <c r="O17" s="14">
        <v>15.0</v>
      </c>
      <c r="P17" s="4" t="str">
        <f t="array" ref="P17">xlookup(O17,Sheet2!B:B,Sheet2!A:A)</f>
        <v>Entrepreneurship (ETDM)</v>
      </c>
      <c r="Q17" s="4" t="str">
        <f t="array" ref="Q17">IF(xlookup(E17,'924 data aggregation'!B:B,'924 data aggregation'!G:G) = "NA",xlookup(E17,'924 data aggregation'!B:B,'924 data aggregation'!A:A),xlookup(E17,'924 data aggregation'!B:B,'924 data aggregation'!G:G))</f>
        <v>Mishree Narasaiah, Rutu Ruparel</v>
      </c>
      <c r="R17" s="4" t="str">
        <f t="array" ref="R17">IF(xlookup(F17,'924 data aggregation'!$B:$B,'924 data aggregation'!$G:$G) = "NA",xlookup(F17,'924 data aggregation'!$B:$B,'924 data aggregation'!$A:$A),xlookup(F17,'924 data aggregation'!$B:$B,'924 data aggregation'!$G:$G))</f>
        <v>Tiffany Gao</v>
      </c>
      <c r="S17" s="4" t="str">
        <f t="array" ref="S17">IF(xlookup(G17,'924 data aggregation'!$B:$B,'924 data aggregation'!$G:$G) = "NA",xlookup(G17,'924 data aggregation'!$B:$B,'924 data aggregation'!$A:$A),xlookup(G17,'924 data aggregation'!$B:$B,'924 data aggregation'!$G:$G))</f>
        <v>Iba Haider, Violet Hewett</v>
      </c>
      <c r="T17" s="4" t="str">
        <f t="array" ref="T17">IF(xlookup(H17,'924 data aggregation'!$B:$B,'924 data aggregation'!$G:$G) = "NA",xlookup(H17,'924 data aggregation'!$B:$B,'924 data aggregation'!$A:$A),xlookup(H17,'924 data aggregation'!$B:$B,'924 data aggregation'!$G:$G))</f>
        <v>Zachary Stenglein, Jack Chubick</v>
      </c>
      <c r="U17" s="4" t="str">
        <f t="array" ref="U17">IF(xlookup(I17,'924 data aggregation'!$B:$B,'924 data aggregation'!$G:$G) = "NA",xlookup(I17,'924 data aggregation'!$B:$B,'924 data aggregation'!$A:$A),xlookup(I17,'924 data aggregation'!$B:$B,'924 data aggregation'!$G:$G))</f>
        <v>John Chubick, Zachary Stenglein  </v>
      </c>
      <c r="V17" s="4" t="str">
        <f t="array" ref="V17">IF(xlookup(J17,'924 data aggregation'!$B:$B,'924 data aggregation'!$G:$G) = "NA",xlookup(J17,'924 data aggregation'!$B:$B,'924 data aggregation'!$A:$A),xlookup(J17,'924 data aggregation'!$B:$B,'924 data aggregation'!$G:$G))</f>
        <v>Paul Tutuc, Dhruv Ray</v>
      </c>
      <c r="W17" s="4" t="str">
        <f t="array" ref="W17">IF(xlookup(K17,'924 data aggregation'!$B:$B,'924 data aggregation'!$G:$G) = "NA",xlookup(K17,'924 data aggregation'!$B:$B,'924 data aggregation'!$A:$A),xlookup(K17,'924 data aggregation'!$B:$B,'924 data aggregation'!$G:$G))</f>
        <v>Aattoja  Das </v>
      </c>
      <c r="X17" s="4" t="str">
        <f t="array" ref="X17">IF(xlookup(L17,'924 data aggregation'!$B:$B,'924 data aggregation'!$G:$G) = "NA",xlookup(L17,'924 data aggregation'!$B:$B,'924 data aggregation'!$A:$A),xlookup(L17,'924 data aggregation'!$B:$B,'924 data aggregation'!$G:$G))</f>
        <v>Aneesh Dambal, Sujaykiran Arumugam</v>
      </c>
      <c r="Y17" s="4" t="str">
        <f t="array" ref="Y17">IF(xlookup(M17,'924 data aggregation'!$B:$B,'924 data aggregation'!$G:$G) = "NA",xlookup(M17,'924 data aggregation'!$B:$B,'924 data aggregation'!$A:$A),xlookup(M17,'924 data aggregation'!$B:$B,'924 data aggregation'!$G:$G))</f>
        <v>Julianne Wu, Erin Shin</v>
      </c>
      <c r="Z17" s="4" t="str">
        <f t="array" ref="Z17">IF(xlookup(N17,'924 data aggregation'!$B:$B,'924 data aggregation'!$G:$G) = "NA",xlookup(N17,'924 data aggregation'!$B:$B,'924 data aggregation'!$A:$A),xlookup(N17,'924 data aggregation'!$B:$B,'924 data aggregation'!$G:$G))</f>
        <v>Ayushi Thakur, Jaishna Gaddam</v>
      </c>
    </row>
    <row r="18">
      <c r="A18" s="14" t="s">
        <v>1574</v>
      </c>
      <c r="C18" s="15" t="s">
        <v>1575</v>
      </c>
      <c r="D18" s="4" t="str">
        <f t="shared" si="2"/>
        <v>182939</v>
      </c>
      <c r="E18" s="4">
        <f>IFERROR(__xludf.DUMMYFUNCTION("SPLIT(D18,"","")"),182939.0)</f>
        <v>182939</v>
      </c>
      <c r="O18" s="14">
        <v>16.0</v>
      </c>
      <c r="P18" s="4" t="str">
        <f t="array" ref="P18">xlookup(O18,Sheet2!B:B,Sheet2!A:A)</f>
        <v>Finance Operations (FOR)</v>
      </c>
      <c r="Q18" s="4" t="str">
        <f t="array" ref="Q18">IF(xlookup(E18,'924 data aggregation'!B:B,'924 data aggregation'!G:G) = "NA",xlookup(E18,'924 data aggregation'!B:B,'924 data aggregation'!A:A),xlookup(E18,'924 data aggregation'!B:B,'924 data aggregation'!G:G))</f>
        <v>Abraham Wilson Kunnan, Maruthivenkata SaiKarthik Chebiyyam</v>
      </c>
      <c r="R18" s="4" t="str">
        <f t="array" ref="R18">IF(xlookup(F18,'924 data aggregation'!$B:$B,'924 data aggregation'!$G:$G) = "NA",xlookup(F18,'924 data aggregation'!$B:$B,'924 data aggregation'!$A:$A),xlookup(F18,'924 data aggregation'!$B:$B,'924 data aggregation'!$G:$G))</f>
        <v>#N/A</v>
      </c>
      <c r="S18" s="4" t="str">
        <f t="array" ref="S18">IF(xlookup(G18,'924 data aggregation'!$B:$B,'924 data aggregation'!$G:$G) = "NA",xlookup(G18,'924 data aggregation'!$B:$B,'924 data aggregation'!$A:$A),xlookup(G18,'924 data aggregation'!$B:$B,'924 data aggregation'!$G:$G))</f>
        <v>#N/A</v>
      </c>
      <c r="T18" s="4" t="str">
        <f t="array" ref="T18">IF(xlookup(H18,'924 data aggregation'!$B:$B,'924 data aggregation'!$G:$G) = "NA",xlookup(H18,'924 data aggregation'!$B:$B,'924 data aggregation'!$A:$A),xlookup(H18,'924 data aggregation'!$B:$B,'924 data aggregation'!$G:$G))</f>
        <v>#N/A</v>
      </c>
      <c r="U18" s="4" t="str">
        <f t="array" ref="U18">IF(xlookup(I18,'924 data aggregation'!$B:$B,'924 data aggregation'!$G:$G) = "NA",xlookup(I18,'924 data aggregation'!$B:$B,'924 data aggregation'!$A:$A),xlookup(I18,'924 data aggregation'!$B:$B,'924 data aggregation'!$G:$G))</f>
        <v>#N/A</v>
      </c>
      <c r="V18" s="4" t="str">
        <f t="array" ref="V18">IF(xlookup(J18,'924 data aggregation'!$B:$B,'924 data aggregation'!$G:$G) = "NA",xlookup(J18,'924 data aggregation'!$B:$B,'924 data aggregation'!$A:$A),xlookup(J18,'924 data aggregation'!$B:$B,'924 data aggregation'!$G:$G))</f>
        <v>#N/A</v>
      </c>
      <c r="W18" s="4" t="str">
        <f t="array" ref="W18">IF(xlookup(K18,'924 data aggregation'!$B:$B,'924 data aggregation'!$G:$G) = "NA",xlookup(K18,'924 data aggregation'!$B:$B,'924 data aggregation'!$A:$A),xlookup(K18,'924 data aggregation'!$B:$B,'924 data aggregation'!$G:$G))</f>
        <v>#N/A</v>
      </c>
      <c r="X18" s="4" t="str">
        <f t="array" ref="X18">IF(xlookup(L18,'924 data aggregation'!$B:$B,'924 data aggregation'!$G:$G) = "NA",xlookup(L18,'924 data aggregation'!$B:$B,'924 data aggregation'!$A:$A),xlookup(L18,'924 data aggregation'!$B:$B,'924 data aggregation'!$G:$G))</f>
        <v>#N/A</v>
      </c>
      <c r="Y18" s="4" t="str">
        <f t="array" ref="Y18">IF(xlookup(M18,'924 data aggregation'!$B:$B,'924 data aggregation'!$G:$G) = "NA",xlookup(M18,'924 data aggregation'!$B:$B,'924 data aggregation'!$A:$A),xlookup(M18,'924 data aggregation'!$B:$B,'924 data aggregation'!$G:$G))</f>
        <v>#N/A</v>
      </c>
      <c r="Z18" s="4" t="str">
        <f t="array" ref="Z18">IF(xlookup(N18,'924 data aggregation'!$B:$B,'924 data aggregation'!$G:$G) = "NA",xlookup(N18,'924 data aggregation'!$B:$B,'924 data aggregation'!$A:$A),xlookup(N18,'924 data aggregation'!$B:$B,'924 data aggregation'!$G:$G))</f>
        <v>#N/A</v>
      </c>
    </row>
    <row r="19">
      <c r="A19" s="14" t="s">
        <v>1576</v>
      </c>
      <c r="C19" s="15" t="s">
        <v>1577</v>
      </c>
      <c r="D19" s="4" t="str">
        <f t="shared" si="2"/>
        <v>180776,154764,110099,188911,153462,137811,186129</v>
      </c>
      <c r="E19" s="4">
        <f>IFERROR(__xludf.DUMMYFUNCTION("SPLIT(D19,"","")"),180776.0)</f>
        <v>180776</v>
      </c>
      <c r="F19" s="4">
        <f>IFERROR(__xludf.DUMMYFUNCTION("""COMPUTED_VALUE"""),154764.0)</f>
        <v>154764</v>
      </c>
      <c r="G19" s="4">
        <f>IFERROR(__xludf.DUMMYFUNCTION("""COMPUTED_VALUE"""),110099.0)</f>
        <v>110099</v>
      </c>
      <c r="H19" s="4">
        <f>IFERROR(__xludf.DUMMYFUNCTION("""COMPUTED_VALUE"""),188911.0)</f>
        <v>188911</v>
      </c>
      <c r="I19" s="4">
        <f>IFERROR(__xludf.DUMMYFUNCTION("""COMPUTED_VALUE"""),153462.0)</f>
        <v>153462</v>
      </c>
      <c r="J19" s="4">
        <f>IFERROR(__xludf.DUMMYFUNCTION("""COMPUTED_VALUE"""),137811.0)</f>
        <v>137811</v>
      </c>
      <c r="K19" s="4">
        <f>IFERROR(__xludf.DUMMYFUNCTION("""COMPUTED_VALUE"""),186129.0)</f>
        <v>186129</v>
      </c>
      <c r="O19" s="14">
        <v>17.0</v>
      </c>
      <c r="P19" s="4" t="str">
        <f t="array" ref="P19">xlookup(O19,Sheet2!B:B,Sheet2!A:A)</f>
        <v>Financial Consulting (FCE)</v>
      </c>
      <c r="Q19" s="4" t="str">
        <f t="array" ref="Q19">IF(xlookup(E19,'924 data aggregation'!B:B,'924 data aggregation'!G:G) = "NA",xlookup(E19,'924 data aggregation'!B:B,'924 data aggregation'!A:A),xlookup(E19,'924 data aggregation'!B:B,'924 data aggregation'!G:G))</f>
        <v>Sahiti Oruganti</v>
      </c>
      <c r="R19" s="4" t="str">
        <f t="array" ref="R19">IF(xlookup(F19,'924 data aggregation'!$B:$B,'924 data aggregation'!$G:$G) = "NA",xlookup(F19,'924 data aggregation'!$B:$B,'924 data aggregation'!$A:$A),xlookup(F19,'924 data aggregation'!$B:$B,'924 data aggregation'!$G:$G))</f>
        <v>Saisha Siram</v>
      </c>
      <c r="S19" s="4" t="str">
        <f t="array" ref="S19">IF(xlookup(G19,'924 data aggregation'!$B:$B,'924 data aggregation'!$G:$G) = "NA",xlookup(G19,'924 data aggregation'!$B:$B,'924 data aggregation'!$A:$A),xlookup(G19,'924 data aggregation'!$B:$B,'924 data aggregation'!$G:$G))</f>
        <v>Sevya Agarwal</v>
      </c>
      <c r="T19" s="4" t="str">
        <f t="array" ref="T19">IF(xlookup(H19,'924 data aggregation'!$B:$B,'924 data aggregation'!$G:$G) = "NA",xlookup(H19,'924 data aggregation'!$B:$B,'924 data aggregation'!$A:$A),xlookup(H19,'924 data aggregation'!$B:$B,'924 data aggregation'!$G:$G))</f>
        <v>Melissa Liang</v>
      </c>
      <c r="U19" s="4" t="str">
        <f t="array" ref="U19">IF(xlookup(I19,'924 data aggregation'!$B:$B,'924 data aggregation'!$G:$G) = "NA",xlookup(I19,'924 data aggregation'!$B:$B,'924 data aggregation'!$A:$A),xlookup(I19,'924 data aggregation'!$B:$B,'924 data aggregation'!$G:$G))</f>
        <v>Dheeshith Radjendran </v>
      </c>
      <c r="V19" s="4" t="str">
        <f t="array" ref="V19">IF(xlookup(J19,'924 data aggregation'!$B:$B,'924 data aggregation'!$G:$G) = "NA",xlookup(J19,'924 data aggregation'!$B:$B,'924 data aggregation'!$A:$A),xlookup(J19,'924 data aggregation'!$B:$B,'924 data aggregation'!$G:$G))</f>
        <v>James Allen</v>
      </c>
      <c r="W19" s="4" t="str">
        <f t="array" ref="W19">IF(xlookup(K19,'924 data aggregation'!$B:$B,'924 data aggregation'!$G:$G) = "NA",xlookup(K19,'924 data aggregation'!$B:$B,'924 data aggregation'!$A:$A),xlookup(K19,'924 data aggregation'!$B:$B,'924 data aggregation'!$G:$G))</f>
        <v>Arnav Dharanallur</v>
      </c>
      <c r="X19" s="4" t="str">
        <f t="array" ref="X19">IF(xlookup(L19,'924 data aggregation'!$B:$B,'924 data aggregation'!$G:$G) = "NA",xlookup(L19,'924 data aggregation'!$B:$B,'924 data aggregation'!$A:$A),xlookup(L19,'924 data aggregation'!$B:$B,'924 data aggregation'!$G:$G))</f>
        <v>#N/A</v>
      </c>
      <c r="Y19" s="4" t="str">
        <f t="array" ref="Y19">IF(xlookup(M19,'924 data aggregation'!$B:$B,'924 data aggregation'!$G:$G) = "NA",xlookup(M19,'924 data aggregation'!$B:$B,'924 data aggregation'!$A:$A),xlookup(M19,'924 data aggregation'!$B:$B,'924 data aggregation'!$G:$G))</f>
        <v>#N/A</v>
      </c>
      <c r="Z19" s="4" t="str">
        <f t="array" ref="Z19">IF(xlookup(N19,'924 data aggregation'!$B:$B,'924 data aggregation'!$G:$G) = "NA",xlookup(N19,'924 data aggregation'!$B:$B,'924 data aggregation'!$A:$A),xlookup(N19,'924 data aggregation'!$B:$B,'924 data aggregation'!$G:$G))</f>
        <v>#N/A</v>
      </c>
    </row>
    <row r="20">
      <c r="A20" s="14" t="s">
        <v>1578</v>
      </c>
      <c r="C20" s="15" t="s">
        <v>1579</v>
      </c>
      <c r="D20" s="4" t="str">
        <f t="shared" si="2"/>
        <v>152840,310712,127679,187126,151342,152330</v>
      </c>
      <c r="E20" s="4">
        <f>IFERROR(__xludf.DUMMYFUNCTION("SPLIT(D20,"","")"),152840.0)</f>
        <v>152840</v>
      </c>
      <c r="F20" s="4">
        <f>IFERROR(__xludf.DUMMYFUNCTION("""COMPUTED_VALUE"""),310712.0)</f>
        <v>310712</v>
      </c>
      <c r="G20" s="4">
        <f>IFERROR(__xludf.DUMMYFUNCTION("""COMPUTED_VALUE"""),127679.0)</f>
        <v>127679</v>
      </c>
      <c r="H20" s="4">
        <f>IFERROR(__xludf.DUMMYFUNCTION("""COMPUTED_VALUE"""),187126.0)</f>
        <v>187126</v>
      </c>
      <c r="I20" s="4">
        <f>IFERROR(__xludf.DUMMYFUNCTION("""COMPUTED_VALUE"""),151342.0)</f>
        <v>151342</v>
      </c>
      <c r="J20" s="4">
        <f>IFERROR(__xludf.DUMMYFUNCTION("""COMPUTED_VALUE"""),152330.0)</f>
        <v>152330</v>
      </c>
      <c r="O20" s="14">
        <v>18.0</v>
      </c>
      <c r="P20" s="4" t="str">
        <f t="array" ref="P20">xlookup(O20,Sheet2!B:B,Sheet2!A:A)</f>
        <v>Financial Literacy Project (PMFL)</v>
      </c>
      <c r="Q20" s="4" t="str">
        <f t="array" ref="Q20">IF(xlookup(E20,'924 data aggregation'!B:B,'924 data aggregation'!G:G) = "NA",xlookup(E20,'924 data aggregation'!B:B,'924 data aggregation'!A:A),xlookup(E20,'924 data aggregation'!B:B,'924 data aggregation'!G:G))</f>
        <v>Krish Arora</v>
      </c>
      <c r="R20" s="4" t="str">
        <f t="array" ref="R20">IF(xlookup(F20,'924 data aggregation'!$B:$B,'924 data aggregation'!$G:$G) = "NA",xlookup(F20,'924 data aggregation'!$B:$B,'924 data aggregation'!$A:$A),xlookup(F20,'924 data aggregation'!$B:$B,'924 data aggregation'!$G:$G))</f>
        <v>Talia Philip, Cheyenne Wang</v>
      </c>
      <c r="S20" s="4" t="str">
        <f t="array" ref="S20">IF(xlookup(G20,'924 data aggregation'!$B:$B,'924 data aggregation'!$G:$G) = "NA",xlookup(G20,'924 data aggregation'!$B:$B,'924 data aggregation'!$A:$A),xlookup(G20,'924 data aggregation'!$B:$B,'924 data aggregation'!$G:$G))</f>
        <v>Sai Surapaneni,  Saanvi Devpura, Pakhi Rai</v>
      </c>
      <c r="T20" s="4" t="str">
        <f t="array" ref="T20">IF(xlookup(H20,'924 data aggregation'!$B:$B,'924 data aggregation'!$G:$G) = "NA",xlookup(H20,'924 data aggregation'!$B:$B,'924 data aggregation'!$A:$A),xlookup(H20,'924 data aggregation'!$B:$B,'924 data aggregation'!$G:$G))</f>
        <v>Saanvi Devpura, Pakhi Rai, Sai Surapaneni</v>
      </c>
      <c r="U20" s="4" t="str">
        <f t="array" ref="U20">IF(xlookup(I20,'924 data aggregation'!$B:$B,'924 data aggregation'!$G:$G) = "NA",xlookup(I20,'924 data aggregation'!$B:$B,'924 data aggregation'!$A:$A),xlookup(I20,'924 data aggregation'!$B:$B,'924 data aggregation'!$G:$G))</f>
        <v>Arjun Parthipan</v>
      </c>
      <c r="V20" s="4" t="str">
        <f t="array" ref="V20">IF(xlookup(J20,'924 data aggregation'!$B:$B,'924 data aggregation'!$G:$G) = "NA",xlookup(J20,'924 data aggregation'!$B:$B,'924 data aggregation'!$A:$A),xlookup(J20,'924 data aggregation'!$B:$B,'924 data aggregation'!$G:$G))</f>
        <v>Liyan Ravani, Ankur Chanabasanavar, Akhil Gudapati</v>
      </c>
      <c r="W20" s="4" t="str">
        <f t="array" ref="W20">IF(xlookup(K20,'924 data aggregation'!$B:$B,'924 data aggregation'!$G:$G) = "NA",xlookup(K20,'924 data aggregation'!$B:$B,'924 data aggregation'!$A:$A),xlookup(K20,'924 data aggregation'!$B:$B,'924 data aggregation'!$G:$G))</f>
        <v>#N/A</v>
      </c>
      <c r="X20" s="4" t="str">
        <f t="array" ref="X20">IF(xlookup(L20,'924 data aggregation'!$B:$B,'924 data aggregation'!$G:$G) = "NA",xlookup(L20,'924 data aggregation'!$B:$B,'924 data aggregation'!$A:$A),xlookup(L20,'924 data aggregation'!$B:$B,'924 data aggregation'!$G:$G))</f>
        <v>#N/A</v>
      </c>
      <c r="Y20" s="4" t="str">
        <f t="array" ref="Y20">IF(xlookup(M20,'924 data aggregation'!$B:$B,'924 data aggregation'!$G:$G) = "NA",xlookup(M20,'924 data aggregation'!$B:$B,'924 data aggregation'!$A:$A),xlookup(M20,'924 data aggregation'!$B:$B,'924 data aggregation'!$G:$G))</f>
        <v>#N/A</v>
      </c>
      <c r="Z20" s="4" t="str">
        <f t="array" ref="Z20">IF(xlookup(N20,'924 data aggregation'!$B:$B,'924 data aggregation'!$G:$G) = "NA",xlookup(N20,'924 data aggregation'!$B:$B,'924 data aggregation'!$A:$A),xlookup(N20,'924 data aggregation'!$B:$B,'924 data aggregation'!$G:$G))</f>
        <v>#N/A</v>
      </c>
    </row>
    <row r="21">
      <c r="A21" s="14" t="s">
        <v>1580</v>
      </c>
      <c r="C21" s="15" t="s">
        <v>1581</v>
      </c>
      <c r="D21" s="4" t="str">
        <f t="shared" si="2"/>
        <v>138492,138050,136592,314880,188263,137290,119421,313865,157280,150327</v>
      </c>
      <c r="E21" s="4">
        <f>IFERROR(__xludf.DUMMYFUNCTION("SPLIT(D21,"","")"),138492.0)</f>
        <v>138492</v>
      </c>
      <c r="F21" s="4">
        <f>IFERROR(__xludf.DUMMYFUNCTION("""COMPUTED_VALUE"""),138050.0)</f>
        <v>138050</v>
      </c>
      <c r="G21" s="4">
        <f>IFERROR(__xludf.DUMMYFUNCTION("""COMPUTED_VALUE"""),136592.0)</f>
        <v>136592</v>
      </c>
      <c r="H21" s="4">
        <f>IFERROR(__xludf.DUMMYFUNCTION("""COMPUTED_VALUE"""),314880.0)</f>
        <v>314880</v>
      </c>
      <c r="I21" s="4">
        <f>IFERROR(__xludf.DUMMYFUNCTION("""COMPUTED_VALUE"""),188263.0)</f>
        <v>188263</v>
      </c>
      <c r="J21" s="4">
        <f>IFERROR(__xludf.DUMMYFUNCTION("""COMPUTED_VALUE"""),137290.0)</f>
        <v>137290</v>
      </c>
      <c r="K21" s="4">
        <f>IFERROR(__xludf.DUMMYFUNCTION("""COMPUTED_VALUE"""),119421.0)</f>
        <v>119421</v>
      </c>
      <c r="L21" s="4">
        <f>IFERROR(__xludf.DUMMYFUNCTION("""COMPUTED_VALUE"""),313865.0)</f>
        <v>313865</v>
      </c>
      <c r="M21" s="4">
        <f>IFERROR(__xludf.DUMMYFUNCTION("""COMPUTED_VALUE"""),157280.0)</f>
        <v>157280</v>
      </c>
      <c r="N21" s="4">
        <f>IFERROR(__xludf.DUMMYFUNCTION("""COMPUTED_VALUE"""),150327.0)</f>
        <v>150327</v>
      </c>
      <c r="O21" s="14">
        <v>19.0</v>
      </c>
      <c r="P21" s="4" t="str">
        <f t="array" ref="P21">xlookup(O21,Sheet2!B:B,Sheet2!A:A)</f>
        <v>Financial Services (FTDM)</v>
      </c>
      <c r="Q21" s="4" t="str">
        <f t="array" ref="Q21">IF(xlookup(E21,'924 data aggregation'!B:B,'924 data aggregation'!G:G) = "NA",xlookup(E21,'924 data aggregation'!B:B,'924 data aggregation'!A:A),xlookup(E21,'924 data aggregation'!B:B,'924 data aggregation'!G:G))</f>
        <v>Levi Kim, </v>
      </c>
      <c r="R21" s="4" t="str">
        <f t="array" ref="R21">IF(xlookup(F21,'924 data aggregation'!$B:$B,'924 data aggregation'!$G:$G) = "NA",xlookup(F21,'924 data aggregation'!$B:$B,'924 data aggregation'!$A:$A),xlookup(F21,'924 data aggregation'!$B:$B,'924 data aggregation'!$G:$G))</f>
        <v>Shubhankar Deshpande, Darryl Tang</v>
      </c>
      <c r="S21" s="4" t="str">
        <f t="array" ref="S21">IF(xlookup(G21,'924 data aggregation'!$B:$B,'924 data aggregation'!$G:$G) = "NA",xlookup(G21,'924 data aggregation'!$B:$B,'924 data aggregation'!$A:$A),xlookup(G21,'924 data aggregation'!$B:$B,'924 data aggregation'!$G:$G))</f>
        <v>Geet Nijhawan and Emily Zhang </v>
      </c>
      <c r="T21" s="4" t="str">
        <f t="array" ref="T21">IF(xlookup(H21,'924 data aggregation'!$B:$B,'924 data aggregation'!$G:$G) = "NA",xlookup(H21,'924 data aggregation'!$B:$B,'924 data aggregation'!$A:$A),xlookup(H21,'924 data aggregation'!$B:$B,'924 data aggregation'!$G:$G))</f>
        <v>Emily Zhang and Geet Nijhawan</v>
      </c>
      <c r="U21" s="4" t="str">
        <f t="array" ref="U21">IF(xlookup(I21,'924 data aggregation'!$B:$B,'924 data aggregation'!$G:$G) = "NA",xlookup(I21,'924 data aggregation'!$B:$B,'924 data aggregation'!$A:$A),xlookup(I21,'924 data aggregation'!$B:$B,'924 data aggregation'!$G:$G))</f>
        <v>Puyan Heidari, Srivibhav Tamarapalli</v>
      </c>
      <c r="V21" s="4" t="str">
        <f t="array" ref="V21">IF(xlookup(J21,'924 data aggregation'!$B:$B,'924 data aggregation'!$G:$G) = "NA",xlookup(J21,'924 data aggregation'!$B:$B,'924 data aggregation'!$A:$A),xlookup(J21,'924 data aggregation'!$B:$B,'924 data aggregation'!$G:$G))</f>
        <v>Roshni Muthuswamy, Soomin Oh</v>
      </c>
      <c r="W21" s="4" t="str">
        <f t="array" ref="W21">IF(xlookup(K21,'924 data aggregation'!$B:$B,'924 data aggregation'!$G:$G) = "NA",xlookup(K21,'924 data aggregation'!$B:$B,'924 data aggregation'!$A:$A),xlookup(K21,'924 data aggregation'!$B:$B,'924 data aggregation'!$G:$G))</f>
        <v>Harry Zhang, Justin Cheng</v>
      </c>
      <c r="X21" s="4" t="str">
        <f t="array" ref="X21">IF(xlookup(L21,'924 data aggregation'!$B:$B,'924 data aggregation'!$G:$G) = "NA",xlookup(L21,'924 data aggregation'!$B:$B,'924 data aggregation'!$A:$A),xlookup(L21,'924 data aggregation'!$B:$B,'924 data aggregation'!$G:$G))</f>
        <v> Nehan Maredia, Aswan Kadiwal</v>
      </c>
      <c r="Y21" s="4" t="str">
        <f t="array" ref="Y21">IF(xlookup(M21,'924 data aggregation'!$B:$B,'924 data aggregation'!$G:$G) = "NA",xlookup(M21,'924 data aggregation'!$B:$B,'924 data aggregation'!$A:$A),xlookup(M21,'924 data aggregation'!$B:$B,'924 data aggregation'!$G:$G))</f>
        <v>William Du, Aarav Karumanchi</v>
      </c>
      <c r="Z21" s="4" t="str">
        <f t="array" ref="Z21">IF(xlookup(N21,'924 data aggregation'!$B:$B,'924 data aggregation'!$G:$G) = "NA",xlookup(N21,'924 data aggregation'!$B:$B,'924 data aggregation'!$A:$A),xlookup(N21,'924 data aggregation'!$B:$B,'924 data aggregation'!$G:$G))</f>
        <v>Alyssa Li,  Emma Xia</v>
      </c>
    </row>
    <row r="22">
      <c r="A22" s="14" t="s">
        <v>1582</v>
      </c>
      <c r="C22" s="15" t="s">
        <v>1583</v>
      </c>
      <c r="D22" s="4" t="str">
        <f t="shared" si="2"/>
        <v>145700,109820,150353</v>
      </c>
      <c r="E22" s="4">
        <f>IFERROR(__xludf.DUMMYFUNCTION("SPLIT(D22,"","")"),145700.0)</f>
        <v>145700</v>
      </c>
      <c r="F22" s="4">
        <f>IFERROR(__xludf.DUMMYFUNCTION("""COMPUTED_VALUE"""),109820.0)</f>
        <v>109820</v>
      </c>
      <c r="G22" s="4">
        <f>IFERROR(__xludf.DUMMYFUNCTION("""COMPUTED_VALUE"""),150353.0)</f>
        <v>150353</v>
      </c>
      <c r="O22" s="14">
        <v>20.0</v>
      </c>
      <c r="P22" s="4" t="str">
        <f t="array" ref="P22">xlookup(O22,Sheet2!B:B,Sheet2!A:A)</f>
        <v>Food Marketing (FMS)</v>
      </c>
      <c r="Q22" s="4" t="str">
        <f t="array" ref="Q22">IF(xlookup(E22,'924 data aggregation'!B:B,'924 data aggregation'!G:G) = "NA",xlookup(E22,'924 data aggregation'!B:B,'924 data aggregation'!A:A),xlookup(E22,'924 data aggregation'!B:B,'924 data aggregation'!G:G))</f>
        <v>Sibi Raja</v>
      </c>
      <c r="R22" s="4" t="str">
        <f t="array" ref="R22">IF(xlookup(F22,'924 data aggregation'!$B:$B,'924 data aggregation'!$G:$G) = "NA",xlookup(F22,'924 data aggregation'!$B:$B,'924 data aggregation'!$A:$A),xlookup(F22,'924 data aggregation'!$B:$B,'924 data aggregation'!$G:$G))</f>
        <v>Mahathi Harith</v>
      </c>
      <c r="S22" s="4" t="str">
        <f t="array" ref="S22">IF(xlookup(G22,'924 data aggregation'!$B:$B,'924 data aggregation'!$G:$G) = "NA",xlookup(G22,'924 data aggregation'!$B:$B,'924 data aggregation'!$A:$A),xlookup(G22,'924 data aggregation'!$B:$B,'924 data aggregation'!$G:$G))</f>
        <v>Varun Harith</v>
      </c>
      <c r="T22" s="4" t="str">
        <f t="array" ref="T22">IF(xlookup(H22,'924 data aggregation'!$B:$B,'924 data aggregation'!$G:$G) = "NA",xlookup(H22,'924 data aggregation'!$B:$B,'924 data aggregation'!$A:$A),xlookup(H22,'924 data aggregation'!$B:$B,'924 data aggregation'!$G:$G))</f>
        <v>#N/A</v>
      </c>
      <c r="U22" s="4" t="str">
        <f t="array" ref="U22">IF(xlookup(I22,'924 data aggregation'!$B:$B,'924 data aggregation'!$G:$G) = "NA",xlookup(I22,'924 data aggregation'!$B:$B,'924 data aggregation'!$A:$A),xlookup(I22,'924 data aggregation'!$B:$B,'924 data aggregation'!$G:$G))</f>
        <v>#N/A</v>
      </c>
      <c r="V22" s="4" t="str">
        <f t="array" ref="V22">IF(xlookup(J22,'924 data aggregation'!$B:$B,'924 data aggregation'!$G:$G) = "NA",xlookup(J22,'924 data aggregation'!$B:$B,'924 data aggregation'!$A:$A),xlookup(J22,'924 data aggregation'!$B:$B,'924 data aggregation'!$G:$G))</f>
        <v>#N/A</v>
      </c>
      <c r="W22" s="4" t="str">
        <f t="array" ref="W22">IF(xlookup(K22,'924 data aggregation'!$B:$B,'924 data aggregation'!$G:$G) = "NA",xlookup(K22,'924 data aggregation'!$B:$B,'924 data aggregation'!$A:$A),xlookup(K22,'924 data aggregation'!$B:$B,'924 data aggregation'!$G:$G))</f>
        <v>#N/A</v>
      </c>
      <c r="X22" s="4" t="str">
        <f t="array" ref="X22">IF(xlookup(L22,'924 data aggregation'!$B:$B,'924 data aggregation'!$G:$G) = "NA",xlookup(L22,'924 data aggregation'!$B:$B,'924 data aggregation'!$A:$A),xlookup(L22,'924 data aggregation'!$B:$B,'924 data aggregation'!$G:$G))</f>
        <v>#N/A</v>
      </c>
      <c r="Y22" s="4" t="str">
        <f t="array" ref="Y22">IF(xlookup(M22,'924 data aggregation'!$B:$B,'924 data aggregation'!$G:$G) = "NA",xlookup(M22,'924 data aggregation'!$B:$B,'924 data aggregation'!$A:$A),xlookup(M22,'924 data aggregation'!$B:$B,'924 data aggregation'!$G:$G))</f>
        <v>#N/A</v>
      </c>
      <c r="Z22" s="4" t="str">
        <f t="array" ref="Z22">IF(xlookup(N22,'924 data aggregation'!$B:$B,'924 data aggregation'!$G:$G) = "NA",xlookup(N22,'924 data aggregation'!$B:$B,'924 data aggregation'!$A:$A),xlookup(N22,'924 data aggregation'!$B:$B,'924 data aggregation'!$G:$G))</f>
        <v>#N/A</v>
      </c>
    </row>
    <row r="23">
      <c r="A23" s="14" t="s">
        <v>1584</v>
      </c>
      <c r="C23" s="15" t="s">
        <v>1585</v>
      </c>
      <c r="D23" s="4" t="str">
        <f t="shared" si="2"/>
        <v>136893,109886</v>
      </c>
      <c r="E23" s="4">
        <f>IFERROR(__xludf.DUMMYFUNCTION("SPLIT(D23,"","")"),136893.0)</f>
        <v>136893</v>
      </c>
      <c r="F23" s="4">
        <f>IFERROR(__xludf.DUMMYFUNCTION("""COMPUTED_VALUE"""),109886.0)</f>
        <v>109886</v>
      </c>
      <c r="O23" s="14">
        <v>21.0</v>
      </c>
      <c r="P23" s="4" t="str">
        <f t="array" ref="P23">xlookup(O23,Sheet2!B:B,Sheet2!A:A)</f>
        <v>Franchise Business Plan (EFB)</v>
      </c>
      <c r="Q23" s="4" t="str">
        <f t="array" ref="Q23">IF(xlookup(E23,'924 data aggregation'!B:B,'924 data aggregation'!G:G) = "NA",xlookup(E23,'924 data aggregation'!B:B,'924 data aggregation'!A:A),xlookup(E23,'924 data aggregation'!B:B,'924 data aggregation'!G:G))</f>
        <v>Romita Sur, Rounav Sur, Allison Zhuang</v>
      </c>
      <c r="R23" s="4" t="str">
        <f t="array" ref="R23">IF(xlookup(F23,'924 data aggregation'!$B:$B,'924 data aggregation'!$G:$G) = "NA",xlookup(F23,'924 data aggregation'!$B:$B,'924 data aggregation'!$A:$A),xlookup(F23,'924 data aggregation'!$B:$B,'924 data aggregation'!$G:$G))</f>
        <v>Aryan Bandi, Remy Simpson, Lily Yang</v>
      </c>
      <c r="S23" s="4" t="str">
        <f t="array" ref="S23">IF(xlookup(G23,'924 data aggregation'!$B:$B,'924 data aggregation'!$G:$G) = "NA",xlookup(G23,'924 data aggregation'!$B:$B,'924 data aggregation'!$A:$A),xlookup(G23,'924 data aggregation'!$B:$B,'924 data aggregation'!$G:$G))</f>
        <v>#N/A</v>
      </c>
      <c r="T23" s="4" t="str">
        <f t="array" ref="T23">IF(xlookup(H23,'924 data aggregation'!$B:$B,'924 data aggregation'!$G:$G) = "NA",xlookup(H23,'924 data aggregation'!$B:$B,'924 data aggregation'!$A:$A),xlookup(H23,'924 data aggregation'!$B:$B,'924 data aggregation'!$G:$G))</f>
        <v>#N/A</v>
      </c>
      <c r="U23" s="4" t="str">
        <f t="array" ref="U23">IF(xlookup(I23,'924 data aggregation'!$B:$B,'924 data aggregation'!$G:$G) = "NA",xlookup(I23,'924 data aggregation'!$B:$B,'924 data aggregation'!$A:$A),xlookup(I23,'924 data aggregation'!$B:$B,'924 data aggregation'!$G:$G))</f>
        <v>#N/A</v>
      </c>
      <c r="V23" s="4" t="str">
        <f t="array" ref="V23">IF(xlookup(J23,'924 data aggregation'!$B:$B,'924 data aggregation'!$G:$G) = "NA",xlookup(J23,'924 data aggregation'!$B:$B,'924 data aggregation'!$A:$A),xlookup(J23,'924 data aggregation'!$B:$B,'924 data aggregation'!$G:$G))</f>
        <v>#N/A</v>
      </c>
      <c r="W23" s="4" t="str">
        <f t="array" ref="W23">IF(xlookup(K23,'924 data aggregation'!$B:$B,'924 data aggregation'!$G:$G) = "NA",xlookup(K23,'924 data aggregation'!$B:$B,'924 data aggregation'!$A:$A),xlookup(K23,'924 data aggregation'!$B:$B,'924 data aggregation'!$G:$G))</f>
        <v>#N/A</v>
      </c>
      <c r="X23" s="4" t="str">
        <f t="array" ref="X23">IF(xlookup(L23,'924 data aggregation'!$B:$B,'924 data aggregation'!$G:$G) = "NA",xlookup(L23,'924 data aggregation'!$B:$B,'924 data aggregation'!$A:$A),xlookup(L23,'924 data aggregation'!$B:$B,'924 data aggregation'!$G:$G))</f>
        <v>#N/A</v>
      </c>
      <c r="Y23" s="4" t="str">
        <f t="array" ref="Y23">IF(xlookup(M23,'924 data aggregation'!$B:$B,'924 data aggregation'!$G:$G) = "NA",xlookup(M23,'924 data aggregation'!$B:$B,'924 data aggregation'!$A:$A),xlookup(M23,'924 data aggregation'!$B:$B,'924 data aggregation'!$G:$G))</f>
        <v>#N/A</v>
      </c>
      <c r="Z23" s="4" t="str">
        <f t="array" ref="Z23">IF(xlookup(N23,'924 data aggregation'!$B:$B,'924 data aggregation'!$G:$G) = "NA",xlookup(N23,'924 data aggregation'!$B:$B,'924 data aggregation'!$A:$A),xlookup(N23,'924 data aggregation'!$B:$B,'924 data aggregation'!$G:$G))</f>
        <v>#N/A</v>
      </c>
    </row>
    <row r="24">
      <c r="A24" s="14" t="s">
        <v>1586</v>
      </c>
      <c r="C24" s="15" t="s">
        <v>1587</v>
      </c>
      <c r="D24" s="4" t="str">
        <f t="shared" si="2"/>
        <v>162647,164480,136686,138399,136292,314091,119856,164534,119813,148270</v>
      </c>
      <c r="E24" s="4">
        <f>IFERROR(__xludf.DUMMYFUNCTION("SPLIT(D24,"","")"),162647.0)</f>
        <v>162647</v>
      </c>
      <c r="F24" s="4">
        <f>IFERROR(__xludf.DUMMYFUNCTION("""COMPUTED_VALUE"""),164480.0)</f>
        <v>164480</v>
      </c>
      <c r="G24" s="4">
        <f>IFERROR(__xludf.DUMMYFUNCTION("""COMPUTED_VALUE"""),136686.0)</f>
        <v>136686</v>
      </c>
      <c r="H24" s="4">
        <f>IFERROR(__xludf.DUMMYFUNCTION("""COMPUTED_VALUE"""),138399.0)</f>
        <v>138399</v>
      </c>
      <c r="I24" s="4">
        <f>IFERROR(__xludf.DUMMYFUNCTION("""COMPUTED_VALUE"""),136292.0)</f>
        <v>136292</v>
      </c>
      <c r="J24" s="4">
        <f>IFERROR(__xludf.DUMMYFUNCTION("""COMPUTED_VALUE"""),314091.0)</f>
        <v>314091</v>
      </c>
      <c r="K24" s="4">
        <f>IFERROR(__xludf.DUMMYFUNCTION("""COMPUTED_VALUE"""),119856.0)</f>
        <v>119856</v>
      </c>
      <c r="L24" s="4">
        <f>IFERROR(__xludf.DUMMYFUNCTION("""COMPUTED_VALUE"""),164534.0)</f>
        <v>164534</v>
      </c>
      <c r="M24" s="4">
        <f>IFERROR(__xludf.DUMMYFUNCTION("""COMPUTED_VALUE"""),119813.0)</f>
        <v>119813</v>
      </c>
      <c r="N24" s="4">
        <f>IFERROR(__xludf.DUMMYFUNCTION("""COMPUTED_VALUE"""),148270.0)</f>
        <v>148270</v>
      </c>
      <c r="O24" s="14">
        <v>22.0</v>
      </c>
      <c r="P24" s="4" t="str">
        <f t="array" ref="P24">xlookup(O24,Sheet2!B:B,Sheet2!A:A)</f>
        <v>Hospitality and Tourism Operations (HTOR)</v>
      </c>
      <c r="Q24" s="4" t="str">
        <f t="array" ref="Q24">IF(xlookup(E24,'924 data aggregation'!B:B,'924 data aggregation'!G:G) = "NA",xlookup(E24,'924 data aggregation'!B:B,'924 data aggregation'!A:A),xlookup(E24,'924 data aggregation'!B:B,'924 data aggregation'!G:G))</f>
        <v>Shrishti Mahajan, Yujie Zhang, Shivani Kondubhatla</v>
      </c>
      <c r="R24" s="4" t="str">
        <f t="array" ref="R24">IF(xlookup(F24,'924 data aggregation'!$B:$B,'924 data aggregation'!$G:$G) = "NA",xlookup(F24,'924 data aggregation'!$B:$B,'924 data aggregation'!$A:$A),xlookup(F24,'924 data aggregation'!$B:$B,'924 data aggregation'!$G:$G))</f>
        <v>Krishani Khanna, Kara Wang</v>
      </c>
      <c r="S24" s="4" t="str">
        <f t="array" ref="S24">IF(xlookup(G24,'924 data aggregation'!$B:$B,'924 data aggregation'!$G:$G) = "NA",xlookup(G24,'924 data aggregation'!$B:$B,'924 data aggregation'!$A:$A),xlookup(G24,'924 data aggregation'!$B:$B,'924 data aggregation'!$G:$G))</f>
        <v>Lian Wong, O’Viya Dinesh</v>
      </c>
      <c r="T24" s="4" t="str">
        <f t="array" ref="T24">IF(xlookup(H24,'924 data aggregation'!$B:$B,'924 data aggregation'!$G:$G) = "NA",xlookup(H24,'924 data aggregation'!$B:$B,'924 data aggregation'!$A:$A),xlookup(H24,'924 data aggregation'!$B:$B,'924 data aggregation'!$G:$G))</f>
        <v>Shreyan Khanna, Ruhan Gupta</v>
      </c>
      <c r="U24" s="4" t="str">
        <f t="array" ref="U24">IF(xlookup(I24,'924 data aggregation'!$B:$B,'924 data aggregation'!$G:$G) = "NA",xlookup(I24,'924 data aggregation'!$B:$B,'924 data aggregation'!$A:$A),xlookup(I24,'924 data aggregation'!$B:$B,'924 data aggregation'!$G:$G))</f>
        <v>O'Viya Dinesh, Lian Wong</v>
      </c>
      <c r="V24" s="4" t="str">
        <f t="array" ref="V24">IF(xlookup(J24,'924 data aggregation'!$B:$B,'924 data aggregation'!$G:$G) = "NA",xlookup(J24,'924 data aggregation'!$B:$B,'924 data aggregation'!$A:$A),xlookup(J24,'924 data aggregation'!$B:$B,'924 data aggregation'!$G:$G))</f>
        <v>Varun Aditya Nanduri</v>
      </c>
      <c r="W24" s="4" t="str">
        <f t="array" ref="W24">IF(xlookup(K24,'924 data aggregation'!$B:$B,'924 data aggregation'!$G:$G) = "NA",xlookup(K24,'924 data aggregation'!$B:$B,'924 data aggregation'!$A:$A),xlookup(K24,'924 data aggregation'!$B:$B,'924 data aggregation'!$G:$G))</f>
        <v>Aislynn karediya, Manha ali, Sofia prasla </v>
      </c>
      <c r="X24" s="4" t="str">
        <f t="array" ref="X24">IF(xlookup(L24,'924 data aggregation'!$B:$B,'924 data aggregation'!$G:$G) = "NA",xlookup(L24,'924 data aggregation'!$B:$B,'924 data aggregation'!$A:$A),xlookup(L24,'924 data aggregation'!$B:$B,'924 data aggregation'!$G:$G))</f>
        <v>Aysenur Musta, Sarah Fattu, Ahanti Hossain</v>
      </c>
      <c r="Y24" s="4" t="str">
        <f t="array" ref="Y24">IF(xlookup(M24,'924 data aggregation'!$B:$B,'924 data aggregation'!$G:$G) = "NA",xlookup(M24,'924 data aggregation'!$B:$B,'924 data aggregation'!$A:$A),xlookup(M24,'924 data aggregation'!$B:$B,'924 data aggregation'!$G:$G))</f>
        <v>Sofia Prasla, Manha Ali, Aislynn Karediya</v>
      </c>
      <c r="Z24" s="4" t="str">
        <f t="array" ref="Z24">IF(xlookup(N24,'924 data aggregation'!$B:$B,'924 data aggregation'!$G:$G) = "NA",xlookup(N24,'924 data aggregation'!$B:$B,'924 data aggregation'!$A:$A),xlookup(N24,'924 data aggregation'!$B:$B,'924 data aggregation'!$G:$G))</f>
        <v>Paula Barquero, Abigail Denison</v>
      </c>
    </row>
    <row r="25">
      <c r="A25" s="14" t="s">
        <v>1588</v>
      </c>
      <c r="C25" s="15" t="s">
        <v>1589</v>
      </c>
      <c r="D25" s="4" t="str">
        <f t="shared" si="2"/>
        <v>119687,320421,180390</v>
      </c>
      <c r="E25" s="4">
        <f>IFERROR(__xludf.DUMMYFUNCTION("SPLIT(D25,"","")"),119687.0)</f>
        <v>119687</v>
      </c>
      <c r="F25" s="4">
        <f>IFERROR(__xludf.DUMMYFUNCTION("""COMPUTED_VALUE"""),320421.0)</f>
        <v>320421</v>
      </c>
      <c r="G25" s="4">
        <f>IFERROR(__xludf.DUMMYFUNCTION("""COMPUTED_VALUE"""),180390.0)</f>
        <v>180390</v>
      </c>
      <c r="O25" s="14">
        <v>23.0</v>
      </c>
      <c r="P25" s="4" t="str">
        <f t="array" ref="P25">xlookup(O25,Sheet2!B:B,Sheet2!A:A)</f>
        <v>Hospitality and Tourism Professional Selling (HTPS)</v>
      </c>
      <c r="Q25" s="4" t="str">
        <f t="array" ref="Q25">IF(xlookup(E25,'924 data aggregation'!B:B,'924 data aggregation'!G:G) = "NA",xlookup(E25,'924 data aggregation'!B:B,'924 data aggregation'!A:A),xlookup(E25,'924 data aggregation'!B:B,'924 data aggregation'!G:G))</f>
        <v>Soojin Ahn</v>
      </c>
      <c r="R25" s="4" t="str">
        <f t="array" ref="R25">IF(xlookup(F25,'924 data aggregation'!$B:$B,'924 data aggregation'!$G:$G) = "NA",xlookup(F25,'924 data aggregation'!$B:$B,'924 data aggregation'!$A:$A),xlookup(F25,'924 data aggregation'!$B:$B,'924 data aggregation'!$G:$G))</f>
        <v>Benjamin Schwarzenbach</v>
      </c>
      <c r="S25" s="4" t="str">
        <f t="array" ref="S25">IF(xlookup(G25,'924 data aggregation'!$B:$B,'924 data aggregation'!$G:$G) = "NA",xlookup(G25,'924 data aggregation'!$B:$B,'924 data aggregation'!$A:$A),xlookup(G25,'924 data aggregation'!$B:$B,'924 data aggregation'!$G:$G))</f>
        <v>Ender Cotty, Lucia Calonge </v>
      </c>
      <c r="T25" s="4" t="str">
        <f t="array" ref="T25">IF(xlookup(H25,'924 data aggregation'!$B:$B,'924 data aggregation'!$G:$G) = "NA",xlookup(H25,'924 data aggregation'!$B:$B,'924 data aggregation'!$A:$A),xlookup(H25,'924 data aggregation'!$B:$B,'924 data aggregation'!$G:$G))</f>
        <v>#N/A</v>
      </c>
      <c r="U25" s="4" t="str">
        <f t="array" ref="U25">IF(xlookup(I25,'924 data aggregation'!$B:$B,'924 data aggregation'!$G:$G) = "NA",xlookup(I25,'924 data aggregation'!$B:$B,'924 data aggregation'!$A:$A),xlookup(I25,'924 data aggregation'!$B:$B,'924 data aggregation'!$G:$G))</f>
        <v>#N/A</v>
      </c>
      <c r="V25" s="4" t="str">
        <f t="array" ref="V25">IF(xlookup(J25,'924 data aggregation'!$B:$B,'924 data aggregation'!$G:$G) = "NA",xlookup(J25,'924 data aggregation'!$B:$B,'924 data aggregation'!$A:$A),xlookup(J25,'924 data aggregation'!$B:$B,'924 data aggregation'!$G:$G))</f>
        <v>#N/A</v>
      </c>
      <c r="W25" s="4" t="str">
        <f t="array" ref="W25">IF(xlookup(K25,'924 data aggregation'!$B:$B,'924 data aggregation'!$G:$G) = "NA",xlookup(K25,'924 data aggregation'!$B:$B,'924 data aggregation'!$A:$A),xlookup(K25,'924 data aggregation'!$B:$B,'924 data aggregation'!$G:$G))</f>
        <v>#N/A</v>
      </c>
      <c r="X25" s="4" t="str">
        <f t="array" ref="X25">IF(xlookup(L25,'924 data aggregation'!$B:$B,'924 data aggregation'!$G:$G) = "NA",xlookup(L25,'924 data aggregation'!$B:$B,'924 data aggregation'!$A:$A),xlookup(L25,'924 data aggregation'!$B:$B,'924 data aggregation'!$G:$G))</f>
        <v>#N/A</v>
      </c>
      <c r="Y25" s="4" t="str">
        <f t="array" ref="Y25">IF(xlookup(M25,'924 data aggregation'!$B:$B,'924 data aggregation'!$G:$G) = "NA",xlookup(M25,'924 data aggregation'!$B:$B,'924 data aggregation'!$A:$A),xlookup(M25,'924 data aggregation'!$B:$B,'924 data aggregation'!$G:$G))</f>
        <v>#N/A</v>
      </c>
      <c r="Z25" s="4" t="str">
        <f t="array" ref="Z25">IF(xlookup(N25,'924 data aggregation'!$B:$B,'924 data aggregation'!$G:$G) = "NA",xlookup(N25,'924 data aggregation'!$B:$B,'924 data aggregation'!$A:$A),xlookup(N25,'924 data aggregation'!$B:$B,'924 data aggregation'!$G:$G))</f>
        <v>#N/A</v>
      </c>
    </row>
    <row r="26">
      <c r="A26" s="14" t="s">
        <v>1590</v>
      </c>
      <c r="C26" s="15" t="s">
        <v>1591</v>
      </c>
      <c r="D26" s="4" t="str">
        <f t="shared" si="2"/>
        <v>315002,327227,179850,192335,304150,149907,188888</v>
      </c>
      <c r="E26" s="4">
        <f>IFERROR(__xludf.DUMMYFUNCTION("SPLIT(D26,"","")"),315002.0)</f>
        <v>315002</v>
      </c>
      <c r="F26" s="4">
        <f>IFERROR(__xludf.DUMMYFUNCTION("""COMPUTED_VALUE"""),327227.0)</f>
        <v>327227</v>
      </c>
      <c r="G26" s="4">
        <f>IFERROR(__xludf.DUMMYFUNCTION("""COMPUTED_VALUE"""),179850.0)</f>
        <v>179850</v>
      </c>
      <c r="H26" s="4">
        <f>IFERROR(__xludf.DUMMYFUNCTION("""COMPUTED_VALUE"""),192335.0)</f>
        <v>192335</v>
      </c>
      <c r="I26" s="4">
        <f>IFERROR(__xludf.DUMMYFUNCTION("""COMPUTED_VALUE"""),304150.0)</f>
        <v>304150</v>
      </c>
      <c r="J26" s="4">
        <f>IFERROR(__xludf.DUMMYFUNCTION("""COMPUTED_VALUE"""),149907.0)</f>
        <v>149907</v>
      </c>
      <c r="K26" s="4">
        <f>IFERROR(__xludf.DUMMYFUNCTION("""COMPUTED_VALUE"""),188888.0)</f>
        <v>188888</v>
      </c>
      <c r="O26" s="14">
        <v>24.0</v>
      </c>
      <c r="P26" s="4" t="str">
        <f t="array" ref="P26">xlookup(O26,Sheet2!B:B,Sheet2!A:A)</f>
        <v>Hospitality Services (HTDM)</v>
      </c>
      <c r="Q26" s="4" t="str">
        <f t="array" ref="Q26">IF(xlookup(E26,'924 data aggregation'!B:B,'924 data aggregation'!G:G) = "NA",xlookup(E26,'924 data aggregation'!B:B,'924 data aggregation'!A:A),xlookup(E26,'924 data aggregation'!B:B,'924 data aggregation'!G:G))</f>
        <v>Pio Stephan Antony, Rafael Longoria</v>
      </c>
      <c r="R26" s="4" t="str">
        <f t="array" ref="R26">IF(xlookup(F26,'924 data aggregation'!$B:$B,'924 data aggregation'!$G:$G) = "NA",xlookup(F26,'924 data aggregation'!$B:$B,'924 data aggregation'!$A:$A),xlookup(F26,'924 data aggregation'!$B:$B,'924 data aggregation'!$G:$G))</f>
        <v>Pio Stephan Antony</v>
      </c>
      <c r="S26" s="4" t="str">
        <f t="array" ref="S26">IF(xlookup(G26,'924 data aggregation'!$B:$B,'924 data aggregation'!$G:$G) = "NA",xlookup(G26,'924 data aggregation'!$B:$B,'924 data aggregation'!$A:$A),xlookup(G26,'924 data aggregation'!$B:$B,'924 data aggregation'!$G:$G))</f>
        <v>Lakshmi Ananya Parim and Sia Kaushik </v>
      </c>
      <c r="T26" s="4" t="str">
        <f t="array" ref="T26">IF(xlookup(H26,'924 data aggregation'!$B:$B,'924 data aggregation'!$G:$G) = "NA",xlookup(H26,'924 data aggregation'!$B:$B,'924 data aggregation'!$A:$A),xlookup(H26,'924 data aggregation'!$B:$B,'924 data aggregation'!$G:$G))</f>
        <v>Sia Kaushik, Lakshmi Ananya Parim</v>
      </c>
      <c r="U26" s="4" t="str">
        <f t="array" ref="U26">IF(xlookup(I26,'924 data aggregation'!$B:$B,'924 data aggregation'!$G:$G) = "NA",xlookup(I26,'924 data aggregation'!$B:$B,'924 data aggregation'!$A:$A),xlookup(I26,'924 data aggregation'!$B:$B,'924 data aggregation'!$G:$G))</f>
        <v>Magdelyne hang, Molly johnson </v>
      </c>
      <c r="V26" s="4" t="str">
        <f t="array" ref="V26">IF(xlookup(J26,'924 data aggregation'!$B:$B,'924 data aggregation'!$G:$G) = "NA",xlookup(J26,'924 data aggregation'!$B:$B,'924 data aggregation'!$A:$A),xlookup(J26,'924 data aggregation'!$B:$B,'924 data aggregation'!$G:$G))</f>
        <v>Reett Aulakh, Aanya Pathak</v>
      </c>
      <c r="W26" s="4" t="str">
        <f t="array" ref="W26">IF(xlookup(K26,'924 data aggregation'!$B:$B,'924 data aggregation'!$G:$G) = "NA",xlookup(K26,'924 data aggregation'!$B:$B,'924 data aggregation'!$A:$A),xlookup(K26,'924 data aggregation'!$B:$B,'924 data aggregation'!$G:$G))</f>
        <v>Molly Johnson, Magdelyne Hang</v>
      </c>
      <c r="X26" s="4" t="str">
        <f t="array" ref="X26">IF(xlookup(L26,'924 data aggregation'!$B:$B,'924 data aggregation'!$G:$G) = "NA",xlookup(L26,'924 data aggregation'!$B:$B,'924 data aggregation'!$A:$A),xlookup(L26,'924 data aggregation'!$B:$B,'924 data aggregation'!$G:$G))</f>
        <v>#N/A</v>
      </c>
      <c r="Y26" s="4" t="str">
        <f t="array" ref="Y26">IF(xlookup(M26,'924 data aggregation'!$B:$B,'924 data aggregation'!$G:$G) = "NA",xlookup(M26,'924 data aggregation'!$B:$B,'924 data aggregation'!$A:$A),xlookup(M26,'924 data aggregation'!$B:$B,'924 data aggregation'!$G:$G))</f>
        <v>#N/A</v>
      </c>
      <c r="Z26" s="4" t="str">
        <f t="array" ref="Z26">IF(xlookup(N26,'924 data aggregation'!$B:$B,'924 data aggregation'!$G:$G) = "NA",xlookup(N26,'924 data aggregation'!$B:$B,'924 data aggregation'!$A:$A),xlookup(N26,'924 data aggregation'!$B:$B,'924 data aggregation'!$G:$G))</f>
        <v>#N/A</v>
      </c>
    </row>
    <row r="27">
      <c r="A27" s="14" t="s">
        <v>1592</v>
      </c>
      <c r="C27" s="15" t="s">
        <v>1593</v>
      </c>
      <c r="D27" s="4" t="str">
        <f t="shared" si="2"/>
        <v>124187,323614,150236,138394,189124,142597,318895,128023,148202,319859</v>
      </c>
      <c r="E27" s="4">
        <f>IFERROR(__xludf.DUMMYFUNCTION("SPLIT(D27,"","")"),124187.0)</f>
        <v>124187</v>
      </c>
      <c r="F27" s="4">
        <f>IFERROR(__xludf.DUMMYFUNCTION("""COMPUTED_VALUE"""),323614.0)</f>
        <v>323614</v>
      </c>
      <c r="G27" s="4">
        <f>IFERROR(__xludf.DUMMYFUNCTION("""COMPUTED_VALUE"""),150236.0)</f>
        <v>150236</v>
      </c>
      <c r="H27" s="4">
        <f>IFERROR(__xludf.DUMMYFUNCTION("""COMPUTED_VALUE"""),138394.0)</f>
        <v>138394</v>
      </c>
      <c r="I27" s="4">
        <f>IFERROR(__xludf.DUMMYFUNCTION("""COMPUTED_VALUE"""),189124.0)</f>
        <v>189124</v>
      </c>
      <c r="J27" s="4">
        <f>IFERROR(__xludf.DUMMYFUNCTION("""COMPUTED_VALUE"""),142597.0)</f>
        <v>142597</v>
      </c>
      <c r="K27" s="4">
        <f>IFERROR(__xludf.DUMMYFUNCTION("""COMPUTED_VALUE"""),318895.0)</f>
        <v>318895</v>
      </c>
      <c r="L27" s="4">
        <f>IFERROR(__xludf.DUMMYFUNCTION("""COMPUTED_VALUE"""),128023.0)</f>
        <v>128023</v>
      </c>
      <c r="M27" s="4">
        <f>IFERROR(__xludf.DUMMYFUNCTION("""COMPUTED_VALUE"""),148202.0)</f>
        <v>148202</v>
      </c>
      <c r="N27" s="4">
        <f>IFERROR(__xludf.DUMMYFUNCTION("""COMPUTED_VALUE"""),319859.0)</f>
        <v>319859</v>
      </c>
      <c r="O27" s="14">
        <v>25.0</v>
      </c>
      <c r="P27" s="4" t="str">
        <f t="array" ref="P27">xlookup(O27,Sheet2!B:B,Sheet2!A:A)</f>
        <v>Hotel and Lodging Management (HLM)</v>
      </c>
      <c r="Q27" s="4" t="str">
        <f t="array" ref="Q27">IF(xlookup(E27,'924 data aggregation'!B:B,'924 data aggregation'!G:G) = "NA",xlookup(E27,'924 data aggregation'!B:B,'924 data aggregation'!A:A),xlookup(E27,'924 data aggregation'!B:B,'924 data aggregation'!G:G))</f>
        <v>Josephine Sun</v>
      </c>
      <c r="R27" s="4" t="str">
        <f t="array" ref="R27">IF(xlookup(F27,'924 data aggregation'!$B:$B,'924 data aggregation'!$G:$G) = "NA",xlookup(F27,'924 data aggregation'!$B:$B,'924 data aggregation'!$A:$A),xlookup(F27,'924 data aggregation'!$B:$B,'924 data aggregation'!$G:$G))</f>
        <v>Medha Katragadda</v>
      </c>
      <c r="S27" s="4" t="str">
        <f t="array" ref="S27">IF(xlookup(G27,'924 data aggregation'!$B:$B,'924 data aggregation'!$G:$G) = "NA",xlookup(G27,'924 data aggregation'!$B:$B,'924 data aggregation'!$A:$A),xlookup(G27,'924 data aggregation'!$B:$B,'924 data aggregation'!$G:$G))</f>
        <v>Arnav Chinnappareddy</v>
      </c>
      <c r="T27" s="4" t="str">
        <f t="array" ref="T27">IF(xlookup(H27,'924 data aggregation'!$B:$B,'924 data aggregation'!$G:$G) = "NA",xlookup(H27,'924 data aggregation'!$B:$B,'924 data aggregation'!$A:$A),xlookup(H27,'924 data aggregation'!$B:$B,'924 data aggregation'!$G:$G))</f>
        <v>Ishaan Sampat</v>
      </c>
      <c r="U27" s="4" t="str">
        <f t="array" ref="U27">IF(xlookup(I27,'924 data aggregation'!$B:$B,'924 data aggregation'!$G:$G) = "NA",xlookup(I27,'924 data aggregation'!$B:$B,'924 data aggregation'!$A:$A),xlookup(I27,'924 data aggregation'!$B:$B,'924 data aggregation'!$G:$G))</f>
        <v>Bharath Kemburaj</v>
      </c>
      <c r="V27" s="4" t="str">
        <f t="array" ref="V27">IF(xlookup(J27,'924 data aggregation'!$B:$B,'924 data aggregation'!$G:$G) = "NA",xlookup(J27,'924 data aggregation'!$B:$B,'924 data aggregation'!$A:$A),xlookup(J27,'924 data aggregation'!$B:$B,'924 data aggregation'!$G:$G))</f>
        <v>Nehan Maredia</v>
      </c>
      <c r="W27" s="4" t="str">
        <f t="array" ref="W27">IF(xlookup(K27,'924 data aggregation'!$B:$B,'924 data aggregation'!$G:$G) = "NA",xlookup(K27,'924 data aggregation'!$B:$B,'924 data aggregation'!$A:$A),xlookup(K27,'924 data aggregation'!$B:$B,'924 data aggregation'!$G:$G))</f>
        <v>Alexis Correia</v>
      </c>
      <c r="X27" s="4" t="str">
        <f t="array" ref="X27">IF(xlookup(L27,'924 data aggregation'!$B:$B,'924 data aggregation'!$G:$G) = "NA",xlookup(L27,'924 data aggregation'!$B:$B,'924 data aggregation'!$A:$A),xlookup(L27,'924 data aggregation'!$B:$B,'924 data aggregation'!$G:$G))</f>
        <v>Misbah Ali</v>
      </c>
      <c r="Y27" s="4" t="str">
        <f t="array" ref="Y27">IF(xlookup(M27,'924 data aggregation'!$B:$B,'924 data aggregation'!$G:$G) = "NA",xlookup(M27,'924 data aggregation'!$B:$B,'924 data aggregation'!$A:$A),xlookup(M27,'924 data aggregation'!$B:$B,'924 data aggregation'!$G:$G))</f>
        <v>Krish Shenoy</v>
      </c>
      <c r="Z27" s="4" t="str">
        <f t="array" ref="Z27">IF(xlookup(N27,'924 data aggregation'!$B:$B,'924 data aggregation'!$G:$G) = "NA",xlookup(N27,'924 data aggregation'!$B:$B,'924 data aggregation'!$A:$A),xlookup(N27,'924 data aggregation'!$B:$B,'924 data aggregation'!$G:$G))</f>
        <v>Nimalan Pari</v>
      </c>
    </row>
    <row r="28">
      <c r="A28" s="14" t="s">
        <v>1594</v>
      </c>
      <c r="C28" s="15" t="s">
        <v>1595</v>
      </c>
      <c r="D28" s="4" t="str">
        <f t="shared" si="2"/>
        <v>118860,119009,124399,171913,136455,151799</v>
      </c>
      <c r="E28" s="4">
        <f>IFERROR(__xludf.DUMMYFUNCTION("SPLIT(D28,"","")"),118860.0)</f>
        <v>118860</v>
      </c>
      <c r="F28" s="4">
        <f>IFERROR(__xludf.DUMMYFUNCTION("""COMPUTED_VALUE"""),119009.0)</f>
        <v>119009</v>
      </c>
      <c r="G28" s="4">
        <f>IFERROR(__xludf.DUMMYFUNCTION("""COMPUTED_VALUE"""),124399.0)</f>
        <v>124399</v>
      </c>
      <c r="H28" s="4">
        <f>IFERROR(__xludf.DUMMYFUNCTION("""COMPUTED_VALUE"""),171913.0)</f>
        <v>171913</v>
      </c>
      <c r="I28" s="4">
        <f>IFERROR(__xludf.DUMMYFUNCTION("""COMPUTED_VALUE"""),136455.0)</f>
        <v>136455</v>
      </c>
      <c r="J28" s="4">
        <f>IFERROR(__xludf.DUMMYFUNCTION("""COMPUTED_VALUE"""),151799.0)</f>
        <v>151799</v>
      </c>
      <c r="O28" s="14">
        <v>26.0</v>
      </c>
      <c r="P28" s="4" t="str">
        <f t="array" ref="P28">xlookup(O28,Sheet2!B:B,Sheet2!A:A)</f>
        <v>Human Resources Management (HRM)</v>
      </c>
      <c r="Q28" s="4" t="str">
        <f t="array" ref="Q28">IF(xlookup(E28,'924 data aggregation'!B:B,'924 data aggregation'!G:G) = "NA",xlookup(E28,'924 data aggregation'!B:B,'924 data aggregation'!A:A),xlookup(E28,'924 data aggregation'!B:B,'924 data aggregation'!G:G))</f>
        <v>Jeremy Yang</v>
      </c>
      <c r="R28" s="4" t="str">
        <f t="array" ref="R28">IF(xlookup(F28,'924 data aggregation'!$B:$B,'924 data aggregation'!$G:$G) = "NA",xlookup(F28,'924 data aggregation'!$B:$B,'924 data aggregation'!$A:$A),xlookup(F28,'924 data aggregation'!$B:$B,'924 data aggregation'!$G:$G))</f>
        <v>Viraj Gadiya </v>
      </c>
      <c r="S28" s="4" t="str">
        <f t="array" ref="S28">IF(xlookup(G28,'924 data aggregation'!$B:$B,'924 data aggregation'!$G:$G) = "NA",xlookup(G28,'924 data aggregation'!$B:$B,'924 data aggregation'!$A:$A),xlookup(G28,'924 data aggregation'!$B:$B,'924 data aggregation'!$G:$G))</f>
        <v>Anamitra Ghosh</v>
      </c>
      <c r="T28" s="4" t="str">
        <f t="array" ref="T28">IF(xlookup(H28,'924 data aggregation'!$B:$B,'924 data aggregation'!$G:$G) = "NA",xlookup(H28,'924 data aggregation'!$B:$B,'924 data aggregation'!$A:$A),xlookup(H28,'924 data aggregation'!$B:$B,'924 data aggregation'!$G:$G))</f>
        <v>Vaishnavi Dhurjati</v>
      </c>
      <c r="U28" s="4" t="str">
        <f t="array" ref="U28">IF(xlookup(I28,'924 data aggregation'!$B:$B,'924 data aggregation'!$G:$G) = "NA",xlookup(I28,'924 data aggregation'!$B:$B,'924 data aggregation'!$A:$A),xlookup(I28,'924 data aggregation'!$B:$B,'924 data aggregation'!$G:$G))</f>
        <v>Avani Gautam</v>
      </c>
      <c r="V28" s="4" t="str">
        <f t="array" ref="V28">IF(xlookup(J28,'924 data aggregation'!$B:$B,'924 data aggregation'!$G:$G) = "NA",xlookup(J28,'924 data aggregation'!$B:$B,'924 data aggregation'!$A:$A),xlookup(J28,'924 data aggregation'!$B:$B,'924 data aggregation'!$G:$G))</f>
        <v>Zuhair Amin</v>
      </c>
      <c r="W28" s="4" t="str">
        <f t="array" ref="W28">IF(xlookup(K28,'924 data aggregation'!$B:$B,'924 data aggregation'!$G:$G) = "NA",xlookup(K28,'924 data aggregation'!$B:$B,'924 data aggregation'!$A:$A),xlookup(K28,'924 data aggregation'!$B:$B,'924 data aggregation'!$G:$G))</f>
        <v>#N/A</v>
      </c>
      <c r="X28" s="4" t="str">
        <f t="array" ref="X28">IF(xlookup(L28,'924 data aggregation'!$B:$B,'924 data aggregation'!$G:$G) = "NA",xlookup(L28,'924 data aggregation'!$B:$B,'924 data aggregation'!$A:$A),xlookup(L28,'924 data aggregation'!$B:$B,'924 data aggregation'!$G:$G))</f>
        <v>#N/A</v>
      </c>
      <c r="Y28" s="4" t="str">
        <f t="array" ref="Y28">IF(xlookup(M28,'924 data aggregation'!$B:$B,'924 data aggregation'!$G:$G) = "NA",xlookup(M28,'924 data aggregation'!$B:$B,'924 data aggregation'!$A:$A),xlookup(M28,'924 data aggregation'!$B:$B,'924 data aggregation'!$G:$G))</f>
        <v>#N/A</v>
      </c>
      <c r="Z28" s="4" t="str">
        <f t="array" ref="Z28">IF(xlookup(N28,'924 data aggregation'!$B:$B,'924 data aggregation'!$G:$G) = "NA",xlookup(N28,'924 data aggregation'!$B:$B,'924 data aggregation'!$A:$A),xlookup(N28,'924 data aggregation'!$B:$B,'924 data aggregation'!$G:$G))</f>
        <v>#N/A</v>
      </c>
    </row>
    <row r="29">
      <c r="A29" s="14" t="s">
        <v>1596</v>
      </c>
      <c r="C29" s="15" t="s">
        <v>1597</v>
      </c>
      <c r="D29" s="4" t="str">
        <f t="shared" si="2"/>
        <v>119448,301809,150842,301529,306632</v>
      </c>
      <c r="E29" s="4">
        <f>IFERROR(__xludf.DUMMYFUNCTION("SPLIT(D29,"","")"),119448.0)</f>
        <v>119448</v>
      </c>
      <c r="F29" s="4">
        <f>IFERROR(__xludf.DUMMYFUNCTION("""COMPUTED_VALUE"""),301809.0)</f>
        <v>301809</v>
      </c>
      <c r="G29" s="4">
        <f>IFERROR(__xludf.DUMMYFUNCTION("""COMPUTED_VALUE"""),150842.0)</f>
        <v>150842</v>
      </c>
      <c r="H29" s="4">
        <f>IFERROR(__xludf.DUMMYFUNCTION("""COMPUTED_VALUE"""),301529.0)</f>
        <v>301529</v>
      </c>
      <c r="I29" s="4">
        <f>IFERROR(__xludf.DUMMYFUNCTION("""COMPUTED_VALUE"""),306632.0)</f>
        <v>306632</v>
      </c>
      <c r="O29" s="14">
        <v>27.0</v>
      </c>
      <c r="P29" s="4" t="str">
        <f t="array" ref="P29">xlookup(O29,Sheet2!B:B,Sheet2!A:A)</f>
        <v>Independent Business Plan (EIB)</v>
      </c>
      <c r="Q29" s="4" t="str">
        <f t="array" ref="Q29">IF(xlookup(E29,'924 data aggregation'!B:B,'924 data aggregation'!G:G) = "NA",xlookup(E29,'924 data aggregation'!B:B,'924 data aggregation'!A:A),xlookup(E29,'924 data aggregation'!B:B,'924 data aggregation'!G:G))</f>
        <v>Michelle Li, Eileen Wu</v>
      </c>
      <c r="R29" s="4" t="str">
        <f t="array" ref="R29">IF(xlookup(F29,'924 data aggregation'!$B:$B,'924 data aggregation'!$G:$G) = "NA",xlookup(F29,'924 data aggregation'!$B:$B,'924 data aggregation'!$A:$A),xlookup(F29,'924 data aggregation'!$B:$B,'924 data aggregation'!$G:$G))</f>
        <v>Aadit Sharma, Ronit Singh</v>
      </c>
      <c r="S29" s="4" t="str">
        <f t="array" ref="S29">IF(xlookup(G29,'924 data aggregation'!$B:$B,'924 data aggregation'!$G:$G) = "NA",xlookup(G29,'924 data aggregation'!$B:$B,'924 data aggregation'!$A:$A),xlookup(G29,'924 data aggregation'!$B:$B,'924 data aggregation'!$G:$G))</f>
        <v>Tanvi Chakka</v>
      </c>
      <c r="T29" s="4" t="str">
        <f t="array" ref="T29">IF(xlookup(H29,'924 data aggregation'!$B:$B,'924 data aggregation'!$G:$G) = "NA",xlookup(H29,'924 data aggregation'!$B:$B,'924 data aggregation'!$A:$A),xlookup(H29,'924 data aggregation'!$B:$B,'924 data aggregation'!$G:$G))</f>
        <v>Gavin Wang</v>
      </c>
      <c r="U29" s="4" t="str">
        <f t="array" ref="U29">IF(xlookup(I29,'924 data aggregation'!$B:$B,'924 data aggregation'!$G:$G) = "NA",xlookup(I29,'924 data aggregation'!$B:$B,'924 data aggregation'!$A:$A),xlookup(I29,'924 data aggregation'!$B:$B,'924 data aggregation'!$G:$G))</f>
        <v>Brian Yung</v>
      </c>
      <c r="V29" s="4" t="str">
        <f t="array" ref="V29">IF(xlookup(J29,'924 data aggregation'!$B:$B,'924 data aggregation'!$G:$G) = "NA",xlookup(J29,'924 data aggregation'!$B:$B,'924 data aggregation'!$A:$A),xlookup(J29,'924 data aggregation'!$B:$B,'924 data aggregation'!$G:$G))</f>
        <v>#N/A</v>
      </c>
      <c r="W29" s="4" t="str">
        <f t="array" ref="W29">IF(xlookup(K29,'924 data aggregation'!$B:$B,'924 data aggregation'!$G:$G) = "NA",xlookup(K29,'924 data aggregation'!$B:$B,'924 data aggregation'!$A:$A),xlookup(K29,'924 data aggregation'!$B:$B,'924 data aggregation'!$G:$G))</f>
        <v>#N/A</v>
      </c>
      <c r="X29" s="4" t="str">
        <f t="array" ref="X29">IF(xlookup(L29,'924 data aggregation'!$B:$B,'924 data aggregation'!$G:$G) = "NA",xlookup(L29,'924 data aggregation'!$B:$B,'924 data aggregation'!$A:$A),xlookup(L29,'924 data aggregation'!$B:$B,'924 data aggregation'!$G:$G))</f>
        <v>#N/A</v>
      </c>
      <c r="Y29" s="4" t="str">
        <f t="array" ref="Y29">IF(xlookup(M29,'924 data aggregation'!$B:$B,'924 data aggregation'!$G:$G) = "NA",xlookup(M29,'924 data aggregation'!$B:$B,'924 data aggregation'!$A:$A),xlookup(M29,'924 data aggregation'!$B:$B,'924 data aggregation'!$G:$G))</f>
        <v>#N/A</v>
      </c>
      <c r="Z29" s="4" t="str">
        <f t="array" ref="Z29">IF(xlookup(N29,'924 data aggregation'!$B:$B,'924 data aggregation'!$G:$G) = "NA",xlookup(N29,'924 data aggregation'!$B:$B,'924 data aggregation'!$A:$A),xlookup(N29,'924 data aggregation'!$B:$B,'924 data aggregation'!$G:$G))</f>
        <v>#N/A</v>
      </c>
    </row>
    <row r="30">
      <c r="A30" s="14" t="s">
        <v>1598</v>
      </c>
      <c r="C30" s="15" t="s">
        <v>1599</v>
      </c>
      <c r="D30" s="4" t="str">
        <f t="shared" si="2"/>
        <v>110481,154787,193431,189852,136429,313866,162277,118943</v>
      </c>
      <c r="E30" s="4">
        <f>IFERROR(__xludf.DUMMYFUNCTION("SPLIT(D30,"","")"),110481.0)</f>
        <v>110481</v>
      </c>
      <c r="F30" s="4">
        <f>IFERROR(__xludf.DUMMYFUNCTION("""COMPUTED_VALUE"""),154787.0)</f>
        <v>154787</v>
      </c>
      <c r="G30" s="4">
        <f>IFERROR(__xludf.DUMMYFUNCTION("""COMPUTED_VALUE"""),193431.0)</f>
        <v>193431</v>
      </c>
      <c r="H30" s="4">
        <f>IFERROR(__xludf.DUMMYFUNCTION("""COMPUTED_VALUE"""),189852.0)</f>
        <v>189852</v>
      </c>
      <c r="I30" s="4">
        <f>IFERROR(__xludf.DUMMYFUNCTION("""COMPUTED_VALUE"""),136429.0)</f>
        <v>136429</v>
      </c>
      <c r="J30" s="4">
        <f>IFERROR(__xludf.DUMMYFUNCTION("""COMPUTED_VALUE"""),313866.0)</f>
        <v>313866</v>
      </c>
      <c r="K30" s="4">
        <f>IFERROR(__xludf.DUMMYFUNCTION("""COMPUTED_VALUE"""),162277.0)</f>
        <v>162277</v>
      </c>
      <c r="L30" s="4">
        <f>IFERROR(__xludf.DUMMYFUNCTION("""COMPUTED_VALUE"""),118943.0)</f>
        <v>118943</v>
      </c>
      <c r="O30" s="14">
        <v>28.0</v>
      </c>
      <c r="P30" s="4" t="str">
        <f t="array" ref="P30">xlookup(O30,Sheet2!B:B,Sheet2!A:A)</f>
        <v>Innovation Plan (EIP)</v>
      </c>
      <c r="Q30" s="4" t="str">
        <f t="array" ref="Q30">IF(xlookup(E30,'924 data aggregation'!B:B,'924 data aggregation'!G:G) = "NA",xlookup(E30,'924 data aggregation'!B:B,'924 data aggregation'!A:A),xlookup(E30,'924 data aggregation'!B:B,'924 data aggregation'!G:G))</f>
        <v>Adam Menezes, Naithruv Kashyap, Vedanth Kashyap</v>
      </c>
      <c r="R30" s="4" t="str">
        <f t="array" ref="R30">IF(xlookup(F30,'924 data aggregation'!$B:$B,'924 data aggregation'!$G:$G) = "NA",xlookup(F30,'924 data aggregation'!$B:$B,'924 data aggregation'!$A:$A),xlookup(F30,'924 data aggregation'!$B:$B,'924 data aggregation'!$G:$G))</f>
        <v>Mit Vadsaria, Rayyan Maredia, Aalim Prasla</v>
      </c>
      <c r="S30" s="4" t="str">
        <f t="array" ref="S30">IF(xlookup(G30,'924 data aggregation'!$B:$B,'924 data aggregation'!$G:$G) = "NA",xlookup(G30,'924 data aggregation'!$B:$B,'924 data aggregation'!$A:$A),xlookup(G30,'924 data aggregation'!$B:$B,'924 data aggregation'!$G:$G))</f>
        <v>Lakshay Batra, Anish Bhat</v>
      </c>
      <c r="T30" s="4" t="str">
        <f t="array" ref="T30">IF(xlookup(H30,'924 data aggregation'!$B:$B,'924 data aggregation'!$G:$G) = "NA",xlookup(H30,'924 data aggregation'!$B:$B,'924 data aggregation'!$A:$A),xlookup(H30,'924 data aggregation'!$B:$B,'924 data aggregation'!$G:$G))</f>
        <v>Rohit Pochugari, Om Kalyani, Srirang Girish</v>
      </c>
      <c r="U30" s="4" t="str">
        <f t="array" ref="U30">IF(xlookup(I30,'924 data aggregation'!$B:$B,'924 data aggregation'!$G:$G) = "NA",xlookup(I30,'924 data aggregation'!$B:$B,'924 data aggregation'!$A:$A),xlookup(I30,'924 data aggregation'!$B:$B,'924 data aggregation'!$G:$G))</f>
        <v>Arhaan Jafri, Srinesh Pentam</v>
      </c>
      <c r="V30" s="4" t="str">
        <f t="array" ref="V30">IF(xlookup(J30,'924 data aggregation'!$B:$B,'924 data aggregation'!$G:$G) = "NA",xlookup(J30,'924 data aggregation'!$B:$B,'924 data aggregation'!$A:$A),xlookup(J30,'924 data aggregation'!$B:$B,'924 data aggregation'!$G:$G))</f>
        <v>Asna Kadiwal and Sofia Finkbeiner</v>
      </c>
      <c r="W30" s="4" t="str">
        <f t="array" ref="W30">IF(xlookup(K30,'924 data aggregation'!$B:$B,'924 data aggregation'!$G:$G) = "NA",xlookup(K30,'924 data aggregation'!$B:$B,'924 data aggregation'!$A:$A),xlookup(K30,'924 data aggregation'!$B:$B,'924 data aggregation'!$G:$G))</f>
        <v>Sofia Finkbeiner, Asna Kadiwal</v>
      </c>
      <c r="X30" s="4" t="str">
        <f t="array" ref="X30">IF(xlookup(L30,'924 data aggregation'!$B:$B,'924 data aggregation'!$G:$G) = "NA",xlookup(L30,'924 data aggregation'!$B:$B,'924 data aggregation'!$A:$A),xlookup(L30,'924 data aggregation'!$B:$B,'924 data aggregation'!$G:$G))</f>
        <v>Samuel Nachtrieb and Patrick Davoli</v>
      </c>
      <c r="Y30" s="4" t="str">
        <f t="array" ref="Y30">IF(xlookup(M30,'924 data aggregation'!$B:$B,'924 data aggregation'!$G:$G) = "NA",xlookup(M30,'924 data aggregation'!$B:$B,'924 data aggregation'!$A:$A),xlookup(M30,'924 data aggregation'!$B:$B,'924 data aggregation'!$G:$G))</f>
        <v>#N/A</v>
      </c>
      <c r="Z30" s="4" t="str">
        <f t="array" ref="Z30">IF(xlookup(N30,'924 data aggregation'!$B:$B,'924 data aggregation'!$G:$G) = "NA",xlookup(N30,'924 data aggregation'!$B:$B,'924 data aggregation'!$A:$A),xlookup(N30,'924 data aggregation'!$B:$B,'924 data aggregation'!$G:$G))</f>
        <v>#N/A</v>
      </c>
    </row>
    <row r="31">
      <c r="A31" s="14" t="s">
        <v>1600</v>
      </c>
      <c r="C31" s="15" t="s">
        <v>1601</v>
      </c>
      <c r="D31" s="4" t="str">
        <f t="shared" si="2"/>
        <v>503997</v>
      </c>
      <c r="E31" s="4">
        <f>IFERROR(__xludf.DUMMYFUNCTION("SPLIT(D31,"","")"),503997.0)</f>
        <v>503997</v>
      </c>
      <c r="O31" s="14">
        <v>29.0</v>
      </c>
      <c r="P31" s="4" t="str">
        <f t="array" ref="P31">xlookup(O31,Sheet2!B:B,Sheet2!A:A)</f>
        <v>Integrated Marketing Campaign - Event (IMCE)</v>
      </c>
      <c r="Q31" s="4" t="str">
        <f t="array" ref="Q31">IF(xlookup(E31,'924 data aggregation'!B:B,'924 data aggregation'!G:G) = "NA",xlookup(E31,'924 data aggregation'!B:B,'924 data aggregation'!A:A),xlookup(E31,'924 data aggregation'!B:B,'924 data aggregation'!G:G))</f>
        <v>Swasti Sogani</v>
      </c>
      <c r="R31" s="4" t="str">
        <f t="array" ref="R31">IF(xlookup(F31,'924 data aggregation'!$B:$B,'924 data aggregation'!$G:$G) = "NA",xlookup(F31,'924 data aggregation'!$B:$B,'924 data aggregation'!$A:$A),xlookup(F31,'924 data aggregation'!$B:$B,'924 data aggregation'!$G:$G))</f>
        <v>#N/A</v>
      </c>
      <c r="S31" s="4" t="str">
        <f t="array" ref="S31">IF(xlookup(G31,'924 data aggregation'!$B:$B,'924 data aggregation'!$G:$G) = "NA",xlookup(G31,'924 data aggregation'!$B:$B,'924 data aggregation'!$A:$A),xlookup(G31,'924 data aggregation'!$B:$B,'924 data aggregation'!$G:$G))</f>
        <v>#N/A</v>
      </c>
      <c r="T31" s="4" t="str">
        <f t="array" ref="T31">IF(xlookup(H31,'924 data aggregation'!$B:$B,'924 data aggregation'!$G:$G) = "NA",xlookup(H31,'924 data aggregation'!$B:$B,'924 data aggregation'!$A:$A),xlookup(H31,'924 data aggregation'!$B:$B,'924 data aggregation'!$G:$G))</f>
        <v>#N/A</v>
      </c>
      <c r="U31" s="4" t="str">
        <f t="array" ref="U31">IF(xlookup(I31,'924 data aggregation'!$B:$B,'924 data aggregation'!$G:$G) = "NA",xlookup(I31,'924 data aggregation'!$B:$B,'924 data aggregation'!$A:$A),xlookup(I31,'924 data aggregation'!$B:$B,'924 data aggregation'!$G:$G))</f>
        <v>#N/A</v>
      </c>
      <c r="V31" s="4" t="str">
        <f t="array" ref="V31">IF(xlookup(J31,'924 data aggregation'!$B:$B,'924 data aggregation'!$G:$G) = "NA",xlookup(J31,'924 data aggregation'!$B:$B,'924 data aggregation'!$A:$A),xlookup(J31,'924 data aggregation'!$B:$B,'924 data aggregation'!$G:$G))</f>
        <v>#N/A</v>
      </c>
      <c r="W31" s="4" t="str">
        <f t="array" ref="W31">IF(xlookup(K31,'924 data aggregation'!$B:$B,'924 data aggregation'!$G:$G) = "NA",xlookup(K31,'924 data aggregation'!$B:$B,'924 data aggregation'!$A:$A),xlookup(K31,'924 data aggregation'!$B:$B,'924 data aggregation'!$G:$G))</f>
        <v>#N/A</v>
      </c>
      <c r="X31" s="4" t="str">
        <f t="array" ref="X31">IF(xlookup(L31,'924 data aggregation'!$B:$B,'924 data aggregation'!$G:$G) = "NA",xlookup(L31,'924 data aggregation'!$B:$B,'924 data aggregation'!$A:$A),xlookup(L31,'924 data aggregation'!$B:$B,'924 data aggregation'!$G:$G))</f>
        <v>#N/A</v>
      </c>
      <c r="Y31" s="4" t="str">
        <f t="array" ref="Y31">IF(xlookup(M31,'924 data aggregation'!$B:$B,'924 data aggregation'!$G:$G) = "NA",xlookup(M31,'924 data aggregation'!$B:$B,'924 data aggregation'!$A:$A),xlookup(M31,'924 data aggregation'!$B:$B,'924 data aggregation'!$G:$G))</f>
        <v>#N/A</v>
      </c>
      <c r="Z31" s="4" t="str">
        <f t="array" ref="Z31">IF(xlookup(N31,'924 data aggregation'!$B:$B,'924 data aggregation'!$G:$G) = "NA",xlookup(N31,'924 data aggregation'!$B:$B,'924 data aggregation'!$A:$A),xlookup(N31,'924 data aggregation'!$B:$B,'924 data aggregation'!$G:$G))</f>
        <v>#N/A</v>
      </c>
    </row>
    <row r="32">
      <c r="A32" s="14" t="s">
        <v>1602</v>
      </c>
      <c r="C32" s="15" t="s">
        <v>1603</v>
      </c>
      <c r="D32" s="4" t="str">
        <f t="shared" si="2"/>
        <v>118526,187156,184175,119330,190651,163774,301949,137374,189122,318753</v>
      </c>
      <c r="E32" s="4">
        <f>IFERROR(__xludf.DUMMYFUNCTION("SPLIT(D32,"","")"),118526.0)</f>
        <v>118526</v>
      </c>
      <c r="F32" s="4">
        <f>IFERROR(__xludf.DUMMYFUNCTION("""COMPUTED_VALUE"""),187156.0)</f>
        <v>187156</v>
      </c>
      <c r="G32" s="4">
        <f>IFERROR(__xludf.DUMMYFUNCTION("""COMPUTED_VALUE"""),184175.0)</f>
        <v>184175</v>
      </c>
      <c r="H32" s="4">
        <f>IFERROR(__xludf.DUMMYFUNCTION("""COMPUTED_VALUE"""),119330.0)</f>
        <v>119330</v>
      </c>
      <c r="I32" s="4">
        <f>IFERROR(__xludf.DUMMYFUNCTION("""COMPUTED_VALUE"""),190651.0)</f>
        <v>190651</v>
      </c>
      <c r="J32" s="4">
        <f>IFERROR(__xludf.DUMMYFUNCTION("""COMPUTED_VALUE"""),163774.0)</f>
        <v>163774</v>
      </c>
      <c r="K32" s="4">
        <f>IFERROR(__xludf.DUMMYFUNCTION("""COMPUTED_VALUE"""),301949.0)</f>
        <v>301949</v>
      </c>
      <c r="L32" s="4">
        <f>IFERROR(__xludf.DUMMYFUNCTION("""COMPUTED_VALUE"""),137374.0)</f>
        <v>137374</v>
      </c>
      <c r="M32" s="4">
        <f>IFERROR(__xludf.DUMMYFUNCTION("""COMPUTED_VALUE"""),189122.0)</f>
        <v>189122</v>
      </c>
      <c r="N32" s="4">
        <f>IFERROR(__xludf.DUMMYFUNCTION("""COMPUTED_VALUE"""),318753.0)</f>
        <v>318753</v>
      </c>
      <c r="O32" s="14">
        <v>30.0</v>
      </c>
      <c r="P32" s="4" t="str">
        <f t="array" ref="P32">xlookup(O32,Sheet2!B:B,Sheet2!A:A)</f>
        <v>Integrated Marketing Campaign - Product (IMCP)</v>
      </c>
      <c r="Q32" s="4" t="str">
        <f t="array" ref="Q32">IF(xlookup(E32,'924 data aggregation'!B:B,'924 data aggregation'!G:G) = "NA",xlookup(E32,'924 data aggregation'!B:B,'924 data aggregation'!A:A),xlookup(E32,'924 data aggregation'!B:B,'924 data aggregation'!G:G))</f>
        <v>Shivali Sahu</v>
      </c>
      <c r="R32" s="4" t="str">
        <f t="array" ref="R32">IF(xlookup(F32,'924 data aggregation'!$B:$B,'924 data aggregation'!$G:$G) = "NA",xlookup(F32,'924 data aggregation'!$B:$B,'924 data aggregation'!$A:$A),xlookup(F32,'924 data aggregation'!$B:$B,'924 data aggregation'!$G:$G))</f>
        <v>Jo-Hsuan Wei</v>
      </c>
      <c r="S32" s="4" t="str">
        <f t="array" ref="S32">IF(xlookup(G32,'924 data aggregation'!$B:$B,'924 data aggregation'!$G:$G) = "NA",xlookup(G32,'924 data aggregation'!$B:$B,'924 data aggregation'!$A:$A),xlookup(G32,'924 data aggregation'!$B:$B,'924 data aggregation'!$G:$G))</f>
        <v>Naina Asuthker, Anya Gupta</v>
      </c>
      <c r="T32" s="4" t="str">
        <f t="array" ref="T32">IF(xlookup(H32,'924 data aggregation'!$B:$B,'924 data aggregation'!$G:$G) = "NA",xlookup(H32,'924 data aggregation'!$B:$B,'924 data aggregation'!$A:$A),xlookup(H32,'924 data aggregation'!$B:$B,'924 data aggregation'!$G:$G))</f>
        <v>Navaneeth Reddy Yarram, Sudeep Tatineni</v>
      </c>
      <c r="U32" s="4" t="str">
        <f t="array" ref="U32">IF(xlookup(I32,'924 data aggregation'!$B:$B,'924 data aggregation'!$G:$G) = "NA",xlookup(I32,'924 data aggregation'!$B:$B,'924 data aggregation'!$A:$A),xlookup(I32,'924 data aggregation'!$B:$B,'924 data aggregation'!$G:$G))</f>
        <v>Navaneeth Yarram, Sudeep Tatineni</v>
      </c>
      <c r="V32" s="4" t="str">
        <f t="array" ref="V32">IF(xlookup(J32,'924 data aggregation'!$B:$B,'924 data aggregation'!$G:$G) = "NA",xlookup(J32,'924 data aggregation'!$B:$B,'924 data aggregation'!$A:$A),xlookup(J32,'924 data aggregation'!$B:$B,'924 data aggregation'!$G:$G))</f>
        <v>Prithika Chandrasekar</v>
      </c>
      <c r="W32" s="4" t="str">
        <f t="array" ref="W32">IF(xlookup(K32,'924 data aggregation'!$B:$B,'924 data aggregation'!$G:$G) = "NA",xlookup(K32,'924 data aggregation'!$B:$B,'924 data aggregation'!$A:$A),xlookup(K32,'924 data aggregation'!$B:$B,'924 data aggregation'!$G:$G))</f>
        <v>Aishani Saha, Member A, Betsy Soberanes, Member B, Rashi Sharma, Member C</v>
      </c>
      <c r="X32" s="4" t="str">
        <f t="array" ref="X32">IF(xlookup(L32,'924 data aggregation'!$B:$B,'924 data aggregation'!$G:$G) = "NA",xlookup(L32,'924 data aggregation'!$B:$B,'924 data aggregation'!$A:$A),xlookup(L32,'924 data aggregation'!$B:$B,'924 data aggregation'!$G:$G))</f>
        <v>Emily Xue, Elena Xiao</v>
      </c>
      <c r="Y32" s="4" t="str">
        <f t="array" ref="Y32">IF(xlookup(M32,'924 data aggregation'!$B:$B,'924 data aggregation'!$G:$G) = "NA",xlookup(M32,'924 data aggregation'!$B:$B,'924 data aggregation'!$A:$A),xlookup(M32,'924 data aggregation'!$B:$B,'924 data aggregation'!$G:$G))</f>
        <v>Krupal Yarram, Nevaan Dwivedi</v>
      </c>
      <c r="Z32" s="4" t="str">
        <f t="array" ref="Z32">IF(xlookup(N32,'924 data aggregation'!$B:$B,'924 data aggregation'!$G:$G) = "NA",xlookup(N32,'924 data aggregation'!$B:$B,'924 data aggregation'!$A:$A),xlookup(N32,'924 data aggregation'!$B:$B,'924 data aggregation'!$G:$G))</f>
        <v>Nevaan Dwivedi, Krupal Reddy Yarram</v>
      </c>
    </row>
    <row r="33">
      <c r="A33" s="14" t="s">
        <v>1604</v>
      </c>
      <c r="C33" s="15" t="s">
        <v>1605</v>
      </c>
      <c r="D33" s="4" t="str">
        <f t="shared" si="2"/>
        <v>145985,120747,139393,109964,315581,124166,164111,151566</v>
      </c>
      <c r="E33" s="4">
        <f>IFERROR(__xludf.DUMMYFUNCTION("SPLIT(D33,"","")"),145985.0)</f>
        <v>145985</v>
      </c>
      <c r="F33" s="4">
        <f>IFERROR(__xludf.DUMMYFUNCTION("""COMPUTED_VALUE"""),120747.0)</f>
        <v>120747</v>
      </c>
      <c r="G33" s="4">
        <f>IFERROR(__xludf.DUMMYFUNCTION("""COMPUTED_VALUE"""),139393.0)</f>
        <v>139393</v>
      </c>
      <c r="H33" s="4">
        <f>IFERROR(__xludf.DUMMYFUNCTION("""COMPUTED_VALUE"""),109964.0)</f>
        <v>109964</v>
      </c>
      <c r="I33" s="4">
        <f>IFERROR(__xludf.DUMMYFUNCTION("""COMPUTED_VALUE"""),315581.0)</f>
        <v>315581</v>
      </c>
      <c r="J33" s="4">
        <f>IFERROR(__xludf.DUMMYFUNCTION("""COMPUTED_VALUE"""),124166.0)</f>
        <v>124166</v>
      </c>
      <c r="K33" s="4">
        <f>IFERROR(__xludf.DUMMYFUNCTION("""COMPUTED_VALUE"""),164111.0)</f>
        <v>164111</v>
      </c>
      <c r="L33" s="4">
        <f>IFERROR(__xludf.DUMMYFUNCTION("""COMPUTED_VALUE"""),151566.0)</f>
        <v>151566</v>
      </c>
      <c r="O33" s="14">
        <v>31.0</v>
      </c>
      <c r="P33" s="4" t="str">
        <f t="array" ref="P33">xlookup(O33,Sheet2!B:B,Sheet2!A:A)</f>
        <v>Integrated Marketing Campaign - Service (IMCS)</v>
      </c>
      <c r="Q33" s="4" t="str">
        <f t="array" ref="Q33">IF(xlookup(E33,'924 data aggregation'!B:B,'924 data aggregation'!G:G) = "NA",xlookup(E33,'924 data aggregation'!B:B,'924 data aggregation'!A:A),xlookup(E33,'924 data aggregation'!B:B,'924 data aggregation'!G:G))</f>
        <v>Nandini Somarapu</v>
      </c>
      <c r="R33" s="4" t="str">
        <f t="array" ref="R33">IF(xlookup(F33,'924 data aggregation'!$B:$B,'924 data aggregation'!$G:$G) = "NA",xlookup(F33,'924 data aggregation'!$B:$B,'924 data aggregation'!$A:$A),xlookup(F33,'924 data aggregation'!$B:$B,'924 data aggregation'!$G:$G))</f>
        <v>Yuyan Chen, Yoonjie Jung</v>
      </c>
      <c r="S33" s="4" t="str">
        <f t="array" ref="S33">IF(xlookup(G33,'924 data aggregation'!$B:$B,'924 data aggregation'!$G:$G) = "NA",xlookup(G33,'924 data aggregation'!$B:$B,'924 data aggregation'!$A:$A),xlookup(G33,'924 data aggregation'!$B:$B,'924 data aggregation'!$G:$G))</f>
        <v>Aarya Kale, Avishka Boina</v>
      </c>
      <c r="T33" s="4" t="str">
        <f t="array" ref="T33">IF(xlookup(H33,'924 data aggregation'!$B:$B,'924 data aggregation'!$G:$G) = "NA",xlookup(H33,'924 data aggregation'!$B:$B,'924 data aggregation'!$A:$A),xlookup(H33,'924 data aggregation'!$B:$B,'924 data aggregation'!$G:$G))</f>
        <v>Prisha Mohan</v>
      </c>
      <c r="U33" s="4" t="str">
        <f t="array" ref="U33">IF(xlookup(I33,'924 data aggregation'!$B:$B,'924 data aggregation'!$G:$G) = "NA",xlookup(I33,'924 data aggregation'!$B:$B,'924 data aggregation'!$A:$A),xlookup(I33,'924 data aggregation'!$B:$B,'924 data aggregation'!$G:$G))</f>
        <v>Ananya Swaminathan</v>
      </c>
      <c r="V33" s="4" t="str">
        <f t="array" ref="V33">IF(xlookup(J33,'924 data aggregation'!$B:$B,'924 data aggregation'!$G:$G) = "NA",xlookup(J33,'924 data aggregation'!$B:$B,'924 data aggregation'!$A:$A),xlookup(J33,'924 data aggregation'!$B:$B,'924 data aggregation'!$G:$G))</f>
        <v>Satyanandana Thallam, Lahari Gadi</v>
      </c>
      <c r="W33" s="4" t="str">
        <f t="array" ref="W33">IF(xlookup(K33,'924 data aggregation'!$B:$B,'924 data aggregation'!$G:$G) = "NA",xlookup(K33,'924 data aggregation'!$B:$B,'924 data aggregation'!$A:$A),xlookup(K33,'924 data aggregation'!$B:$B,'924 data aggregation'!$G:$G))</f>
        <v>Pranavi Yadiki, Saanika Parikh, Ahanaa Satyanarayanan</v>
      </c>
      <c r="X33" s="4" t="str">
        <f t="array" ref="X33">IF(xlookup(L33,'924 data aggregation'!$B:$B,'924 data aggregation'!$G:$G) = "NA",xlookup(L33,'924 data aggregation'!$B:$B,'924 data aggregation'!$A:$A),xlookup(L33,'924 data aggregation'!$B:$B,'924 data aggregation'!$G:$G))</f>
        <v>Grant Qu, Raadhika Singh, Anagha Mohan</v>
      </c>
      <c r="Y33" s="4" t="str">
        <f t="array" ref="Y33">IF(xlookup(M33,'924 data aggregation'!$B:$B,'924 data aggregation'!$G:$G) = "NA",xlookup(M33,'924 data aggregation'!$B:$B,'924 data aggregation'!$A:$A),xlookup(M33,'924 data aggregation'!$B:$B,'924 data aggregation'!$G:$G))</f>
        <v>#N/A</v>
      </c>
      <c r="Z33" s="4" t="str">
        <f t="array" ref="Z33">IF(xlookup(N33,'924 data aggregation'!$B:$B,'924 data aggregation'!$G:$G) = "NA",xlookup(N33,'924 data aggregation'!$B:$B,'924 data aggregation'!$A:$A),xlookup(N33,'924 data aggregation'!$B:$B,'924 data aggregation'!$G:$G))</f>
        <v>#N/A</v>
      </c>
    </row>
    <row r="34">
      <c r="A34" s="14" t="s">
        <v>1606</v>
      </c>
      <c r="C34" s="15" t="s">
        <v>1607</v>
      </c>
      <c r="D34" s="4" t="str">
        <f t="shared" si="2"/>
        <v>110139,110629,193690,150837,206812,150693</v>
      </c>
      <c r="E34" s="4">
        <f>IFERROR(__xludf.DUMMYFUNCTION("SPLIT(D34,"","")"),110139.0)</f>
        <v>110139</v>
      </c>
      <c r="F34" s="4">
        <f>IFERROR(__xludf.DUMMYFUNCTION("""COMPUTED_VALUE"""),110629.0)</f>
        <v>110629</v>
      </c>
      <c r="G34" s="4">
        <f>IFERROR(__xludf.DUMMYFUNCTION("""COMPUTED_VALUE"""),193690.0)</f>
        <v>193690</v>
      </c>
      <c r="H34" s="4">
        <f>IFERROR(__xludf.DUMMYFUNCTION("""COMPUTED_VALUE"""),150837.0)</f>
        <v>150837</v>
      </c>
      <c r="I34" s="4">
        <f>IFERROR(__xludf.DUMMYFUNCTION("""COMPUTED_VALUE"""),206812.0)</f>
        <v>206812</v>
      </c>
      <c r="J34" s="4">
        <f>IFERROR(__xludf.DUMMYFUNCTION("""COMPUTED_VALUE"""),150693.0)</f>
        <v>150693</v>
      </c>
      <c r="O34" s="14">
        <v>32.0</v>
      </c>
      <c r="P34" s="4" t="str">
        <f t="array" ref="P34">xlookup(O34,Sheet2!B:B,Sheet2!A:A)</f>
        <v>International Business Plan (IBP)</v>
      </c>
      <c r="Q34" s="4" t="str">
        <f t="array" ref="Q34">IF(xlookup(E34,'924 data aggregation'!B:B,'924 data aggregation'!G:G) = "NA",xlookup(E34,'924 data aggregation'!B:B,'924 data aggregation'!A:A),xlookup(E34,'924 data aggregation'!B:B,'924 data aggregation'!G:G))</f>
        <v>Phylicia Ren, Tanvi Kadiri, Rifah Mirza</v>
      </c>
      <c r="R34" s="4" t="str">
        <f t="array" ref="R34">IF(xlookup(F34,'924 data aggregation'!$B:$B,'924 data aggregation'!$G:$G) = "NA",xlookup(F34,'924 data aggregation'!$B:$B,'924 data aggregation'!$A:$A),xlookup(F34,'924 data aggregation'!$B:$B,'924 data aggregation'!$G:$G))</f>
        <v>Nikhita Thirukonda</v>
      </c>
      <c r="S34" s="4" t="str">
        <f t="array" ref="S34">IF(xlookup(G34,'924 data aggregation'!$B:$B,'924 data aggregation'!$G:$G) = "NA",xlookup(G34,'924 data aggregation'!$B:$B,'924 data aggregation'!$A:$A),xlookup(G34,'924 data aggregation'!$B:$B,'924 data aggregation'!$G:$G))</f>
        <v>Sahil Jain, Joshua Shen, Haein Jung</v>
      </c>
      <c r="T34" s="4" t="str">
        <f t="array" ref="T34">IF(xlookup(H34,'924 data aggregation'!$B:$B,'924 data aggregation'!$G:$G) = "NA",xlookup(H34,'924 data aggregation'!$B:$B,'924 data aggregation'!$A:$A),xlookup(H34,'924 data aggregation'!$B:$B,'924 data aggregation'!$G:$G))</f>
        <v>Vandya  Agarwal</v>
      </c>
      <c r="U34" s="4" t="str">
        <f t="array" ref="U34">IF(xlookup(I34,'924 data aggregation'!$B:$B,'924 data aggregation'!$G:$G) = "NA",xlookup(I34,'924 data aggregation'!$B:$B,'924 data aggregation'!$A:$A),xlookup(I34,'924 data aggregation'!$B:$B,'924 data aggregation'!$G:$G))</f>
        <v>Shaurya Singh</v>
      </c>
      <c r="V34" s="4" t="str">
        <f t="array" ref="V34">IF(xlookup(J34,'924 data aggregation'!$B:$B,'924 data aggregation'!$G:$G) = "NA",xlookup(J34,'924 data aggregation'!$B:$B,'924 data aggregation'!$A:$A),xlookup(J34,'924 data aggregation'!$B:$B,'924 data aggregation'!$G:$G))</f>
        <v>Romir Dukeshier, Aarush Chittineni, Rithwik Nair</v>
      </c>
      <c r="W34" s="4" t="str">
        <f t="array" ref="W34">IF(xlookup(K34,'924 data aggregation'!$B:$B,'924 data aggregation'!$G:$G) = "NA",xlookup(K34,'924 data aggregation'!$B:$B,'924 data aggregation'!$A:$A),xlookup(K34,'924 data aggregation'!$B:$B,'924 data aggregation'!$G:$G))</f>
        <v>#N/A</v>
      </c>
      <c r="X34" s="4" t="str">
        <f t="array" ref="X34">IF(xlookup(L34,'924 data aggregation'!$B:$B,'924 data aggregation'!$G:$G) = "NA",xlookup(L34,'924 data aggregation'!$B:$B,'924 data aggregation'!$A:$A),xlookup(L34,'924 data aggregation'!$B:$B,'924 data aggregation'!$G:$G))</f>
        <v>#N/A</v>
      </c>
      <c r="Y34" s="4" t="str">
        <f t="array" ref="Y34">IF(xlookup(M34,'924 data aggregation'!$B:$B,'924 data aggregation'!$G:$G) = "NA",xlookup(M34,'924 data aggregation'!$B:$B,'924 data aggregation'!$A:$A),xlookup(M34,'924 data aggregation'!$B:$B,'924 data aggregation'!$G:$G))</f>
        <v>#N/A</v>
      </c>
      <c r="Z34" s="4" t="str">
        <f t="array" ref="Z34">IF(xlookup(N34,'924 data aggregation'!$B:$B,'924 data aggregation'!$G:$G) = "NA",xlookup(N34,'924 data aggregation'!$B:$B,'924 data aggregation'!$A:$A),xlookup(N34,'924 data aggregation'!$B:$B,'924 data aggregation'!$G:$G))</f>
        <v>#N/A</v>
      </c>
    </row>
    <row r="35">
      <c r="A35" s="14" t="s">
        <v>1608</v>
      </c>
      <c r="C35" s="15" t="s">
        <v>1609</v>
      </c>
      <c r="D35" s="4" t="str">
        <f t="shared" si="2"/>
        <v>303237</v>
      </c>
      <c r="E35" s="4">
        <f>IFERROR(__xludf.DUMMYFUNCTION("SPLIT(D35,"","")"),303237.0)</f>
        <v>303237</v>
      </c>
      <c r="O35" s="14">
        <v>33.0</v>
      </c>
      <c r="P35" s="4" t="str">
        <f t="array" ref="P35">xlookup(O35,Sheet2!B:B,Sheet2!A:A)</f>
        <v>Marketing Communications (MCS)</v>
      </c>
      <c r="Q35" s="4" t="str">
        <f t="array" ref="Q35">IF(xlookup(E35,'924 data aggregation'!B:B,'924 data aggregation'!G:G) = "NA",xlookup(E35,'924 data aggregation'!B:B,'924 data aggregation'!A:A),xlookup(E35,'924 data aggregation'!B:B,'924 data aggregation'!G:G))</f>
        <v>Evan Jaf</v>
      </c>
      <c r="R35" s="4" t="str">
        <f t="array" ref="R35">IF(xlookup(F35,'924 data aggregation'!$B:$B,'924 data aggregation'!$G:$G) = "NA",xlookup(F35,'924 data aggregation'!$B:$B,'924 data aggregation'!$A:$A),xlookup(F35,'924 data aggregation'!$B:$B,'924 data aggregation'!$G:$G))</f>
        <v>#N/A</v>
      </c>
      <c r="S35" s="4" t="str">
        <f t="array" ref="S35">IF(xlookup(G35,'924 data aggregation'!$B:$B,'924 data aggregation'!$G:$G) = "NA",xlookup(G35,'924 data aggregation'!$B:$B,'924 data aggregation'!$A:$A),xlookup(G35,'924 data aggregation'!$B:$B,'924 data aggregation'!$G:$G))</f>
        <v>#N/A</v>
      </c>
      <c r="T35" s="4" t="str">
        <f t="array" ref="T35">IF(xlookup(H35,'924 data aggregation'!$B:$B,'924 data aggregation'!$G:$G) = "NA",xlookup(H35,'924 data aggregation'!$B:$B,'924 data aggregation'!$A:$A),xlookup(H35,'924 data aggregation'!$B:$B,'924 data aggregation'!$G:$G))</f>
        <v>#N/A</v>
      </c>
      <c r="U35" s="4" t="str">
        <f t="array" ref="U35">IF(xlookup(I35,'924 data aggregation'!$B:$B,'924 data aggregation'!$G:$G) = "NA",xlookup(I35,'924 data aggregation'!$B:$B,'924 data aggregation'!$A:$A),xlookup(I35,'924 data aggregation'!$B:$B,'924 data aggregation'!$G:$G))</f>
        <v>#N/A</v>
      </c>
      <c r="V35" s="4" t="str">
        <f t="array" ref="V35">IF(xlookup(J35,'924 data aggregation'!$B:$B,'924 data aggregation'!$G:$G) = "NA",xlookup(J35,'924 data aggregation'!$B:$B,'924 data aggregation'!$A:$A),xlookup(J35,'924 data aggregation'!$B:$B,'924 data aggregation'!$G:$G))</f>
        <v>#N/A</v>
      </c>
      <c r="W35" s="4" t="str">
        <f t="array" ref="W35">IF(xlookup(K35,'924 data aggregation'!$B:$B,'924 data aggregation'!$G:$G) = "NA",xlookup(K35,'924 data aggregation'!$B:$B,'924 data aggregation'!$A:$A),xlookup(K35,'924 data aggregation'!$B:$B,'924 data aggregation'!$G:$G))</f>
        <v>#N/A</v>
      </c>
      <c r="X35" s="4" t="str">
        <f t="array" ref="X35">IF(xlookup(L35,'924 data aggregation'!$B:$B,'924 data aggregation'!$G:$G) = "NA",xlookup(L35,'924 data aggregation'!$B:$B,'924 data aggregation'!$A:$A),xlookup(L35,'924 data aggregation'!$B:$B,'924 data aggregation'!$G:$G))</f>
        <v>#N/A</v>
      </c>
      <c r="Y35" s="4" t="str">
        <f t="array" ref="Y35">IF(xlookup(M35,'924 data aggregation'!$B:$B,'924 data aggregation'!$G:$G) = "NA",xlookup(M35,'924 data aggregation'!$B:$B,'924 data aggregation'!$A:$A),xlookup(M35,'924 data aggregation'!$B:$B,'924 data aggregation'!$G:$G))</f>
        <v>#N/A</v>
      </c>
      <c r="Z35" s="4" t="str">
        <f t="array" ref="Z35">IF(xlookup(N35,'924 data aggregation'!$B:$B,'924 data aggregation'!$G:$G) = "NA",xlookup(N35,'924 data aggregation'!$B:$B,'924 data aggregation'!$A:$A),xlookup(N35,'924 data aggregation'!$B:$B,'924 data aggregation'!$G:$G))</f>
        <v>#N/A</v>
      </c>
    </row>
    <row r="36">
      <c r="A36" s="14" t="s">
        <v>1610</v>
      </c>
      <c r="C36" s="15" t="s">
        <v>1611</v>
      </c>
      <c r="D36" s="4" t="str">
        <f t="shared" si="2"/>
        <v>306538,109687,301719,138608,150386,119432,151773</v>
      </c>
      <c r="E36" s="4">
        <f>IFERROR(__xludf.DUMMYFUNCTION("SPLIT(D36,"","")"),306538.0)</f>
        <v>306538</v>
      </c>
      <c r="F36" s="4">
        <f>IFERROR(__xludf.DUMMYFUNCTION("""COMPUTED_VALUE"""),109687.0)</f>
        <v>109687</v>
      </c>
      <c r="G36" s="4">
        <f>IFERROR(__xludf.DUMMYFUNCTION("""COMPUTED_VALUE"""),301719.0)</f>
        <v>301719</v>
      </c>
      <c r="H36" s="4">
        <f>IFERROR(__xludf.DUMMYFUNCTION("""COMPUTED_VALUE"""),138608.0)</f>
        <v>138608</v>
      </c>
      <c r="I36" s="4">
        <f>IFERROR(__xludf.DUMMYFUNCTION("""COMPUTED_VALUE"""),150386.0)</f>
        <v>150386</v>
      </c>
      <c r="J36" s="4">
        <f>IFERROR(__xludf.DUMMYFUNCTION("""COMPUTED_VALUE"""),119432.0)</f>
        <v>119432</v>
      </c>
      <c r="K36" s="4">
        <f>IFERROR(__xludf.DUMMYFUNCTION("""COMPUTED_VALUE"""),151773.0)</f>
        <v>151773</v>
      </c>
      <c r="O36" s="14">
        <v>34.0</v>
      </c>
      <c r="P36" s="4" t="str">
        <f t="array" ref="P36">xlookup(O36,Sheet2!B:B,Sheet2!A:A)</f>
        <v>Marketing Management (MTDM)</v>
      </c>
      <c r="Q36" s="4" t="str">
        <f t="array" ref="Q36">IF(xlookup(E36,'924 data aggregation'!B:B,'924 data aggregation'!G:G) = "NA",xlookup(E36,'924 data aggregation'!B:B,'924 data aggregation'!A:A),xlookup(E36,'924 data aggregation'!B:B,'924 data aggregation'!G:G))</f>
        <v>Romir Jain, James Li</v>
      </c>
      <c r="R36" s="4" t="str">
        <f t="array" ref="R36">IF(xlookup(F36,'924 data aggregation'!$B:$B,'924 data aggregation'!$G:$G) = "NA",xlookup(F36,'924 data aggregation'!$B:$B,'924 data aggregation'!$A:$A),xlookup(F36,'924 data aggregation'!$B:$B,'924 data aggregation'!$G:$G))</f>
        <v>Yeissel Dameras, Elise Leclercq</v>
      </c>
      <c r="S36" s="4" t="str">
        <f t="array" ref="S36">IF(xlookup(G36,'924 data aggregation'!$B:$B,'924 data aggregation'!$G:$G) = "NA",xlookup(G36,'924 data aggregation'!$B:$B,'924 data aggregation'!$A:$A),xlookup(G36,'924 data aggregation'!$B:$B,'924 data aggregation'!$G:$G))</f>
        <v>Samhita Nagarakanti, Nishita Mukkara</v>
      </c>
      <c r="T36" s="4" t="str">
        <f t="array" ref="T36">IF(xlookup(H36,'924 data aggregation'!$B:$B,'924 data aggregation'!$G:$G) = "NA",xlookup(H36,'924 data aggregation'!$B:$B,'924 data aggregation'!$A:$A),xlookup(H36,'924 data aggregation'!$B:$B,'924 data aggregation'!$G:$G))</f>
        <v>Byron Schneider, JingBin Tan</v>
      </c>
      <c r="U36" s="4" t="str">
        <f t="array" ref="U36">IF(xlookup(I36,'924 data aggregation'!$B:$B,'924 data aggregation'!$G:$G) = "NA",xlookup(I36,'924 data aggregation'!$B:$B,'924 data aggregation'!$A:$A),xlookup(I36,'924 data aggregation'!$B:$B,'924 data aggregation'!$G:$G))</f>
        <v>Yi Heng Chen</v>
      </c>
      <c r="V36" s="4" t="str">
        <f t="array" ref="V36">IF(xlookup(J36,'924 data aggregation'!$B:$B,'924 data aggregation'!$G:$G) = "NA",xlookup(J36,'924 data aggregation'!$B:$B,'924 data aggregation'!$A:$A),xlookup(J36,'924 data aggregation'!$B:$B,'924 data aggregation'!$G:$G))</f>
        <v>Nathan Aguilar, Sydney Daigle </v>
      </c>
      <c r="W36" s="4" t="str">
        <f t="array" ref="W36">IF(xlookup(K36,'924 data aggregation'!$B:$B,'924 data aggregation'!$G:$G) = "NA",xlookup(K36,'924 data aggregation'!$B:$B,'924 data aggregation'!$A:$A),xlookup(K36,'924 data aggregation'!$B:$B,'924 data aggregation'!$G:$G))</f>
        <v>Iman Xu, Lucas Xu, Breelyn Tarno</v>
      </c>
      <c r="X36" s="4" t="str">
        <f t="array" ref="X36">IF(xlookup(L36,'924 data aggregation'!$B:$B,'924 data aggregation'!$G:$G) = "NA",xlookup(L36,'924 data aggregation'!$B:$B,'924 data aggregation'!$A:$A),xlookup(L36,'924 data aggregation'!$B:$B,'924 data aggregation'!$G:$G))</f>
        <v>#N/A</v>
      </c>
      <c r="Y36" s="4" t="str">
        <f t="array" ref="Y36">IF(xlookup(M36,'924 data aggregation'!$B:$B,'924 data aggregation'!$G:$G) = "NA",xlookup(M36,'924 data aggregation'!$B:$B,'924 data aggregation'!$A:$A),xlookup(M36,'924 data aggregation'!$B:$B,'924 data aggregation'!$G:$G))</f>
        <v>#N/A</v>
      </c>
      <c r="Z36" s="4" t="str">
        <f t="array" ref="Z36">IF(xlookup(N36,'924 data aggregation'!$B:$B,'924 data aggregation'!$G:$G) = "NA",xlookup(N36,'924 data aggregation'!$B:$B,'924 data aggregation'!$A:$A),xlookup(N36,'924 data aggregation'!$B:$B,'924 data aggregation'!$G:$G))</f>
        <v>#N/A</v>
      </c>
    </row>
    <row r="37">
      <c r="A37" s="14" t="s">
        <v>1612</v>
      </c>
      <c r="C37" s="15" t="s">
        <v>1613</v>
      </c>
      <c r="D37" s="4" t="str">
        <f t="shared" si="2"/>
        <v>196392,162280,129064</v>
      </c>
      <c r="E37" s="4">
        <f>IFERROR(__xludf.DUMMYFUNCTION("SPLIT(D37,"","")"),196392.0)</f>
        <v>196392</v>
      </c>
      <c r="F37" s="4">
        <f>IFERROR(__xludf.DUMMYFUNCTION("""COMPUTED_VALUE"""),162280.0)</f>
        <v>162280</v>
      </c>
      <c r="G37" s="4">
        <f>IFERROR(__xludf.DUMMYFUNCTION("""COMPUTED_VALUE"""),129064.0)</f>
        <v>129064</v>
      </c>
      <c r="O37" s="14">
        <v>35.0</v>
      </c>
      <c r="P37" s="4" t="str">
        <f t="array" ref="P37">xlookup(O37,Sheet2!B:B,Sheet2!A:A)</f>
        <v>Personal Financial Literacy (PFL)</v>
      </c>
      <c r="Q37" s="4" t="str">
        <f t="array" ref="Q37">IF(xlookup(E37,'924 data aggregation'!B:B,'924 data aggregation'!G:G) = "NA",xlookup(E37,'924 data aggregation'!B:B,'924 data aggregation'!A:A),xlookup(E37,'924 data aggregation'!B:B,'924 data aggregation'!G:G))</f>
        <v>Akshita Verma</v>
      </c>
      <c r="R37" s="4" t="str">
        <f t="array" ref="R37">IF(xlookup(F37,'924 data aggregation'!$B:$B,'924 data aggregation'!$G:$G) = "NA",xlookup(F37,'924 data aggregation'!$B:$B,'924 data aggregation'!$A:$A),xlookup(F37,'924 data aggregation'!$B:$B,'924 data aggregation'!$G:$G))</f>
        <v>Arjun Kurane</v>
      </c>
      <c r="S37" s="4" t="str">
        <f t="array" ref="S37">IF(xlookup(G37,'924 data aggregation'!$B:$B,'924 data aggregation'!$G:$G) = "NA",xlookup(G37,'924 data aggregation'!$B:$B,'924 data aggregation'!$A:$A),xlookup(G37,'924 data aggregation'!$B:$B,'924 data aggregation'!$G:$G))</f>
        <v>Laura Varela</v>
      </c>
      <c r="T37" s="4" t="str">
        <f t="array" ref="T37">IF(xlookup(H37,'924 data aggregation'!$B:$B,'924 data aggregation'!$G:$G) = "NA",xlookup(H37,'924 data aggregation'!$B:$B,'924 data aggregation'!$A:$A),xlookup(H37,'924 data aggregation'!$B:$B,'924 data aggregation'!$G:$G))</f>
        <v>#N/A</v>
      </c>
      <c r="U37" s="4" t="str">
        <f t="array" ref="U37">IF(xlookup(I37,'924 data aggregation'!$B:$B,'924 data aggregation'!$G:$G) = "NA",xlookup(I37,'924 data aggregation'!$B:$B,'924 data aggregation'!$A:$A),xlookup(I37,'924 data aggregation'!$B:$B,'924 data aggregation'!$G:$G))</f>
        <v>#N/A</v>
      </c>
      <c r="V37" s="4" t="str">
        <f t="array" ref="V37">IF(xlookup(J37,'924 data aggregation'!$B:$B,'924 data aggregation'!$G:$G) = "NA",xlookup(J37,'924 data aggregation'!$B:$B,'924 data aggregation'!$A:$A),xlookup(J37,'924 data aggregation'!$B:$B,'924 data aggregation'!$G:$G))</f>
        <v>#N/A</v>
      </c>
      <c r="W37" s="4" t="str">
        <f t="array" ref="W37">IF(xlookup(K37,'924 data aggregation'!$B:$B,'924 data aggregation'!$G:$G) = "NA",xlookup(K37,'924 data aggregation'!$B:$B,'924 data aggregation'!$A:$A),xlookup(K37,'924 data aggregation'!$B:$B,'924 data aggregation'!$G:$G))</f>
        <v>#N/A</v>
      </c>
      <c r="X37" s="4" t="str">
        <f t="array" ref="X37">IF(xlookup(L37,'924 data aggregation'!$B:$B,'924 data aggregation'!$G:$G) = "NA",xlookup(L37,'924 data aggregation'!$B:$B,'924 data aggregation'!$A:$A),xlookup(L37,'924 data aggregation'!$B:$B,'924 data aggregation'!$G:$G))</f>
        <v>#N/A</v>
      </c>
      <c r="Y37" s="4" t="str">
        <f t="array" ref="Y37">IF(xlookup(M37,'924 data aggregation'!$B:$B,'924 data aggregation'!$G:$G) = "NA",xlookup(M37,'924 data aggregation'!$B:$B,'924 data aggregation'!$A:$A),xlookup(M37,'924 data aggregation'!$B:$B,'924 data aggregation'!$G:$G))</f>
        <v>#N/A</v>
      </c>
      <c r="Z37" s="4" t="str">
        <f t="array" ref="Z37">IF(xlookup(N37,'924 data aggregation'!$B:$B,'924 data aggregation'!$G:$G) = "NA",xlookup(N37,'924 data aggregation'!$B:$B,'924 data aggregation'!$A:$A),xlookup(N37,'924 data aggregation'!$B:$B,'924 data aggregation'!$G:$G))</f>
        <v>#N/A</v>
      </c>
    </row>
    <row r="38">
      <c r="A38" s="14" t="s">
        <v>1614</v>
      </c>
      <c r="C38" s="15" t="s">
        <v>1615</v>
      </c>
      <c r="D38" s="4" t="str">
        <f t="shared" si="2"/>
        <v>150663,207052,177631,137911,326007,154981</v>
      </c>
      <c r="E38" s="4">
        <f>IFERROR(__xludf.DUMMYFUNCTION("SPLIT(D38,"","")"),150663.0)</f>
        <v>150663</v>
      </c>
      <c r="F38" s="4">
        <f>IFERROR(__xludf.DUMMYFUNCTION("""COMPUTED_VALUE"""),207052.0)</f>
        <v>207052</v>
      </c>
      <c r="G38" s="4">
        <f>IFERROR(__xludf.DUMMYFUNCTION("""COMPUTED_VALUE"""),177631.0)</f>
        <v>177631</v>
      </c>
      <c r="H38" s="4">
        <f>IFERROR(__xludf.DUMMYFUNCTION("""COMPUTED_VALUE"""),137911.0)</f>
        <v>137911</v>
      </c>
      <c r="I38" s="4">
        <f>IFERROR(__xludf.DUMMYFUNCTION("""COMPUTED_VALUE"""),326007.0)</f>
        <v>326007</v>
      </c>
      <c r="J38" s="4">
        <f>IFERROR(__xludf.DUMMYFUNCTION("""COMPUTED_VALUE"""),154981.0)</f>
        <v>154981</v>
      </c>
      <c r="O38" s="14">
        <v>36.0</v>
      </c>
      <c r="P38" s="4" t="str">
        <f t="array" ref="P38">xlookup(O38,Sheet2!B:B,Sheet2!A:A)</f>
        <v>Principles of Business Management and Administration (PBM)</v>
      </c>
      <c r="Q38" s="4" t="str">
        <f t="array" ref="Q38">IF(xlookup(E38,'924 data aggregation'!B:B,'924 data aggregation'!G:G) = "NA",xlookup(E38,'924 data aggregation'!B:B,'924 data aggregation'!A:A),xlookup(E38,'924 data aggregation'!B:B,'924 data aggregation'!G:G))</f>
        <v>Apple Ma</v>
      </c>
      <c r="R38" s="4" t="str">
        <f t="array" ref="R38">IF(xlookup(F38,'924 data aggregation'!$B:$B,'924 data aggregation'!$G:$G) = "NA",xlookup(F38,'924 data aggregation'!$B:$B,'924 data aggregation'!$A:$A),xlookup(F38,'924 data aggregation'!$B:$B,'924 data aggregation'!$G:$G))</f>
        <v>Eshanya Kishore</v>
      </c>
      <c r="S38" s="4" t="str">
        <f t="array" ref="S38">IF(xlookup(G38,'924 data aggregation'!$B:$B,'924 data aggregation'!$G:$G) = "NA",xlookup(G38,'924 data aggregation'!$B:$B,'924 data aggregation'!$A:$A),xlookup(G38,'924 data aggregation'!$B:$B,'924 data aggregation'!$G:$G))</f>
        <v>Kyla Cretencio</v>
      </c>
      <c r="T38" s="4" t="str">
        <f t="array" ref="T38">IF(xlookup(H38,'924 data aggregation'!$B:$B,'924 data aggregation'!$G:$G) = "NA",xlookup(H38,'924 data aggregation'!$B:$B,'924 data aggregation'!$A:$A),xlookup(H38,'924 data aggregation'!$B:$B,'924 data aggregation'!$G:$G))</f>
        <v>Daniel Yang</v>
      </c>
      <c r="U38" s="4" t="str">
        <f t="array" ref="U38">IF(xlookup(I38,'924 data aggregation'!$B:$B,'924 data aggregation'!$G:$G) = "NA",xlookup(I38,'924 data aggregation'!$B:$B,'924 data aggregation'!$A:$A),xlookup(I38,'924 data aggregation'!$B:$B,'924 data aggregation'!$G:$G))</f>
        <v>Mia Rhie</v>
      </c>
      <c r="V38" s="4" t="str">
        <f t="array" ref="V38">IF(xlookup(J38,'924 data aggregation'!$B:$B,'924 data aggregation'!$G:$G) = "NA",xlookup(J38,'924 data aggregation'!$B:$B,'924 data aggregation'!$A:$A),xlookup(J38,'924 data aggregation'!$B:$B,'924 data aggregation'!$G:$G))</f>
        <v>Arsh Babwani</v>
      </c>
      <c r="W38" s="4" t="str">
        <f t="array" ref="W38">IF(xlookup(K38,'924 data aggregation'!$B:$B,'924 data aggregation'!$G:$G) = "NA",xlookup(K38,'924 data aggregation'!$B:$B,'924 data aggregation'!$A:$A),xlookup(K38,'924 data aggregation'!$B:$B,'924 data aggregation'!$G:$G))</f>
        <v>#N/A</v>
      </c>
      <c r="X38" s="4" t="str">
        <f t="array" ref="X38">IF(xlookup(L38,'924 data aggregation'!$B:$B,'924 data aggregation'!$G:$G) = "NA",xlookup(L38,'924 data aggregation'!$B:$B,'924 data aggregation'!$A:$A),xlookup(L38,'924 data aggregation'!$B:$B,'924 data aggregation'!$G:$G))</f>
        <v>#N/A</v>
      </c>
      <c r="Y38" s="4" t="str">
        <f t="array" ref="Y38">IF(xlookup(M38,'924 data aggregation'!$B:$B,'924 data aggregation'!$G:$G) = "NA",xlookup(M38,'924 data aggregation'!$B:$B,'924 data aggregation'!$A:$A),xlookup(M38,'924 data aggregation'!$B:$B,'924 data aggregation'!$G:$G))</f>
        <v>#N/A</v>
      </c>
      <c r="Z38" s="4" t="str">
        <f t="array" ref="Z38">IF(xlookup(N38,'924 data aggregation'!$B:$B,'924 data aggregation'!$G:$G) = "NA",xlookup(N38,'924 data aggregation'!$B:$B,'924 data aggregation'!$A:$A),xlookup(N38,'924 data aggregation'!$B:$B,'924 data aggregation'!$G:$G))</f>
        <v>#N/A</v>
      </c>
    </row>
    <row r="39">
      <c r="A39" s="14" t="s">
        <v>1616</v>
      </c>
      <c r="C39" s="15" t="s">
        <v>1617</v>
      </c>
      <c r="D39" s="4" t="str">
        <f t="shared" si="2"/>
        <v>150826,192804,304949,171928,169390,318933,311055,151671</v>
      </c>
      <c r="E39" s="4">
        <f>IFERROR(__xludf.DUMMYFUNCTION("SPLIT(D39,"","")"),150826.0)</f>
        <v>150826</v>
      </c>
      <c r="F39" s="4">
        <f>IFERROR(__xludf.DUMMYFUNCTION("""COMPUTED_VALUE"""),192804.0)</f>
        <v>192804</v>
      </c>
      <c r="G39" s="4">
        <f>IFERROR(__xludf.DUMMYFUNCTION("""COMPUTED_VALUE"""),304949.0)</f>
        <v>304949</v>
      </c>
      <c r="H39" s="4">
        <f>IFERROR(__xludf.DUMMYFUNCTION("""COMPUTED_VALUE"""),171928.0)</f>
        <v>171928</v>
      </c>
      <c r="I39" s="4">
        <f>IFERROR(__xludf.DUMMYFUNCTION("""COMPUTED_VALUE"""),169390.0)</f>
        <v>169390</v>
      </c>
      <c r="J39" s="4">
        <f>IFERROR(__xludf.DUMMYFUNCTION("""COMPUTED_VALUE"""),318933.0)</f>
        <v>318933</v>
      </c>
      <c r="K39" s="4">
        <f>IFERROR(__xludf.DUMMYFUNCTION("""COMPUTED_VALUE"""),311055.0)</f>
        <v>311055</v>
      </c>
      <c r="L39" s="4">
        <f>IFERROR(__xludf.DUMMYFUNCTION("""COMPUTED_VALUE"""),151671.0)</f>
        <v>151671</v>
      </c>
      <c r="O39" s="14">
        <v>37.0</v>
      </c>
      <c r="P39" s="4" t="str">
        <f t="array" ref="P39">xlookup(O39,Sheet2!B:B,Sheet2!A:A)</f>
        <v>Principles of Entrepreneurship (PEN)</v>
      </c>
      <c r="Q39" s="4" t="str">
        <f t="array" ref="Q39">IF(xlookup(E39,'924 data aggregation'!B:B,'924 data aggregation'!G:G) = "NA",xlookup(E39,'924 data aggregation'!B:B,'924 data aggregation'!A:A),xlookup(E39,'924 data aggregation'!B:B,'924 data aggregation'!G:G))</f>
        <v>Ava Stidvent</v>
      </c>
      <c r="R39" s="4" t="str">
        <f t="array" ref="R39">IF(xlookup(F39,'924 data aggregation'!$B:$B,'924 data aggregation'!$G:$G) = "NA",xlookup(F39,'924 data aggregation'!$B:$B,'924 data aggregation'!$A:$A),xlookup(F39,'924 data aggregation'!$B:$B,'924 data aggregation'!$G:$G))</f>
        <v>Sean Yohann Armendi</v>
      </c>
      <c r="S39" s="4" t="str">
        <f t="array" ref="S39">IF(xlookup(G39,'924 data aggregation'!$B:$B,'924 data aggregation'!$G:$G) = "NA",xlookup(G39,'924 data aggregation'!$B:$B,'924 data aggregation'!$A:$A),xlookup(G39,'924 data aggregation'!$B:$B,'924 data aggregation'!$G:$G))</f>
        <v>Deekshita Sivakumar </v>
      </c>
      <c r="T39" s="4" t="str">
        <f t="array" ref="T39">IF(xlookup(H39,'924 data aggregation'!$B:$B,'924 data aggregation'!$G:$G) = "NA",xlookup(H39,'924 data aggregation'!$B:$B,'924 data aggregation'!$A:$A),xlookup(H39,'924 data aggregation'!$B:$B,'924 data aggregation'!$G:$G))</f>
        <v>Sofia Hooker-Endonino</v>
      </c>
      <c r="U39" s="4" t="str">
        <f t="array" ref="U39">IF(xlookup(I39,'924 data aggregation'!$B:$B,'924 data aggregation'!$G:$G) = "NA",xlookup(I39,'924 data aggregation'!$B:$B,'924 data aggregation'!$A:$A),xlookup(I39,'924 data aggregation'!$B:$B,'924 data aggregation'!$G:$G))</f>
        <v>Leif Ramirez</v>
      </c>
      <c r="V39" s="4" t="str">
        <f t="array" ref="V39">IF(xlookup(J39,'924 data aggregation'!$B:$B,'924 data aggregation'!$G:$G) = "NA",xlookup(J39,'924 data aggregation'!$B:$B,'924 data aggregation'!$A:$A),xlookup(J39,'924 data aggregation'!$B:$B,'924 data aggregation'!$G:$G))</f>
        <v>Lijun Byeon</v>
      </c>
      <c r="W39" s="4" t="str">
        <f t="array" ref="W39">IF(xlookup(K39,'924 data aggregation'!$B:$B,'924 data aggregation'!$G:$G) = "NA",xlookup(K39,'924 data aggregation'!$B:$B,'924 data aggregation'!$A:$A),xlookup(K39,'924 data aggregation'!$B:$B,'924 data aggregation'!$G:$G))</f>
        <v>Jay Patel, Alexandre M</v>
      </c>
      <c r="X39" s="4" t="str">
        <f t="array" ref="X39">IF(xlookup(L39,'924 data aggregation'!$B:$B,'924 data aggregation'!$G:$G) = "NA",xlookup(L39,'924 data aggregation'!$B:$B,'924 data aggregation'!$A:$A),xlookup(L39,'924 data aggregation'!$B:$B,'924 data aggregation'!$G:$G))</f>
        <v>Andrew Park, Matthew Park</v>
      </c>
      <c r="Y39" s="4" t="str">
        <f t="array" ref="Y39">IF(xlookup(M39,'924 data aggregation'!$B:$B,'924 data aggregation'!$G:$G) = "NA",xlookup(M39,'924 data aggregation'!$B:$B,'924 data aggregation'!$A:$A),xlookup(M39,'924 data aggregation'!$B:$B,'924 data aggregation'!$G:$G))</f>
        <v>#N/A</v>
      </c>
      <c r="Z39" s="4" t="str">
        <f t="array" ref="Z39">IF(xlookup(N39,'924 data aggregation'!$B:$B,'924 data aggregation'!$G:$G) = "NA",xlookup(N39,'924 data aggregation'!$B:$B,'924 data aggregation'!$A:$A),xlookup(N39,'924 data aggregation'!$B:$B,'924 data aggregation'!$G:$G))</f>
        <v>#N/A</v>
      </c>
    </row>
    <row r="40">
      <c r="A40" s="14" t="s">
        <v>1618</v>
      </c>
      <c r="C40" s="15" t="s">
        <v>1619</v>
      </c>
      <c r="D40" s="4" t="str">
        <f t="shared" si="2"/>
        <v>206031,150581,204995,206209,205217,150316,173955,150671,149693,138451</v>
      </c>
      <c r="E40" s="4">
        <f>IFERROR(__xludf.DUMMYFUNCTION("SPLIT(D40,"","")"),206031.0)</f>
        <v>206031</v>
      </c>
      <c r="F40" s="4">
        <f>IFERROR(__xludf.DUMMYFUNCTION("""COMPUTED_VALUE"""),150581.0)</f>
        <v>150581</v>
      </c>
      <c r="G40" s="4">
        <f>IFERROR(__xludf.DUMMYFUNCTION("""COMPUTED_VALUE"""),204995.0)</f>
        <v>204995</v>
      </c>
      <c r="H40" s="4">
        <f>IFERROR(__xludf.DUMMYFUNCTION("""COMPUTED_VALUE"""),206209.0)</f>
        <v>206209</v>
      </c>
      <c r="I40" s="4">
        <f>IFERROR(__xludf.DUMMYFUNCTION("""COMPUTED_VALUE"""),205217.0)</f>
        <v>205217</v>
      </c>
      <c r="J40" s="4">
        <f>IFERROR(__xludf.DUMMYFUNCTION("""COMPUTED_VALUE"""),150316.0)</f>
        <v>150316</v>
      </c>
      <c r="K40" s="4">
        <f>IFERROR(__xludf.DUMMYFUNCTION("""COMPUTED_VALUE"""),173955.0)</f>
        <v>173955</v>
      </c>
      <c r="L40" s="4">
        <f>IFERROR(__xludf.DUMMYFUNCTION("""COMPUTED_VALUE"""),150671.0)</f>
        <v>150671</v>
      </c>
      <c r="M40" s="4">
        <f>IFERROR(__xludf.DUMMYFUNCTION("""COMPUTED_VALUE"""),149693.0)</f>
        <v>149693</v>
      </c>
      <c r="N40" s="4">
        <f>IFERROR(__xludf.DUMMYFUNCTION("""COMPUTED_VALUE"""),138451.0)</f>
        <v>138451</v>
      </c>
      <c r="O40" s="14">
        <v>38.0</v>
      </c>
      <c r="P40" s="4" t="str">
        <f t="array" ref="P40">xlookup(O40,Sheet2!B:B,Sheet2!A:A)</f>
        <v>Principles of Finance (PFN)</v>
      </c>
      <c r="Q40" s="4" t="str">
        <f t="array" ref="Q40">IF(xlookup(E40,'924 data aggregation'!B:B,'924 data aggregation'!G:G) = "NA",xlookup(E40,'924 data aggregation'!B:B,'924 data aggregation'!A:A),xlookup(E40,'924 data aggregation'!B:B,'924 data aggregation'!G:G))</f>
        <v>Nithin Reddy Vemula</v>
      </c>
      <c r="R40" s="4" t="str">
        <f t="array" ref="R40">IF(xlookup(F40,'924 data aggregation'!$B:$B,'924 data aggregation'!$G:$G) = "NA",xlookup(F40,'924 data aggregation'!$B:$B,'924 data aggregation'!$A:$A),xlookup(F40,'924 data aggregation'!$B:$B,'924 data aggregation'!$G:$G))</f>
        <v>Karthik Gundam</v>
      </c>
      <c r="S40" s="4" t="str">
        <f t="array" ref="S40">IF(xlookup(G40,'924 data aggregation'!$B:$B,'924 data aggregation'!$G:$G) = "NA",xlookup(G40,'924 data aggregation'!$B:$B,'924 data aggregation'!$A:$A),xlookup(G40,'924 data aggregation'!$B:$B,'924 data aggregation'!$G:$G))</f>
        <v>Nathaniel Horton</v>
      </c>
      <c r="T40" s="4" t="str">
        <f t="array" ref="T40">IF(xlookup(H40,'924 data aggregation'!$B:$B,'924 data aggregation'!$G:$G) = "NA",xlookup(H40,'924 data aggregation'!$B:$B,'924 data aggregation'!$A:$A),xlookup(H40,'924 data aggregation'!$B:$B,'924 data aggregation'!$G:$G))</f>
        <v>Catherine Zheng</v>
      </c>
      <c r="U40" s="4" t="str">
        <f t="array" ref="U40">IF(xlookup(I40,'924 data aggregation'!$B:$B,'924 data aggregation'!$G:$G) = "NA",xlookup(I40,'924 data aggregation'!$B:$B,'924 data aggregation'!$A:$A),xlookup(I40,'924 data aggregation'!$B:$B,'924 data aggregation'!$G:$G))</f>
        <v>Nihal Grandhi</v>
      </c>
      <c r="V40" s="4" t="str">
        <f t="array" ref="V40">IF(xlookup(J40,'924 data aggregation'!$B:$B,'924 data aggregation'!$G:$G) = "NA",xlookup(J40,'924 data aggregation'!$B:$B,'924 data aggregation'!$A:$A),xlookup(J40,'924 data aggregation'!$B:$B,'924 data aggregation'!$G:$G))</f>
        <v>Abhiram Donepudi</v>
      </c>
      <c r="W40" s="4" t="str">
        <f t="array" ref="W40">IF(xlookup(K40,'924 data aggregation'!$B:$B,'924 data aggregation'!$G:$G) = "NA",xlookup(K40,'924 data aggregation'!$B:$B,'924 data aggregation'!$A:$A),xlookup(K40,'924 data aggregation'!$B:$B,'924 data aggregation'!$G:$G))</f>
        <v>Aarav Singh</v>
      </c>
      <c r="X40" s="4" t="str">
        <f t="array" ref="X40">IF(xlookup(L40,'924 data aggregation'!$B:$B,'924 data aggregation'!$G:$G) = "NA",xlookup(L40,'924 data aggregation'!$B:$B,'924 data aggregation'!$A:$A),xlookup(L40,'924 data aggregation'!$B:$B,'924 data aggregation'!$G:$G))</f>
        <v>Isaac Kao</v>
      </c>
      <c r="Y40" s="4" t="str">
        <f t="array" ref="Y40">IF(xlookup(M40,'924 data aggregation'!$B:$B,'924 data aggregation'!$G:$G) = "NA",xlookup(M40,'924 data aggregation'!$B:$B,'924 data aggregation'!$A:$A),xlookup(M40,'924 data aggregation'!$B:$B,'924 data aggregation'!$G:$G))</f>
        <v>Samanyu Thadakamlla</v>
      </c>
      <c r="Z40" s="4" t="str">
        <f t="array" ref="Z40">IF(xlookup(N40,'924 data aggregation'!$B:$B,'924 data aggregation'!$G:$G) = "NA",xlookup(N40,'924 data aggregation'!$B:$B,'924 data aggregation'!$A:$A),xlookup(N40,'924 data aggregation'!$B:$B,'924 data aggregation'!$G:$G))</f>
        <v>Owen Sun</v>
      </c>
    </row>
    <row r="41">
      <c r="A41" s="14" t="s">
        <v>1620</v>
      </c>
      <c r="C41" s="15" t="s">
        <v>1621</v>
      </c>
      <c r="D41" s="4" t="str">
        <f t="shared" si="2"/>
        <v>301227,117129,155451,150361</v>
      </c>
      <c r="E41" s="4">
        <f>IFERROR(__xludf.DUMMYFUNCTION("SPLIT(D41,"","")"),301227.0)</f>
        <v>301227</v>
      </c>
      <c r="F41" s="4">
        <f>IFERROR(__xludf.DUMMYFUNCTION("""COMPUTED_VALUE"""),117129.0)</f>
        <v>117129</v>
      </c>
      <c r="G41" s="4">
        <f>IFERROR(__xludf.DUMMYFUNCTION("""COMPUTED_VALUE"""),155451.0)</f>
        <v>155451</v>
      </c>
      <c r="H41" s="4">
        <f>IFERROR(__xludf.DUMMYFUNCTION("""COMPUTED_VALUE"""),150361.0)</f>
        <v>150361</v>
      </c>
      <c r="O41" s="14">
        <v>39.0</v>
      </c>
      <c r="P41" s="4" t="str">
        <f t="array" ref="P41">xlookup(O41,Sheet2!B:B,Sheet2!A:A)</f>
        <v>Principles of Hospitality and Tourism (PHT)</v>
      </c>
      <c r="Q41" s="4" t="str">
        <f t="array" ref="Q41">IF(xlookup(E41,'924 data aggregation'!B:B,'924 data aggregation'!G:G) = "NA",xlookup(E41,'924 data aggregation'!B:B,'924 data aggregation'!A:A),xlookup(E41,'924 data aggregation'!B:B,'924 data aggregation'!G:G))</f>
        <v>Akshara Reddy</v>
      </c>
      <c r="R41" s="4" t="str">
        <f t="array" ref="R41">IF(xlookup(F41,'924 data aggregation'!$B:$B,'924 data aggregation'!$G:$G) = "NA",xlookup(F41,'924 data aggregation'!$B:$B,'924 data aggregation'!$A:$A),xlookup(F41,'924 data aggregation'!$B:$B,'924 data aggregation'!$G:$G))</f>
        <v>Saharsh Gurram</v>
      </c>
      <c r="S41" s="4" t="str">
        <f t="array" ref="S41">IF(xlookup(G41,'924 data aggregation'!$B:$B,'924 data aggregation'!$G:$G) = "NA",xlookup(G41,'924 data aggregation'!$B:$B,'924 data aggregation'!$A:$A),xlookup(G41,'924 data aggregation'!$B:$B,'924 data aggregation'!$G:$G))</f>
        <v>Shahnawaz Dolani</v>
      </c>
      <c r="T41" s="4" t="str">
        <f t="array" ref="T41">IF(xlookup(H41,'924 data aggregation'!$B:$B,'924 data aggregation'!$G:$G) = "NA",xlookup(H41,'924 data aggregation'!$B:$B,'924 data aggregation'!$A:$A),xlookup(H41,'924 data aggregation'!$B:$B,'924 data aggregation'!$G:$G))</f>
        <v>Kedaar Jayagopal</v>
      </c>
      <c r="U41" s="4" t="str">
        <f t="array" ref="U41">IF(xlookup(I41,'924 data aggregation'!$B:$B,'924 data aggregation'!$G:$G) = "NA",xlookup(I41,'924 data aggregation'!$B:$B,'924 data aggregation'!$A:$A),xlookup(I41,'924 data aggregation'!$B:$B,'924 data aggregation'!$G:$G))</f>
        <v>#N/A</v>
      </c>
      <c r="V41" s="4" t="str">
        <f t="array" ref="V41">IF(xlookup(J41,'924 data aggregation'!$B:$B,'924 data aggregation'!$G:$G) = "NA",xlookup(J41,'924 data aggregation'!$B:$B,'924 data aggregation'!$A:$A),xlookup(J41,'924 data aggregation'!$B:$B,'924 data aggregation'!$G:$G))</f>
        <v>#N/A</v>
      </c>
      <c r="W41" s="4" t="str">
        <f t="array" ref="W41">IF(xlookup(K41,'924 data aggregation'!$B:$B,'924 data aggregation'!$G:$G) = "NA",xlookup(K41,'924 data aggregation'!$B:$B,'924 data aggregation'!$A:$A),xlookup(K41,'924 data aggregation'!$B:$B,'924 data aggregation'!$G:$G))</f>
        <v>#N/A</v>
      </c>
      <c r="X41" s="4" t="str">
        <f t="array" ref="X41">IF(xlookup(L41,'924 data aggregation'!$B:$B,'924 data aggregation'!$G:$G) = "NA",xlookup(L41,'924 data aggregation'!$B:$B,'924 data aggregation'!$A:$A),xlookup(L41,'924 data aggregation'!$B:$B,'924 data aggregation'!$G:$G))</f>
        <v>#N/A</v>
      </c>
      <c r="Y41" s="4" t="str">
        <f t="array" ref="Y41">IF(xlookup(M41,'924 data aggregation'!$B:$B,'924 data aggregation'!$G:$G) = "NA",xlookup(M41,'924 data aggregation'!$B:$B,'924 data aggregation'!$A:$A),xlookup(M41,'924 data aggregation'!$B:$B,'924 data aggregation'!$G:$G))</f>
        <v>#N/A</v>
      </c>
      <c r="Z41" s="4" t="str">
        <f t="array" ref="Z41">IF(xlookup(N41,'924 data aggregation'!$B:$B,'924 data aggregation'!$G:$G) = "NA",xlookup(N41,'924 data aggregation'!$B:$B,'924 data aggregation'!$A:$A),xlookup(N41,'924 data aggregation'!$B:$B,'924 data aggregation'!$G:$G))</f>
        <v>#N/A</v>
      </c>
    </row>
    <row r="42">
      <c r="A42" s="14" t="s">
        <v>1622</v>
      </c>
      <c r="C42" s="15" t="s">
        <v>1623</v>
      </c>
      <c r="D42" s="4" t="str">
        <f t="shared" si="2"/>
        <v>136204,182956,124385,150726</v>
      </c>
      <c r="E42" s="4">
        <f>IFERROR(__xludf.DUMMYFUNCTION("SPLIT(D42,"","")"),136204.0)</f>
        <v>136204</v>
      </c>
      <c r="F42" s="4">
        <f>IFERROR(__xludf.DUMMYFUNCTION("""COMPUTED_VALUE"""),182956.0)</f>
        <v>182956</v>
      </c>
      <c r="G42" s="4">
        <f>IFERROR(__xludf.DUMMYFUNCTION("""COMPUTED_VALUE"""),124385.0)</f>
        <v>124385</v>
      </c>
      <c r="H42" s="4">
        <f>IFERROR(__xludf.DUMMYFUNCTION("""COMPUTED_VALUE"""),150726.0)</f>
        <v>150726</v>
      </c>
      <c r="O42" s="14">
        <v>40.0</v>
      </c>
      <c r="P42" s="4" t="str">
        <f t="array" ref="P42">xlookup(O42,Sheet2!B:B,Sheet2!A:A)</f>
        <v>Principles of Marketing (PMK)</v>
      </c>
      <c r="Q42" s="4" t="str">
        <f t="array" ref="Q42">IF(xlookup(E42,'924 data aggregation'!B:B,'924 data aggregation'!G:G) = "NA",xlookup(E42,'924 data aggregation'!B:B,'924 data aggregation'!A:A),xlookup(E42,'924 data aggregation'!B:B,'924 data aggregation'!G:G))</f>
        <v>Maya Alas</v>
      </c>
      <c r="R42" s="4" t="str">
        <f t="array" ref="R42">IF(xlookup(F42,'924 data aggregation'!$B:$B,'924 data aggregation'!$G:$G) = "NA",xlookup(F42,'924 data aggregation'!$B:$B,'924 data aggregation'!$A:$A),xlookup(F42,'924 data aggregation'!$B:$B,'924 data aggregation'!$G:$G))</f>
        <v>Vishnu Abhinav Reddy Yerrabandi</v>
      </c>
      <c r="S42" s="4" t="str">
        <f t="array" ref="S42">IF(xlookup(G42,'924 data aggregation'!$B:$B,'924 data aggregation'!$G:$G) = "NA",xlookup(G42,'924 data aggregation'!$B:$B,'924 data aggregation'!$A:$A),xlookup(G42,'924 data aggregation'!$B:$B,'924 data aggregation'!$G:$G))</f>
        <v>Chandrika Ghosh</v>
      </c>
      <c r="T42" s="4" t="str">
        <f t="array" ref="T42">IF(xlookup(H42,'924 data aggregation'!$B:$B,'924 data aggregation'!$G:$G) = "NA",xlookup(H42,'924 data aggregation'!$B:$B,'924 data aggregation'!$A:$A),xlookup(H42,'924 data aggregation'!$B:$B,'924 data aggregation'!$G:$G))</f>
        <v>Lucia Calonge-Marin, Ender Cotty</v>
      </c>
      <c r="U42" s="4" t="str">
        <f t="array" ref="U42">IF(xlookup(I42,'924 data aggregation'!$B:$B,'924 data aggregation'!$G:$G) = "NA",xlookup(I42,'924 data aggregation'!$B:$B,'924 data aggregation'!$A:$A),xlookup(I42,'924 data aggregation'!$B:$B,'924 data aggregation'!$G:$G))</f>
        <v>#N/A</v>
      </c>
      <c r="V42" s="4" t="str">
        <f t="array" ref="V42">IF(xlookup(J42,'924 data aggregation'!$B:$B,'924 data aggregation'!$G:$G) = "NA",xlookup(J42,'924 data aggregation'!$B:$B,'924 data aggregation'!$A:$A),xlookup(J42,'924 data aggregation'!$B:$B,'924 data aggregation'!$G:$G))</f>
        <v>#N/A</v>
      </c>
      <c r="W42" s="4" t="str">
        <f t="array" ref="W42">IF(xlookup(K42,'924 data aggregation'!$B:$B,'924 data aggregation'!$G:$G) = "NA",xlookup(K42,'924 data aggregation'!$B:$B,'924 data aggregation'!$A:$A),xlookup(K42,'924 data aggregation'!$B:$B,'924 data aggregation'!$G:$G))</f>
        <v>#N/A</v>
      </c>
      <c r="X42" s="4" t="str">
        <f t="array" ref="X42">IF(xlookup(L42,'924 data aggregation'!$B:$B,'924 data aggregation'!$G:$G) = "NA",xlookup(L42,'924 data aggregation'!$B:$B,'924 data aggregation'!$A:$A),xlookup(L42,'924 data aggregation'!$B:$B,'924 data aggregation'!$G:$G))</f>
        <v>#N/A</v>
      </c>
      <c r="Y42" s="4" t="str">
        <f t="array" ref="Y42">IF(xlookup(M42,'924 data aggregation'!$B:$B,'924 data aggregation'!$G:$G) = "NA",xlookup(M42,'924 data aggregation'!$B:$B,'924 data aggregation'!$A:$A),xlookup(M42,'924 data aggregation'!$B:$B,'924 data aggregation'!$G:$G))</f>
        <v>#N/A</v>
      </c>
      <c r="Z42" s="4" t="str">
        <f t="array" ref="Z42">IF(xlookup(N42,'924 data aggregation'!$B:$B,'924 data aggregation'!$G:$G) = "NA",xlookup(N42,'924 data aggregation'!$B:$B,'924 data aggregation'!$A:$A),xlookup(N42,'924 data aggregation'!$B:$B,'924 data aggregation'!$G:$G))</f>
        <v>#N/A</v>
      </c>
    </row>
    <row r="43">
      <c r="A43" s="14" t="s">
        <v>1624</v>
      </c>
      <c r="C43" s="15" t="s">
        <v>1625</v>
      </c>
      <c r="D43" s="4" t="str">
        <f t="shared" si="2"/>
        <v>118662,126515,136758,150390</v>
      </c>
      <c r="E43" s="4">
        <f>IFERROR(__xludf.DUMMYFUNCTION("SPLIT(D43,"","")"),118662.0)</f>
        <v>118662</v>
      </c>
      <c r="F43" s="4">
        <f>IFERROR(__xludf.DUMMYFUNCTION("""COMPUTED_VALUE"""),126515.0)</f>
        <v>126515</v>
      </c>
      <c r="G43" s="4">
        <f>IFERROR(__xludf.DUMMYFUNCTION("""COMPUTED_VALUE"""),136758.0)</f>
        <v>136758</v>
      </c>
      <c r="H43" s="4">
        <f>IFERROR(__xludf.DUMMYFUNCTION("""COMPUTED_VALUE"""),150390.0)</f>
        <v>150390</v>
      </c>
      <c r="O43" s="14">
        <v>41.0</v>
      </c>
      <c r="P43" s="4" t="str">
        <f t="array" ref="P43">xlookup(O43,Sheet2!B:B,Sheet2!A:A)</f>
        <v>Professional Selling (PSE)</v>
      </c>
      <c r="Q43" s="4" t="str">
        <f t="array" ref="Q43">IF(xlookup(E43,'924 data aggregation'!B:B,'924 data aggregation'!G:G) = "NA",xlookup(E43,'924 data aggregation'!B:B,'924 data aggregation'!A:A),xlookup(E43,'924 data aggregation'!B:B,'924 data aggregation'!G:G))</f>
        <v>Uma Sthanu</v>
      </c>
      <c r="R43" s="4" t="str">
        <f t="array" ref="R43">IF(xlookup(F43,'924 data aggregation'!$B:$B,'924 data aggregation'!$G:$G) = "NA",xlookup(F43,'924 data aggregation'!$B:$B,'924 data aggregation'!$A:$A),xlookup(F43,'924 data aggregation'!$B:$B,'924 data aggregation'!$G:$G))</f>
        <v>Aarohi Bhattacharya</v>
      </c>
      <c r="S43" s="4" t="str">
        <f t="array" ref="S43">IF(xlookup(G43,'924 data aggregation'!$B:$B,'924 data aggregation'!$G:$G) = "NA",xlookup(G43,'924 data aggregation'!$B:$B,'924 data aggregation'!$A:$A),xlookup(G43,'924 data aggregation'!$B:$B,'924 data aggregation'!$G:$G))</f>
        <v>Diya Shakkottai</v>
      </c>
      <c r="T43" s="4" t="str">
        <f t="array" ref="T43">IF(xlookup(H43,'924 data aggregation'!$B:$B,'924 data aggregation'!$G:$G) = "NA",xlookup(H43,'924 data aggregation'!$B:$B,'924 data aggregation'!$A:$A),xlookup(H43,'924 data aggregation'!$B:$B,'924 data aggregation'!$G:$G))</f>
        <v>Atticus Lewis</v>
      </c>
      <c r="U43" s="4" t="str">
        <f t="array" ref="U43">IF(xlookup(I43,'924 data aggregation'!$B:$B,'924 data aggregation'!$G:$G) = "NA",xlookup(I43,'924 data aggregation'!$B:$B,'924 data aggregation'!$A:$A),xlookup(I43,'924 data aggregation'!$B:$B,'924 data aggregation'!$G:$G))</f>
        <v>#N/A</v>
      </c>
      <c r="V43" s="4" t="str">
        <f t="array" ref="V43">IF(xlookup(J43,'924 data aggregation'!$B:$B,'924 data aggregation'!$G:$G) = "NA",xlookup(J43,'924 data aggregation'!$B:$B,'924 data aggregation'!$A:$A),xlookup(J43,'924 data aggregation'!$B:$B,'924 data aggregation'!$G:$G))</f>
        <v>#N/A</v>
      </c>
      <c r="W43" s="4" t="str">
        <f t="array" ref="W43">IF(xlookup(K43,'924 data aggregation'!$B:$B,'924 data aggregation'!$G:$G) = "NA",xlookup(K43,'924 data aggregation'!$B:$B,'924 data aggregation'!$A:$A),xlookup(K43,'924 data aggregation'!$B:$B,'924 data aggregation'!$G:$G))</f>
        <v>#N/A</v>
      </c>
      <c r="X43" s="4" t="str">
        <f t="array" ref="X43">IF(xlookup(L43,'924 data aggregation'!$B:$B,'924 data aggregation'!$G:$G) = "NA",xlookup(L43,'924 data aggregation'!$B:$B,'924 data aggregation'!$A:$A),xlookup(L43,'924 data aggregation'!$B:$B,'924 data aggregation'!$G:$G))</f>
        <v>#N/A</v>
      </c>
      <c r="Y43" s="4" t="str">
        <f t="array" ref="Y43">IF(xlookup(M43,'924 data aggregation'!$B:$B,'924 data aggregation'!$G:$G) = "NA",xlookup(M43,'924 data aggregation'!$B:$B,'924 data aggregation'!$A:$A),xlookup(M43,'924 data aggregation'!$B:$B,'924 data aggregation'!$G:$G))</f>
        <v>#N/A</v>
      </c>
      <c r="Z43" s="4" t="str">
        <f t="array" ref="Z43">IF(xlookup(N43,'924 data aggregation'!$B:$B,'924 data aggregation'!$G:$G) = "NA",xlookup(N43,'924 data aggregation'!$B:$B,'924 data aggregation'!$A:$A),xlookup(N43,'924 data aggregation'!$B:$B,'924 data aggregation'!$G:$G))</f>
        <v>#N/A</v>
      </c>
    </row>
    <row r="44">
      <c r="A44" s="14" t="s">
        <v>1626</v>
      </c>
      <c r="C44" s="15" t="s">
        <v>1627</v>
      </c>
      <c r="D44" s="4" t="str">
        <f t="shared" si="2"/>
        <v>118770,319260</v>
      </c>
      <c r="E44" s="4">
        <f>IFERROR(__xludf.DUMMYFUNCTION("SPLIT(D44,"","")"),118770.0)</f>
        <v>118770</v>
      </c>
      <c r="F44" s="4">
        <f>IFERROR(__xludf.DUMMYFUNCTION("""COMPUTED_VALUE"""),319260.0)</f>
        <v>319260</v>
      </c>
      <c r="O44" s="14">
        <v>42.0</v>
      </c>
      <c r="P44" s="4" t="str">
        <f t="array" ref="P44">xlookup(O44,Sheet2!B:B,Sheet2!A:A)</f>
        <v>Quick Serve Restaurant Management (QSRM)</v>
      </c>
      <c r="Q44" s="4" t="str">
        <f t="array" ref="Q44">IF(xlookup(E44,'924 data aggregation'!B:B,'924 data aggregation'!G:G) = "NA",xlookup(E44,'924 data aggregation'!B:B,'924 data aggregation'!A:A),xlookup(E44,'924 data aggregation'!B:B,'924 data aggregation'!G:G))</f>
        <v>Jatin Aggarwal</v>
      </c>
      <c r="R44" s="4" t="str">
        <f t="array" ref="R44">IF(xlookup(F44,'924 data aggregation'!$B:$B,'924 data aggregation'!$G:$G) = "NA",xlookup(F44,'924 data aggregation'!$B:$B,'924 data aggregation'!$A:$A),xlookup(F44,'924 data aggregation'!$B:$B,'924 data aggregation'!$G:$G))</f>
        <v>Jackson Cobb</v>
      </c>
      <c r="S44" s="4" t="str">
        <f t="array" ref="S44">IF(xlookup(G44,'924 data aggregation'!$B:$B,'924 data aggregation'!$G:$G) = "NA",xlookup(G44,'924 data aggregation'!$B:$B,'924 data aggregation'!$A:$A),xlookup(G44,'924 data aggregation'!$B:$B,'924 data aggregation'!$G:$G))</f>
        <v>#N/A</v>
      </c>
      <c r="T44" s="4" t="str">
        <f t="array" ref="T44">IF(xlookup(H44,'924 data aggregation'!$B:$B,'924 data aggregation'!$G:$G) = "NA",xlookup(H44,'924 data aggregation'!$B:$B,'924 data aggregation'!$A:$A),xlookup(H44,'924 data aggregation'!$B:$B,'924 data aggregation'!$G:$G))</f>
        <v>#N/A</v>
      </c>
      <c r="U44" s="4" t="str">
        <f t="array" ref="U44">IF(xlookup(I44,'924 data aggregation'!$B:$B,'924 data aggregation'!$G:$G) = "NA",xlookup(I44,'924 data aggregation'!$B:$B,'924 data aggregation'!$A:$A),xlookup(I44,'924 data aggregation'!$B:$B,'924 data aggregation'!$G:$G))</f>
        <v>#N/A</v>
      </c>
      <c r="V44" s="4" t="str">
        <f t="array" ref="V44">IF(xlookup(J44,'924 data aggregation'!$B:$B,'924 data aggregation'!$G:$G) = "NA",xlookup(J44,'924 data aggregation'!$B:$B,'924 data aggregation'!$A:$A),xlookup(J44,'924 data aggregation'!$B:$B,'924 data aggregation'!$G:$G))</f>
        <v>#N/A</v>
      </c>
      <c r="W44" s="4" t="str">
        <f t="array" ref="W44">IF(xlookup(K44,'924 data aggregation'!$B:$B,'924 data aggregation'!$G:$G) = "NA",xlookup(K44,'924 data aggregation'!$B:$B,'924 data aggregation'!$A:$A),xlookup(K44,'924 data aggregation'!$B:$B,'924 data aggregation'!$G:$G))</f>
        <v>#N/A</v>
      </c>
      <c r="X44" s="4" t="str">
        <f t="array" ref="X44">IF(xlookup(L44,'924 data aggregation'!$B:$B,'924 data aggregation'!$G:$G) = "NA",xlookup(L44,'924 data aggregation'!$B:$B,'924 data aggregation'!$A:$A),xlookup(L44,'924 data aggregation'!$B:$B,'924 data aggregation'!$G:$G))</f>
        <v>#N/A</v>
      </c>
      <c r="Y44" s="4" t="str">
        <f t="array" ref="Y44">IF(xlookup(M44,'924 data aggregation'!$B:$B,'924 data aggregation'!$G:$G) = "NA",xlookup(M44,'924 data aggregation'!$B:$B,'924 data aggregation'!$A:$A),xlookup(M44,'924 data aggregation'!$B:$B,'924 data aggregation'!$G:$G))</f>
        <v>#N/A</v>
      </c>
      <c r="Z44" s="4" t="str">
        <f t="array" ref="Z44">IF(xlookup(N44,'924 data aggregation'!$B:$B,'924 data aggregation'!$G:$G) = "NA",xlookup(N44,'924 data aggregation'!$B:$B,'924 data aggregation'!$A:$A),xlookup(N44,'924 data aggregation'!$B:$B,'924 data aggregation'!$G:$G))</f>
        <v>#N/A</v>
      </c>
    </row>
    <row r="45">
      <c r="A45" s="14" t="s">
        <v>1628</v>
      </c>
      <c r="C45" s="15" t="s">
        <v>1629</v>
      </c>
      <c r="D45" s="4" t="str">
        <f t="shared" si="2"/>
        <v>149616</v>
      </c>
      <c r="E45" s="4">
        <f>IFERROR(__xludf.DUMMYFUNCTION("SPLIT(D45,"","")"),149616.0)</f>
        <v>149616</v>
      </c>
      <c r="O45" s="14">
        <v>43.0</v>
      </c>
      <c r="P45" s="4" t="str">
        <f t="array" ref="P45">xlookup(O45,Sheet2!B:B,Sheet2!A:A)</f>
        <v>Restaurant and Food Service Management (RFSM)</v>
      </c>
      <c r="Q45" s="4" t="str">
        <f t="array" ref="Q45">IF(xlookup(E45,'924 data aggregation'!B:B,'924 data aggregation'!G:G) = "NA",xlookup(E45,'924 data aggregation'!B:B,'924 data aggregation'!A:A),xlookup(E45,'924 data aggregation'!B:B,'924 data aggregation'!G:G))</f>
        <v>Prajna Parajuli</v>
      </c>
      <c r="R45" s="4" t="str">
        <f t="array" ref="R45">IF(xlookup(F45,'924 data aggregation'!$B:$B,'924 data aggregation'!$G:$G) = "NA",xlookup(F45,'924 data aggregation'!$B:$B,'924 data aggregation'!$A:$A),xlookup(F45,'924 data aggregation'!$B:$B,'924 data aggregation'!$G:$G))</f>
        <v>#N/A</v>
      </c>
      <c r="S45" s="4" t="str">
        <f t="array" ref="S45">IF(xlookup(G45,'924 data aggregation'!$B:$B,'924 data aggregation'!$G:$G) = "NA",xlookup(G45,'924 data aggregation'!$B:$B,'924 data aggregation'!$A:$A),xlookup(G45,'924 data aggregation'!$B:$B,'924 data aggregation'!$G:$G))</f>
        <v>#N/A</v>
      </c>
      <c r="T45" s="4" t="str">
        <f t="array" ref="T45">IF(xlookup(H45,'924 data aggregation'!$B:$B,'924 data aggregation'!$G:$G) = "NA",xlookup(H45,'924 data aggregation'!$B:$B,'924 data aggregation'!$A:$A),xlookup(H45,'924 data aggregation'!$B:$B,'924 data aggregation'!$G:$G))</f>
        <v>#N/A</v>
      </c>
      <c r="U45" s="4" t="str">
        <f t="array" ref="U45">IF(xlookup(I45,'924 data aggregation'!$B:$B,'924 data aggregation'!$G:$G) = "NA",xlookup(I45,'924 data aggregation'!$B:$B,'924 data aggregation'!$A:$A),xlookup(I45,'924 data aggregation'!$B:$B,'924 data aggregation'!$G:$G))</f>
        <v>#N/A</v>
      </c>
      <c r="V45" s="4" t="str">
        <f t="array" ref="V45">IF(xlookup(J45,'924 data aggregation'!$B:$B,'924 data aggregation'!$G:$G) = "NA",xlookup(J45,'924 data aggregation'!$B:$B,'924 data aggregation'!$A:$A),xlookup(J45,'924 data aggregation'!$B:$B,'924 data aggregation'!$G:$G))</f>
        <v>#N/A</v>
      </c>
      <c r="W45" s="4" t="str">
        <f t="array" ref="W45">IF(xlookup(K45,'924 data aggregation'!$B:$B,'924 data aggregation'!$G:$G) = "NA",xlookup(K45,'924 data aggregation'!$B:$B,'924 data aggregation'!$A:$A),xlookup(K45,'924 data aggregation'!$B:$B,'924 data aggregation'!$G:$G))</f>
        <v>#N/A</v>
      </c>
      <c r="X45" s="4" t="str">
        <f t="array" ref="X45">IF(xlookup(L45,'924 data aggregation'!$B:$B,'924 data aggregation'!$G:$G) = "NA",xlookup(L45,'924 data aggregation'!$B:$B,'924 data aggregation'!$A:$A),xlookup(L45,'924 data aggregation'!$B:$B,'924 data aggregation'!$G:$G))</f>
        <v>#N/A</v>
      </c>
      <c r="Y45" s="4" t="str">
        <f t="array" ref="Y45">IF(xlookup(M45,'924 data aggregation'!$B:$B,'924 data aggregation'!$G:$G) = "NA",xlookup(M45,'924 data aggregation'!$B:$B,'924 data aggregation'!$A:$A),xlookup(M45,'924 data aggregation'!$B:$B,'924 data aggregation'!$G:$G))</f>
        <v>#N/A</v>
      </c>
      <c r="Z45" s="4" t="str">
        <f t="array" ref="Z45">IF(xlookup(N45,'924 data aggregation'!$B:$B,'924 data aggregation'!$G:$G) = "NA",xlookup(N45,'924 data aggregation'!$B:$B,'924 data aggregation'!$A:$A),xlookup(N45,'924 data aggregation'!$B:$B,'924 data aggregation'!$G:$G))</f>
        <v>#N/A</v>
      </c>
    </row>
    <row r="46">
      <c r="A46" s="14" t="s">
        <v>1630</v>
      </c>
      <c r="C46" s="15" t="s">
        <v>1631</v>
      </c>
      <c r="D46" s="4" t="str">
        <f t="shared" si="2"/>
        <v>308141,152185,137962</v>
      </c>
      <c r="E46" s="4">
        <f>IFERROR(__xludf.DUMMYFUNCTION("SPLIT(D46,"","")"),308141.0)</f>
        <v>308141</v>
      </c>
      <c r="F46" s="4">
        <f>IFERROR(__xludf.DUMMYFUNCTION("""COMPUTED_VALUE"""),152185.0)</f>
        <v>152185</v>
      </c>
      <c r="G46" s="4">
        <f>IFERROR(__xludf.DUMMYFUNCTION("""COMPUTED_VALUE"""),137962.0)</f>
        <v>137962</v>
      </c>
      <c r="O46" s="14">
        <v>44.0</v>
      </c>
      <c r="P46" s="4" t="str">
        <f t="array" ref="P46">xlookup(O46,Sheet2!B:B,Sheet2!A:A)</f>
        <v>Retail Merchandising (RMS)</v>
      </c>
      <c r="Q46" s="4" t="str">
        <f t="array" ref="Q46">IF(xlookup(E46,'924 data aggregation'!B:B,'924 data aggregation'!G:G) = "NA",xlookup(E46,'924 data aggregation'!B:B,'924 data aggregation'!A:A),xlookup(E46,'924 data aggregation'!B:B,'924 data aggregation'!G:G))</f>
        <v>Arunachalam Arunachalam</v>
      </c>
      <c r="R46" s="4" t="str">
        <f t="array" ref="R46">IF(xlookup(F46,'924 data aggregation'!$B:$B,'924 data aggregation'!$G:$G) = "NA",xlookup(F46,'924 data aggregation'!$B:$B,'924 data aggregation'!$A:$A),xlookup(F46,'924 data aggregation'!$B:$B,'924 data aggregation'!$G:$G))</f>
        <v>Sravya Akella</v>
      </c>
      <c r="S46" s="4" t="str">
        <f t="array" ref="S46">IF(xlookup(G46,'924 data aggregation'!$B:$B,'924 data aggregation'!$G:$G) = "NA",xlookup(G46,'924 data aggregation'!$B:$B,'924 data aggregation'!$A:$A),xlookup(G46,'924 data aggregation'!$B:$B,'924 data aggregation'!$G:$G))</f>
        <v>Alexander Skaff</v>
      </c>
      <c r="T46" s="4" t="str">
        <f t="array" ref="T46">IF(xlookup(H46,'924 data aggregation'!$B:$B,'924 data aggregation'!$G:$G) = "NA",xlookup(H46,'924 data aggregation'!$B:$B,'924 data aggregation'!$A:$A),xlookup(H46,'924 data aggregation'!$B:$B,'924 data aggregation'!$G:$G))</f>
        <v>#N/A</v>
      </c>
      <c r="U46" s="4" t="str">
        <f t="array" ref="U46">IF(xlookup(I46,'924 data aggregation'!$B:$B,'924 data aggregation'!$G:$G) = "NA",xlookup(I46,'924 data aggregation'!$B:$B,'924 data aggregation'!$A:$A),xlookup(I46,'924 data aggregation'!$B:$B,'924 data aggregation'!$G:$G))</f>
        <v>#N/A</v>
      </c>
      <c r="V46" s="4" t="str">
        <f t="array" ref="V46">IF(xlookup(J46,'924 data aggregation'!$B:$B,'924 data aggregation'!$G:$G) = "NA",xlookup(J46,'924 data aggregation'!$B:$B,'924 data aggregation'!$A:$A),xlookup(J46,'924 data aggregation'!$B:$B,'924 data aggregation'!$G:$G))</f>
        <v>#N/A</v>
      </c>
      <c r="W46" s="4" t="str">
        <f t="array" ref="W46">IF(xlookup(K46,'924 data aggregation'!$B:$B,'924 data aggregation'!$G:$G) = "NA",xlookup(K46,'924 data aggregation'!$B:$B,'924 data aggregation'!$A:$A),xlookup(K46,'924 data aggregation'!$B:$B,'924 data aggregation'!$G:$G))</f>
        <v>#N/A</v>
      </c>
      <c r="X46" s="4" t="str">
        <f t="array" ref="X46">IF(xlookup(L46,'924 data aggregation'!$B:$B,'924 data aggregation'!$G:$G) = "NA",xlookup(L46,'924 data aggregation'!$B:$B,'924 data aggregation'!$A:$A),xlookup(L46,'924 data aggregation'!$B:$B,'924 data aggregation'!$G:$G))</f>
        <v>#N/A</v>
      </c>
      <c r="Y46" s="4" t="str">
        <f t="array" ref="Y46">IF(xlookup(M46,'924 data aggregation'!$B:$B,'924 data aggregation'!$G:$G) = "NA",xlookup(M46,'924 data aggregation'!$B:$B,'924 data aggregation'!$A:$A),xlookup(M46,'924 data aggregation'!$B:$B,'924 data aggregation'!$G:$G))</f>
        <v>#N/A</v>
      </c>
      <c r="Z46" s="4" t="str">
        <f t="array" ref="Z46">IF(xlookup(N46,'924 data aggregation'!$B:$B,'924 data aggregation'!$G:$G) = "NA",xlookup(N46,'924 data aggregation'!$B:$B,'924 data aggregation'!$A:$A),xlookup(N46,'924 data aggregation'!$B:$B,'924 data aggregation'!$G:$G))</f>
        <v>#N/A</v>
      </c>
    </row>
    <row r="47">
      <c r="A47" s="14" t="s">
        <v>1632</v>
      </c>
      <c r="C47" s="15" t="s">
        <v>1633</v>
      </c>
      <c r="D47" s="4" t="str">
        <f t="shared" si="2"/>
        <v>110176,323044,192465,150359</v>
      </c>
      <c r="E47" s="4">
        <f>IFERROR(__xludf.DUMMYFUNCTION("SPLIT(D47,"","")"),110176.0)</f>
        <v>110176</v>
      </c>
      <c r="F47" s="4">
        <f>IFERROR(__xludf.DUMMYFUNCTION("""COMPUTED_VALUE"""),323044.0)</f>
        <v>323044</v>
      </c>
      <c r="G47" s="4">
        <f>IFERROR(__xludf.DUMMYFUNCTION("""COMPUTED_VALUE"""),192465.0)</f>
        <v>192465</v>
      </c>
      <c r="H47" s="4">
        <f>IFERROR(__xludf.DUMMYFUNCTION("""COMPUTED_VALUE"""),150359.0)</f>
        <v>150359</v>
      </c>
      <c r="O47" s="14">
        <v>45.0</v>
      </c>
      <c r="P47" s="4" t="str">
        <f t="array" ref="P47">xlookup(O47,Sheet2!B:B,Sheet2!A:A)</f>
        <v>Sale Project (PMSP)</v>
      </c>
      <c r="Q47" s="4" t="str">
        <f t="array" ref="Q47">IF(xlookup(E47,'924 data aggregation'!B:B,'924 data aggregation'!G:G) = "NA",xlookup(E47,'924 data aggregation'!B:B,'924 data aggregation'!A:A),xlookup(E47,'924 data aggregation'!B:B,'924 data aggregation'!G:G))</f>
        <v>Rishitha Balla</v>
      </c>
      <c r="R47" s="4" t="str">
        <f t="array" ref="R47">IF(xlookup(F47,'924 data aggregation'!$B:$B,'924 data aggregation'!$G:$G) = "NA",xlookup(F47,'924 data aggregation'!$B:$B,'924 data aggregation'!$A:$A),xlookup(F47,'924 data aggregation'!$B:$B,'924 data aggregation'!$G:$G))</f>
        <v>Pramithi Akula, Trisha Tiwari, Saachi Chandrakak</v>
      </c>
      <c r="S47" s="4" t="str">
        <f t="array" ref="S47">IF(xlookup(G47,'924 data aggregation'!$B:$B,'924 data aggregation'!$G:$G) = "NA",xlookup(G47,'924 data aggregation'!$B:$B,'924 data aggregation'!$A:$A),xlookup(G47,'924 data aggregation'!$B:$B,'924 data aggregation'!$G:$G))</f>
        <v>Pramithi Akula, Trisha Tiwari, Saachi Chandrakar</v>
      </c>
      <c r="T47" s="4" t="str">
        <f t="array" ref="T47">IF(xlookup(H47,'924 data aggregation'!$B:$B,'924 data aggregation'!$G:$G) = "NA",xlookup(H47,'924 data aggregation'!$B:$B,'924 data aggregation'!$A:$A),xlookup(H47,'924 data aggregation'!$B:$B,'924 data aggregation'!$G:$G))</f>
        <v>Rylee Muljadi, Youjia Yu, Ivana Ng</v>
      </c>
      <c r="U47" s="4" t="str">
        <f t="array" ref="U47">IF(xlookup(I47,'924 data aggregation'!$B:$B,'924 data aggregation'!$G:$G) = "NA",xlookup(I47,'924 data aggregation'!$B:$B,'924 data aggregation'!$A:$A),xlookup(I47,'924 data aggregation'!$B:$B,'924 data aggregation'!$G:$G))</f>
        <v>#N/A</v>
      </c>
      <c r="V47" s="4" t="str">
        <f t="array" ref="V47">IF(xlookup(J47,'924 data aggregation'!$B:$B,'924 data aggregation'!$G:$G) = "NA",xlookup(J47,'924 data aggregation'!$B:$B,'924 data aggregation'!$A:$A),xlookup(J47,'924 data aggregation'!$B:$B,'924 data aggregation'!$G:$G))</f>
        <v>#N/A</v>
      </c>
      <c r="W47" s="4" t="str">
        <f t="array" ref="W47">IF(xlookup(K47,'924 data aggregation'!$B:$B,'924 data aggregation'!$G:$G) = "NA",xlookup(K47,'924 data aggregation'!$B:$B,'924 data aggregation'!$A:$A),xlookup(K47,'924 data aggregation'!$B:$B,'924 data aggregation'!$G:$G))</f>
        <v>#N/A</v>
      </c>
      <c r="X47" s="4" t="str">
        <f t="array" ref="X47">IF(xlookup(L47,'924 data aggregation'!$B:$B,'924 data aggregation'!$G:$G) = "NA",xlookup(L47,'924 data aggregation'!$B:$B,'924 data aggregation'!$A:$A),xlookup(L47,'924 data aggregation'!$B:$B,'924 data aggregation'!$G:$G))</f>
        <v>#N/A</v>
      </c>
      <c r="Y47" s="4" t="str">
        <f t="array" ref="Y47">IF(xlookup(M47,'924 data aggregation'!$B:$B,'924 data aggregation'!$G:$G) = "NA",xlookup(M47,'924 data aggregation'!$B:$B,'924 data aggregation'!$A:$A),xlookup(M47,'924 data aggregation'!$B:$B,'924 data aggregation'!$G:$G))</f>
        <v>#N/A</v>
      </c>
      <c r="Z47" s="4" t="str">
        <f t="array" ref="Z47">IF(xlookup(N47,'924 data aggregation'!$B:$B,'924 data aggregation'!$G:$G) = "NA",xlookup(N47,'924 data aggregation'!$B:$B,'924 data aggregation'!$A:$A),xlookup(N47,'924 data aggregation'!$B:$B,'924 data aggregation'!$G:$G))</f>
        <v>#N/A</v>
      </c>
    </row>
    <row r="48">
      <c r="A48" s="14" t="s">
        <v>1634</v>
      </c>
      <c r="C48" s="15" t="s">
        <v>1635</v>
      </c>
      <c r="D48" s="4" t="str">
        <f t="shared" si="2"/>
        <v>151889,312060,317736,118719,209153</v>
      </c>
      <c r="E48" s="4">
        <f>IFERROR(__xludf.DUMMYFUNCTION("SPLIT(D48,"","")"),151889.0)</f>
        <v>151889</v>
      </c>
      <c r="F48" s="4">
        <f>IFERROR(__xludf.DUMMYFUNCTION("""COMPUTED_VALUE"""),312060.0)</f>
        <v>312060</v>
      </c>
      <c r="G48" s="4">
        <f>IFERROR(__xludf.DUMMYFUNCTION("""COMPUTED_VALUE"""),317736.0)</f>
        <v>317736</v>
      </c>
      <c r="H48" s="4">
        <f>IFERROR(__xludf.DUMMYFUNCTION("""COMPUTED_VALUE"""),118719.0)</f>
        <v>118719</v>
      </c>
      <c r="I48" s="4">
        <f>IFERROR(__xludf.DUMMYFUNCTION("""COMPUTED_VALUE"""),209153.0)</f>
        <v>209153</v>
      </c>
      <c r="O48" s="14">
        <v>46.0</v>
      </c>
      <c r="P48" s="4" t="str">
        <f t="array" ref="P48">xlookup(O48,Sheet2!B:B,Sheet2!A:A)</f>
        <v>Sports and Entertainment Marketing (SEM)</v>
      </c>
      <c r="Q48" s="4" t="str">
        <f t="array" ref="Q48">IF(xlookup(E48,'924 data aggregation'!B:B,'924 data aggregation'!G:G) = "NA",xlookup(E48,'924 data aggregation'!B:B,'924 data aggregation'!A:A),xlookup(E48,'924 data aggregation'!B:B,'924 data aggregation'!G:G))</f>
        <v>Ayan Nagulapally</v>
      </c>
      <c r="R48" s="4" t="str">
        <f t="array" ref="R48">IF(xlookup(F48,'924 data aggregation'!$B:$B,'924 data aggregation'!$G:$G) = "NA",xlookup(F48,'924 data aggregation'!$B:$B,'924 data aggregation'!$A:$A),xlookup(F48,'924 data aggregation'!$B:$B,'924 data aggregation'!$G:$G))</f>
        <v>Alisha Shireen</v>
      </c>
      <c r="S48" s="4" t="str">
        <f t="array" ref="S48">IF(xlookup(G48,'924 data aggregation'!$B:$B,'924 data aggregation'!$G:$G) = "NA",xlookup(G48,'924 data aggregation'!$B:$B,'924 data aggregation'!$A:$A),xlookup(G48,'924 data aggregation'!$B:$B,'924 data aggregation'!$G:$G))</f>
        <v>Lasyasri Mutluru</v>
      </c>
      <c r="T48" s="4" t="str">
        <f t="array" ref="T48">IF(xlookup(H48,'924 data aggregation'!$B:$B,'924 data aggregation'!$G:$G) = "NA",xlookup(H48,'924 data aggregation'!$B:$B,'924 data aggregation'!$A:$A),xlookup(H48,'924 data aggregation'!$B:$B,'924 data aggregation'!$G:$G))</f>
        <v>Nathan Taparauskas</v>
      </c>
      <c r="U48" s="4" t="str">
        <f t="array" ref="U48">IF(xlookup(I48,'924 data aggregation'!$B:$B,'924 data aggregation'!$G:$G) = "NA",xlookup(I48,'924 data aggregation'!$B:$B,'924 data aggregation'!$A:$A),xlookup(I48,'924 data aggregation'!$B:$B,'924 data aggregation'!$G:$G))</f>
        <v>Sanjay Dev Alva</v>
      </c>
      <c r="V48" s="4" t="str">
        <f t="array" ref="V48">IF(xlookup(J48,'924 data aggregation'!$B:$B,'924 data aggregation'!$G:$G) = "NA",xlookup(J48,'924 data aggregation'!$B:$B,'924 data aggregation'!$A:$A),xlookup(J48,'924 data aggregation'!$B:$B,'924 data aggregation'!$G:$G))</f>
        <v>#N/A</v>
      </c>
      <c r="W48" s="4" t="str">
        <f t="array" ref="W48">IF(xlookup(K48,'924 data aggregation'!$B:$B,'924 data aggregation'!$G:$G) = "NA",xlookup(K48,'924 data aggregation'!$B:$B,'924 data aggregation'!$A:$A),xlookup(K48,'924 data aggregation'!$B:$B,'924 data aggregation'!$G:$G))</f>
        <v>#N/A</v>
      </c>
      <c r="X48" s="4" t="str">
        <f t="array" ref="X48">IF(xlookup(L48,'924 data aggregation'!$B:$B,'924 data aggregation'!$G:$G) = "NA",xlookup(L48,'924 data aggregation'!$B:$B,'924 data aggregation'!$A:$A),xlookup(L48,'924 data aggregation'!$B:$B,'924 data aggregation'!$G:$G))</f>
        <v>#N/A</v>
      </c>
      <c r="Y48" s="4" t="str">
        <f t="array" ref="Y48">IF(xlookup(M48,'924 data aggregation'!$B:$B,'924 data aggregation'!$G:$G) = "NA",xlookup(M48,'924 data aggregation'!$B:$B,'924 data aggregation'!$A:$A),xlookup(M48,'924 data aggregation'!$B:$B,'924 data aggregation'!$G:$G))</f>
        <v>#N/A</v>
      </c>
      <c r="Z48" s="4" t="str">
        <f t="array" ref="Z48">IF(xlookup(N48,'924 data aggregation'!$B:$B,'924 data aggregation'!$G:$G) = "NA",xlookup(N48,'924 data aggregation'!$B:$B,'924 data aggregation'!$A:$A),xlookup(N48,'924 data aggregation'!$B:$B,'924 data aggregation'!$G:$G))</f>
        <v>#N/A</v>
      </c>
    </row>
    <row r="49">
      <c r="A49" s="14" t="s">
        <v>1636</v>
      </c>
      <c r="C49" s="15" t="s">
        <v>1637</v>
      </c>
      <c r="D49" s="4" t="str">
        <f t="shared" si="2"/>
        <v>148480,110181,124274,150818,326504,118704,151672,317849,136461</v>
      </c>
      <c r="E49" s="4">
        <f>IFERROR(__xludf.DUMMYFUNCTION("SPLIT(D49,"","")"),148480.0)</f>
        <v>148480</v>
      </c>
      <c r="F49" s="4">
        <f>IFERROR(__xludf.DUMMYFUNCTION("""COMPUTED_VALUE"""),110181.0)</f>
        <v>110181</v>
      </c>
      <c r="G49" s="4">
        <f>IFERROR(__xludf.DUMMYFUNCTION("""COMPUTED_VALUE"""),124274.0)</f>
        <v>124274</v>
      </c>
      <c r="H49" s="4">
        <f>IFERROR(__xludf.DUMMYFUNCTION("""COMPUTED_VALUE"""),150818.0)</f>
        <v>150818</v>
      </c>
      <c r="I49" s="4">
        <f>IFERROR(__xludf.DUMMYFUNCTION("""COMPUTED_VALUE"""),326504.0)</f>
        <v>326504</v>
      </c>
      <c r="J49" s="4">
        <f>IFERROR(__xludf.DUMMYFUNCTION("""COMPUTED_VALUE"""),118704.0)</f>
        <v>118704</v>
      </c>
      <c r="K49" s="4">
        <f>IFERROR(__xludf.DUMMYFUNCTION("""COMPUTED_VALUE"""),151672.0)</f>
        <v>151672</v>
      </c>
      <c r="L49" s="4">
        <f>IFERROR(__xludf.DUMMYFUNCTION("""COMPUTED_VALUE"""),317849.0)</f>
        <v>317849</v>
      </c>
      <c r="M49" s="4">
        <f>IFERROR(__xludf.DUMMYFUNCTION("""COMPUTED_VALUE"""),136461.0)</f>
        <v>136461</v>
      </c>
      <c r="O49" s="14">
        <v>47.0</v>
      </c>
      <c r="P49" s="4" t="str">
        <f t="array" ref="P49">xlookup(O49,Sheet2!B:B,Sheet2!A:A)</f>
        <v>Sports and Entertainment Marketing (STDM)</v>
      </c>
      <c r="Q49" s="4" t="str">
        <f t="array" ref="Q49">IF(xlookup(E49,'924 data aggregation'!B:B,'924 data aggregation'!G:G) = "NA",xlookup(E49,'924 data aggregation'!B:B,'924 data aggregation'!A:A),xlookup(E49,'924 data aggregation'!B:B,'924 data aggregation'!G:G))</f>
        <v>Sidhant Sen, Prince Kumar</v>
      </c>
      <c r="R49" s="4" t="str">
        <f t="array" ref="R49">IF(xlookup(F49,'924 data aggregation'!$B:$B,'924 data aggregation'!$G:$G) = "NA",xlookup(F49,'924 data aggregation'!$B:$B,'924 data aggregation'!$A:$A),xlookup(F49,'924 data aggregation'!$B:$B,'924 data aggregation'!$G:$G))</f>
        <v>Aubrey Phu, Giada Scaramuzza </v>
      </c>
      <c r="S49" s="4" t="str">
        <f t="array" ref="S49">IF(xlookup(G49,'924 data aggregation'!$B:$B,'924 data aggregation'!$G:$G) = "NA",xlookup(G49,'924 data aggregation'!$B:$B,'924 data aggregation'!$A:$A),xlookup(G49,'924 data aggregation'!$B:$B,'924 data aggregation'!$G:$G))</f>
        <v>Cara Weinstein, Payton Vopat</v>
      </c>
      <c r="T49" s="4" t="str">
        <f t="array" ref="T49">IF(xlookup(H49,'924 data aggregation'!$B:$B,'924 data aggregation'!$G:$G) = "NA",xlookup(H49,'924 data aggregation'!$B:$B,'924 data aggregation'!$A:$A),xlookup(H49,'924 data aggregation'!$B:$B,'924 data aggregation'!$G:$G))</f>
        <v>Arya Pillai, member A, Holly Ng, member B </v>
      </c>
      <c r="U49" s="4" t="str">
        <f t="array" ref="U49">IF(xlookup(I49,'924 data aggregation'!$B:$B,'924 data aggregation'!$G:$G) = "NA",xlookup(I49,'924 data aggregation'!$B:$B,'924 data aggregation'!$A:$A),xlookup(I49,'924 data aggregation'!$B:$B,'924 data aggregation'!$G:$G))</f>
        <v>Holly Ng, Member A, Arya Pillai, member B</v>
      </c>
      <c r="V49" s="4" t="str">
        <f t="array" ref="V49">IF(xlookup(J49,'924 data aggregation'!$B:$B,'924 data aggregation'!$G:$G) = "NA",xlookup(J49,'924 data aggregation'!$B:$B,'924 data aggregation'!$A:$A),xlookup(J49,'924 data aggregation'!$B:$B,'924 data aggregation'!$G:$G))</f>
        <v>Audrey Savoie, MacKenzie Klindworth</v>
      </c>
      <c r="W49" s="4" t="str">
        <f t="array" ref="W49">IF(xlookup(K49,'924 data aggregation'!$B:$B,'924 data aggregation'!$G:$G) = "NA",xlookup(K49,'924 data aggregation'!$B:$B,'924 data aggregation'!$A:$A),xlookup(K49,'924 data aggregation'!$B:$B,'924 data aggregation'!$G:$G))</f>
        <v>Owen Kim, (need partner)</v>
      </c>
      <c r="X49" s="4" t="str">
        <f t="array" ref="X49">IF(xlookup(L49,'924 data aggregation'!$B:$B,'924 data aggregation'!$G:$G) = "NA",xlookup(L49,'924 data aggregation'!$B:$B,'924 data aggregation'!$A:$A),xlookup(L49,'924 data aggregation'!$B:$B,'924 data aggregation'!$G:$G))</f>
        <v>Joon Park, Jeremy huang.</v>
      </c>
      <c r="Y49" s="4" t="str">
        <f t="array" ref="Y49">IF(xlookup(M49,'924 data aggregation'!$B:$B,'924 data aggregation'!$G:$G) = "NA",xlookup(M49,'924 data aggregation'!$B:$B,'924 data aggregation'!$A:$A),xlookup(M49,'924 data aggregation'!$B:$B,'924 data aggregation'!$G:$G))</f>
        <v>Austin Gu and Marshall Sjariffudin</v>
      </c>
      <c r="Z49" s="4" t="str">
        <f t="array" ref="Z49">IF(xlookup(N49,'924 data aggregation'!$B:$B,'924 data aggregation'!$G:$G) = "NA",xlookup(N49,'924 data aggregation'!$B:$B,'924 data aggregation'!$A:$A),xlookup(N49,'924 data aggregation'!$B:$B,'924 data aggregation'!$G:$G))</f>
        <v>#N/A</v>
      </c>
    </row>
    <row r="50">
      <c r="A50" s="14" t="s">
        <v>1638</v>
      </c>
      <c r="C50" s="15" t="s">
        <v>1639</v>
      </c>
      <c r="D50" s="4" t="str">
        <f t="shared" si="2"/>
        <v>111512,180335,111261,157686,314879,171656,151881,151883,150825,320526</v>
      </c>
      <c r="E50" s="4">
        <f>IFERROR(__xludf.DUMMYFUNCTION("SPLIT(D50,"","")"),111512.0)</f>
        <v>111512</v>
      </c>
      <c r="F50" s="4">
        <f>IFERROR(__xludf.DUMMYFUNCTION("""COMPUTED_VALUE"""),180335.0)</f>
        <v>180335</v>
      </c>
      <c r="G50" s="4">
        <f>IFERROR(__xludf.DUMMYFUNCTION("""COMPUTED_VALUE"""),111261.0)</f>
        <v>111261</v>
      </c>
      <c r="H50" s="4">
        <f>IFERROR(__xludf.DUMMYFUNCTION("""COMPUTED_VALUE"""),157686.0)</f>
        <v>157686</v>
      </c>
      <c r="I50" s="4">
        <f>IFERROR(__xludf.DUMMYFUNCTION("""COMPUTED_VALUE"""),314879.0)</f>
        <v>314879</v>
      </c>
      <c r="J50" s="4">
        <f>IFERROR(__xludf.DUMMYFUNCTION("""COMPUTED_VALUE"""),171656.0)</f>
        <v>171656</v>
      </c>
      <c r="K50" s="4">
        <f>IFERROR(__xludf.DUMMYFUNCTION("""COMPUTED_VALUE"""),151881.0)</f>
        <v>151881</v>
      </c>
      <c r="L50" s="4">
        <f>IFERROR(__xludf.DUMMYFUNCTION("""COMPUTED_VALUE"""),151883.0)</f>
        <v>151883</v>
      </c>
      <c r="M50" s="4">
        <f>IFERROR(__xludf.DUMMYFUNCTION("""COMPUTED_VALUE"""),150825.0)</f>
        <v>150825</v>
      </c>
      <c r="N50" s="4">
        <f>IFERROR(__xludf.DUMMYFUNCTION("""COMPUTED_VALUE"""),320526.0)</f>
        <v>320526</v>
      </c>
      <c r="O50" s="14">
        <v>48.0</v>
      </c>
      <c r="P50" s="4" t="str">
        <f t="array" ref="P50">xlookup(O50,Sheet2!B:B,Sheet2!A:A)</f>
        <v>Sports and Entertainment Marketing Operations (SEOR)</v>
      </c>
      <c r="Q50" s="4" t="str">
        <f t="array" ref="Q50">IF(xlookup(E50,'924 data aggregation'!B:B,'924 data aggregation'!G:G) = "NA",xlookup(E50,'924 data aggregation'!B:B,'924 data aggregation'!A:A),xlookup(E50,'924 data aggregation'!B:B,'924 data aggregation'!G:G))</f>
        <v>Camila Carrillo, Shuyu Lai, Sophie Liu</v>
      </c>
      <c r="R50" s="4" t="str">
        <f t="array" ref="R50">IF(xlookup(F50,'924 data aggregation'!$B:$B,'924 data aggregation'!$G:$G) = "NA",xlookup(F50,'924 data aggregation'!$B:$B,'924 data aggregation'!$A:$A),xlookup(F50,'924 data aggregation'!$B:$B,'924 data aggregation'!$G:$G))</f>
        <v>Ian Shone</v>
      </c>
      <c r="S50" s="4" t="str">
        <f t="array" ref="S50">IF(xlookup(G50,'924 data aggregation'!$B:$B,'924 data aggregation'!$G:$G) = "NA",xlookup(G50,'924 data aggregation'!$B:$B,'924 data aggregation'!$A:$A),xlookup(G50,'924 data aggregation'!$B:$B,'924 data aggregation'!$G:$G))</f>
        <v>Alexis Hwang, Mahek Sureka</v>
      </c>
      <c r="T50" s="4" t="str">
        <f t="array" ref="T50">IF(xlookup(H50,'924 data aggregation'!$B:$B,'924 data aggregation'!$G:$G) = "NA",xlookup(H50,'924 data aggregation'!$B:$B,'924 data aggregation'!$A:$A),xlookup(H50,'924 data aggregation'!$B:$B,'924 data aggregation'!$G:$G))</f>
        <v>Rachana Akkineni, Maya Rajan, Alexandra Oancea</v>
      </c>
      <c r="U50" s="4" t="str">
        <f t="array" ref="U50">IF(xlookup(I50,'924 data aggregation'!$B:$B,'924 data aggregation'!$G:$G) = "NA",xlookup(I50,'924 data aggregation'!$B:$B,'924 data aggregation'!$A:$A),xlookup(I50,'924 data aggregation'!$B:$B,'924 data aggregation'!$G:$G))</f>
        <v>Andrew Zhang, Ian Shone, Benjamin Li</v>
      </c>
      <c r="V50" s="4" t="str">
        <f t="array" ref="V50">IF(xlookup(J50,'924 data aggregation'!$B:$B,'924 data aggregation'!$G:$G) = "NA",xlookup(J50,'924 data aggregation'!$B:$B,'924 data aggregation'!$A:$A),xlookup(J50,'924 data aggregation'!$B:$B,'924 data aggregation'!$G:$G))</f>
        <v>Aleeza</v>
      </c>
      <c r="W50" s="4" t="str">
        <f t="array" ref="W50">IF(xlookup(K50,'924 data aggregation'!$B:$B,'924 data aggregation'!$G:$G) = "NA",xlookup(K50,'924 data aggregation'!$B:$B,'924 data aggregation'!$A:$A),xlookup(K50,'924 data aggregation'!$B:$B,'924 data aggregation'!$G:$G))</f>
        <v>Blake Bhavsar, Nikhil srinivasan and Silas fletcher </v>
      </c>
      <c r="X50" s="4" t="str">
        <f t="array" ref="X50">IF(xlookup(L50,'924 data aggregation'!$B:$B,'924 data aggregation'!$G:$G) = "NA",xlookup(L50,'924 data aggregation'!$B:$B,'924 data aggregation'!$A:$A),xlookup(L50,'924 data aggregation'!$B:$B,'924 data aggregation'!$G:$G))</f>
        <v>Member A - Silas Fletcher, Member B - Nikhil Srinivasan, Member C - Blake Bhavsar</v>
      </c>
      <c r="Y50" s="4" t="str">
        <f t="array" ref="Y50">IF(xlookup(M50,'924 data aggregation'!$B:$B,'924 data aggregation'!$G:$G) = "NA",xlookup(M50,'924 data aggregation'!$B:$B,'924 data aggregation'!$A:$A),xlookup(M50,'924 data aggregation'!$B:$B,'924 data aggregation'!$G:$G))</f>
        <v>Nikhil Srinivasan, Silas Fletcher, Blake Bhavsar</v>
      </c>
      <c r="Z50" s="4" t="str">
        <f t="array" ref="Z50">IF(xlookup(N50,'924 data aggregation'!$B:$B,'924 data aggregation'!$G:$G) = "NA",xlookup(N50,'924 data aggregation'!$B:$B,'924 data aggregation'!$A:$A),xlookup(N50,'924 data aggregation'!$B:$B,'924 data aggregation'!$G:$G))</f>
        <v>Ishaan Sagar, Bryan Li, Aditya Bhadra</v>
      </c>
    </row>
    <row r="51">
      <c r="A51" s="14" t="s">
        <v>1640</v>
      </c>
      <c r="C51" s="15" t="s">
        <v>1641</v>
      </c>
      <c r="D51" s="4" t="str">
        <f t="shared" si="2"/>
        <v>139441,309122,195481,209436,165873,178492,205730</v>
      </c>
      <c r="E51" s="4">
        <f>IFERROR(__xludf.DUMMYFUNCTION("SPLIT(D51,"","")"),139441.0)</f>
        <v>139441</v>
      </c>
      <c r="F51" s="4">
        <f>IFERROR(__xludf.DUMMYFUNCTION("""COMPUTED_VALUE"""),309122.0)</f>
        <v>309122</v>
      </c>
      <c r="G51" s="4">
        <f>IFERROR(__xludf.DUMMYFUNCTION("""COMPUTED_VALUE"""),195481.0)</f>
        <v>195481</v>
      </c>
      <c r="H51" s="4">
        <f>IFERROR(__xludf.DUMMYFUNCTION("""COMPUTED_VALUE"""),209436.0)</f>
        <v>209436</v>
      </c>
      <c r="I51" s="4">
        <f>IFERROR(__xludf.DUMMYFUNCTION("""COMPUTED_VALUE"""),165873.0)</f>
        <v>165873</v>
      </c>
      <c r="J51" s="4">
        <f>IFERROR(__xludf.DUMMYFUNCTION("""COMPUTED_VALUE"""),178492.0)</f>
        <v>178492</v>
      </c>
      <c r="K51" s="4">
        <f>IFERROR(__xludf.DUMMYFUNCTION("""COMPUTED_VALUE"""),205730.0)</f>
        <v>205730</v>
      </c>
      <c r="O51" s="14">
        <v>49.0</v>
      </c>
      <c r="P51" s="4" t="str">
        <f t="array" ref="P51">xlookup(O51,Sheet2!B:B,Sheet2!A:A)</f>
        <v>Start-Up Business Plan (ESB)</v>
      </c>
      <c r="Q51" s="4" t="str">
        <f t="array" ref="Q51">IF(xlookup(E51,'924 data aggregation'!B:B,'924 data aggregation'!G:G) = "NA",xlookup(E51,'924 data aggregation'!B:B,'924 data aggregation'!A:A),xlookup(E51,'924 data aggregation'!B:B,'924 data aggregation'!G:G))</f>
        <v>Shrey Birmiwal, Dhiyaan Nirmal, Shaurya Pathania</v>
      </c>
      <c r="R51" s="4" t="str">
        <f t="array" ref="R51">IF(xlookup(F51,'924 data aggregation'!$B:$B,'924 data aggregation'!$G:$G) = "NA",xlookup(F51,'924 data aggregation'!$B:$B,'924 data aggregation'!$A:$A),xlookup(F51,'924 data aggregation'!$B:$B,'924 data aggregation'!$G:$G))</f>
        <v>Anika Aslesh, Sanjana Aslesh, Dhiya Balajee</v>
      </c>
      <c r="S51" s="4" t="str">
        <f t="array" ref="S51">IF(xlookup(G51,'924 data aggregation'!$B:$B,'924 data aggregation'!$G:$G) = "NA",xlookup(G51,'924 data aggregation'!$B:$B,'924 data aggregation'!$A:$A),xlookup(G51,'924 data aggregation'!$B:$B,'924 data aggregation'!$G:$G))</f>
        <v>Abhinay Laggeri, Anmol Ranjan, Siddarth Gunasekar</v>
      </c>
      <c r="T51" s="4" t="str">
        <f t="array" ref="T51">IF(xlookup(H51,'924 data aggregation'!$B:$B,'924 data aggregation'!$G:$G) = "NA",xlookup(H51,'924 data aggregation'!$B:$B,'924 data aggregation'!$A:$A),xlookup(H51,'924 data aggregation'!$B:$B,'924 data aggregation'!$G:$G))</f>
        <v>Chahat Maheshwari, Diya Trivedi, Aarya Kale</v>
      </c>
      <c r="U51" s="4" t="str">
        <f t="array" ref="U51">IF(xlookup(I51,'924 data aggregation'!$B:$B,'924 data aggregation'!$G:$G) = "NA",xlookup(I51,'924 data aggregation'!$B:$B,'924 data aggregation'!$A:$A),xlookup(I51,'924 data aggregation'!$B:$B,'924 data aggregation'!$G:$G))</f>
        <v>Aarya Kale, Chahat Maheshwari, Diya Trivedi </v>
      </c>
      <c r="V51" s="4" t="str">
        <f t="array" ref="V51">IF(xlookup(J51,'924 data aggregation'!$B:$B,'924 data aggregation'!$G:$G) = "NA",xlookup(J51,'924 data aggregation'!$B:$B,'924 data aggregation'!$A:$A),xlookup(J51,'924 data aggregation'!$B:$B,'924 data aggregation'!$G:$G))</f>
        <v>Basil Vinesh, Marcus Fung, Andrew Feng</v>
      </c>
      <c r="W51" s="4" t="str">
        <f t="array" ref="W51">IF(xlookup(K51,'924 data aggregation'!$B:$B,'924 data aggregation'!$G:$G) = "NA",xlookup(K51,'924 data aggregation'!$B:$B,'924 data aggregation'!$A:$A),xlookup(K51,'924 data aggregation'!$B:$B,'924 data aggregation'!$G:$G))</f>
        <v>Diya Trivedi, Aarya Kale’28, Chahat Maheshwari</v>
      </c>
      <c r="X51" s="4" t="str">
        <f t="array" ref="X51">IF(xlookup(L51,'924 data aggregation'!$B:$B,'924 data aggregation'!$G:$G) = "NA",xlookup(L51,'924 data aggregation'!$B:$B,'924 data aggregation'!$A:$A),xlookup(L51,'924 data aggregation'!$B:$B,'924 data aggregation'!$G:$G))</f>
        <v>#N/A</v>
      </c>
      <c r="Y51" s="4" t="str">
        <f t="array" ref="Y51">IF(xlookup(M51,'924 data aggregation'!$B:$B,'924 data aggregation'!$G:$G) = "NA",xlookup(M51,'924 data aggregation'!$B:$B,'924 data aggregation'!$A:$A),xlookup(M51,'924 data aggregation'!$B:$B,'924 data aggregation'!$G:$G))</f>
        <v>#N/A</v>
      </c>
      <c r="Z51" s="4" t="str">
        <f t="array" ref="Z51">IF(xlookup(N51,'924 data aggregation'!$B:$B,'924 data aggregation'!$G:$G) = "NA",xlookup(N51,'924 data aggregation'!$B:$B,'924 data aggregation'!$A:$A),xlookup(N51,'924 data aggregation'!$B:$B,'924 data aggregation'!$G:$G))</f>
        <v>#N/A</v>
      </c>
    </row>
    <row r="52">
      <c r="A52" s="14" t="s">
        <v>1642</v>
      </c>
      <c r="C52" s="15" t="s">
        <v>1643</v>
      </c>
      <c r="D52" s="4" t="str">
        <f t="shared" si="2"/>
        <v>111134,119554,152872,324051,119930,111838,110571,136210,137864,320476</v>
      </c>
      <c r="E52" s="4">
        <f>IFERROR(__xludf.DUMMYFUNCTION("SPLIT(D52,"","")"),111134.0)</f>
        <v>111134</v>
      </c>
      <c r="F52" s="4">
        <f>IFERROR(__xludf.DUMMYFUNCTION("""COMPUTED_VALUE"""),119554.0)</f>
        <v>119554</v>
      </c>
      <c r="G52" s="4">
        <f>IFERROR(__xludf.DUMMYFUNCTION("""COMPUTED_VALUE"""),152872.0)</f>
        <v>152872</v>
      </c>
      <c r="H52" s="4">
        <f>IFERROR(__xludf.DUMMYFUNCTION("""COMPUTED_VALUE"""),324051.0)</f>
        <v>324051</v>
      </c>
      <c r="I52" s="4">
        <f>IFERROR(__xludf.DUMMYFUNCTION("""COMPUTED_VALUE"""),119930.0)</f>
        <v>119930</v>
      </c>
      <c r="J52" s="4">
        <f>IFERROR(__xludf.DUMMYFUNCTION("""COMPUTED_VALUE"""),111838.0)</f>
        <v>111838</v>
      </c>
      <c r="K52" s="4">
        <f>IFERROR(__xludf.DUMMYFUNCTION("""COMPUTED_VALUE"""),110571.0)</f>
        <v>110571</v>
      </c>
      <c r="L52" s="4">
        <f>IFERROR(__xludf.DUMMYFUNCTION("""COMPUTED_VALUE"""),136210.0)</f>
        <v>136210</v>
      </c>
      <c r="M52" s="4">
        <f>IFERROR(__xludf.DUMMYFUNCTION("""COMPUTED_VALUE"""),137864.0)</f>
        <v>137864</v>
      </c>
      <c r="N52" s="4">
        <f>IFERROR(__xludf.DUMMYFUNCTION("""COMPUTED_VALUE"""),320476.0)</f>
        <v>320476</v>
      </c>
      <c r="O52" s="14">
        <v>50.0</v>
      </c>
      <c r="P52" s="4" t="str">
        <f t="array" ref="P52">xlookup(O52,Sheet2!B:B,Sheet2!A:A)</f>
        <v>Travel and Tourism (TTDM)</v>
      </c>
      <c r="Q52" s="4" t="str">
        <f t="array" ref="Q52">IF(xlookup(E52,'924 data aggregation'!B:B,'924 data aggregation'!G:G) = "NA",xlookup(E52,'924 data aggregation'!B:B,'924 data aggregation'!A:A),xlookup(E52,'924 data aggregation'!B:B,'924 data aggregation'!G:G))</f>
        <v>Marlene Luo, Shruthi Srikanth</v>
      </c>
      <c r="R52" s="4" t="str">
        <f t="array" ref="R52">IF(xlookup(F52,'924 data aggregation'!$B:$B,'924 data aggregation'!$G:$G) = "NA",xlookup(F52,'924 data aggregation'!$B:$B,'924 data aggregation'!$A:$A),xlookup(F52,'924 data aggregation'!$B:$B,'924 data aggregation'!$G:$G))</f>
        <v>Samhita Guntakala, Shrika Prakash</v>
      </c>
      <c r="S52" s="4" t="str">
        <f t="array" ref="S52">IF(xlookup(G52,'924 data aggregation'!$B:$B,'924 data aggregation'!$G:$G) = "NA",xlookup(G52,'924 data aggregation'!$B:$B,'924 data aggregation'!$A:$A),xlookup(G52,'924 data aggregation'!$B:$B,'924 data aggregation'!$G:$G))</f>
        <v>Aayush Vishnoi, Siddhanth Ramachandran</v>
      </c>
      <c r="T52" s="4" t="str">
        <f t="array" ref="T52">IF(xlookup(H52,'924 data aggregation'!$B:$B,'924 data aggregation'!$G:$G) = "NA",xlookup(H52,'924 data aggregation'!$B:$B,'924 data aggregation'!$A:$A),xlookup(H52,'924 data aggregation'!$B:$B,'924 data aggregation'!$G:$G))</f>
        <v>Zoeya Chowdhury, Nilan Nathan</v>
      </c>
      <c r="U52" s="4" t="str">
        <f t="array" ref="U52">IF(xlookup(I52,'924 data aggregation'!$B:$B,'924 data aggregation'!$G:$G) = "NA",xlookup(I52,'924 data aggregation'!$B:$B,'924 data aggregation'!$A:$A),xlookup(I52,'924 data aggregation'!$B:$B,'924 data aggregation'!$G:$G))</f>
        <v>Helen Zhang, William Zhang</v>
      </c>
      <c r="V52" s="4" t="str">
        <f t="array" ref="V52">IF(xlookup(J52,'924 data aggregation'!$B:$B,'924 data aggregation'!$G:$G) = "NA",xlookup(J52,'924 data aggregation'!$B:$B,'924 data aggregation'!$A:$A),xlookup(J52,'924 data aggregation'!$B:$B,'924 data aggregation'!$G:$G))</f>
        <v>Akaash Reddy, Nirvik Pande</v>
      </c>
      <c r="W52" s="4" t="str">
        <f t="array" ref="W52">IF(xlookup(K52,'924 data aggregation'!$B:$B,'924 data aggregation'!$G:$G) = "NA",xlookup(K52,'924 data aggregation'!$B:$B,'924 data aggregation'!$A:$A),xlookup(K52,'924 data aggregation'!$B:$B,'924 data aggregation'!$G:$G))</f>
        <v>Riya Chauhan, Anella Mason</v>
      </c>
      <c r="X52" s="4" t="str">
        <f t="array" ref="X52">IF(xlookup(L52,'924 data aggregation'!$B:$B,'924 data aggregation'!$G:$G) = "NA",xlookup(L52,'924 data aggregation'!$B:$B,'924 data aggregation'!$A:$A),xlookup(L52,'924 data aggregation'!$B:$B,'924 data aggregation'!$G:$G))</f>
        <v>Ali Aslam, Shiven Makkar</v>
      </c>
      <c r="Y52" s="4" t="str">
        <f t="array" ref="Y52">IF(xlookup(M52,'924 data aggregation'!$B:$B,'924 data aggregation'!$G:$G) = "NA",xlookup(M52,'924 data aggregation'!$B:$B,'924 data aggregation'!$A:$A),xlookup(M52,'924 data aggregation'!$B:$B,'924 data aggregation'!$G:$G))</f>
        <v>Suhan Venkat, Varun Sanghavi</v>
      </c>
      <c r="Z52" s="4" t="str">
        <f t="array" ref="Z52">IF(xlookup(N52,'924 data aggregation'!$B:$B,'924 data aggregation'!$G:$G) = "NA",xlookup(N52,'924 data aggregation'!$B:$B,'924 data aggregation'!$A:$A),xlookup(N52,'924 data aggregation'!$B:$B,'924 data aggregation'!$G:$G))</f>
        <v>Tisya Dave, Jordyn Choe</v>
      </c>
    </row>
    <row r="53">
      <c r="A53" s="14" t="s">
        <v>1644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13"/>
  </cols>
  <sheetData>
    <row r="1">
      <c r="A1" s="4" t="s">
        <v>15</v>
      </c>
      <c r="B1" s="4" t="s">
        <v>103</v>
      </c>
      <c r="C1" s="4" t="s">
        <v>106</v>
      </c>
      <c r="D1" s="4" t="s">
        <v>121</v>
      </c>
      <c r="E1" s="4" t="s">
        <v>232</v>
      </c>
      <c r="F1" s="4" t="s">
        <v>400</v>
      </c>
      <c r="G1" s="4" t="s">
        <v>440</v>
      </c>
      <c r="H1" s="4" t="e">
        <v>#N/A</v>
      </c>
      <c r="I1" s="4" t="e">
        <v>#N/A</v>
      </c>
      <c r="J1" s="4" t="e">
        <v>#N/A</v>
      </c>
      <c r="K1" s="4" t="e">
        <v>#N/A</v>
      </c>
    </row>
    <row r="2">
      <c r="A2" s="4" t="s">
        <v>207</v>
      </c>
      <c r="B2" s="4" t="s">
        <v>278</v>
      </c>
      <c r="C2" s="4" t="s">
        <v>330</v>
      </c>
      <c r="D2" s="4" t="s">
        <v>392</v>
      </c>
      <c r="E2" s="4" t="s">
        <v>394</v>
      </c>
      <c r="F2" s="4" t="s">
        <v>506</v>
      </c>
      <c r="G2" s="4" t="e">
        <v>#N/A</v>
      </c>
      <c r="H2" s="4" t="e">
        <v>#N/A</v>
      </c>
      <c r="I2" s="4" t="e">
        <v>#N/A</v>
      </c>
      <c r="J2" s="4" t="e">
        <v>#N/A</v>
      </c>
      <c r="K2" s="4" t="e">
        <v>#N/A</v>
      </c>
    </row>
    <row r="3">
      <c r="A3" s="4" t="s">
        <v>212</v>
      </c>
      <c r="B3" s="4" t="s">
        <v>211</v>
      </c>
      <c r="C3" s="4" t="s">
        <v>454</v>
      </c>
      <c r="D3" s="4" t="s">
        <v>345</v>
      </c>
      <c r="E3" s="4" t="s">
        <v>775</v>
      </c>
      <c r="F3" s="4" t="e">
        <v>#N/A</v>
      </c>
      <c r="G3" s="4" t="e">
        <v>#N/A</v>
      </c>
      <c r="H3" s="4" t="e">
        <v>#N/A</v>
      </c>
      <c r="I3" s="4" t="e">
        <v>#N/A</v>
      </c>
      <c r="J3" s="4" t="e">
        <v>#N/A</v>
      </c>
      <c r="K3" s="4" t="e">
        <v>#N/A</v>
      </c>
    </row>
    <row r="4">
      <c r="A4" s="4" t="s">
        <v>16</v>
      </c>
      <c r="B4" s="4" t="s">
        <v>158</v>
      </c>
      <c r="C4" s="4" t="s">
        <v>162</v>
      </c>
      <c r="D4" s="4" t="s">
        <v>355</v>
      </c>
      <c r="E4" s="4" t="s">
        <v>368</v>
      </c>
      <c r="F4" s="4" t="s">
        <v>381</v>
      </c>
      <c r="G4" s="4" t="s">
        <v>393</v>
      </c>
      <c r="H4" s="4" t="e">
        <v>#N/A</v>
      </c>
      <c r="I4" s="4" t="e">
        <v>#N/A</v>
      </c>
      <c r="J4" s="4" t="e">
        <v>#N/A</v>
      </c>
      <c r="K4" s="4" t="e">
        <v>#N/A</v>
      </c>
    </row>
    <row r="5">
      <c r="A5" s="4" t="s">
        <v>184</v>
      </c>
      <c r="B5" s="4" t="s">
        <v>738</v>
      </c>
      <c r="C5" s="4" t="s">
        <v>706</v>
      </c>
      <c r="D5" s="4" t="e">
        <v>#N/A</v>
      </c>
      <c r="E5" s="4" t="e">
        <v>#N/A</v>
      </c>
      <c r="F5" s="4" t="e">
        <v>#N/A</v>
      </c>
      <c r="G5" s="4" t="e">
        <v>#N/A</v>
      </c>
      <c r="H5" s="4" t="e">
        <v>#N/A</v>
      </c>
      <c r="I5" s="4" t="e">
        <v>#N/A</v>
      </c>
      <c r="J5" s="4" t="e">
        <v>#N/A</v>
      </c>
      <c r="K5" s="4" t="e">
        <v>#N/A</v>
      </c>
    </row>
    <row r="6">
      <c r="A6" s="4" t="s">
        <v>9</v>
      </c>
      <c r="B6" s="4" t="s">
        <v>71</v>
      </c>
      <c r="C6" s="4" t="s">
        <v>128</v>
      </c>
      <c r="D6" s="4" t="s">
        <v>258</v>
      </c>
      <c r="E6" s="4" t="s">
        <v>305</v>
      </c>
      <c r="F6" s="4" t="s">
        <v>413</v>
      </c>
      <c r="G6" s="4" t="s">
        <v>431</v>
      </c>
      <c r="H6" s="4" t="s">
        <v>511</v>
      </c>
      <c r="I6" s="4" t="s">
        <v>567</v>
      </c>
      <c r="J6" s="4" t="s">
        <v>631</v>
      </c>
      <c r="K6" s="4" t="s">
        <v>694</v>
      </c>
    </row>
    <row r="7">
      <c r="A7" s="4" t="s">
        <v>38</v>
      </c>
      <c r="B7" s="4" t="s">
        <v>37</v>
      </c>
      <c r="C7" s="4" t="s">
        <v>48</v>
      </c>
      <c r="D7" s="4" t="s">
        <v>208</v>
      </c>
      <c r="E7" s="4" t="s">
        <v>391</v>
      </c>
      <c r="F7" s="4" t="e">
        <v>#N/A</v>
      </c>
      <c r="G7" s="4" t="e">
        <v>#N/A</v>
      </c>
      <c r="H7" s="4" t="e">
        <v>#N/A</v>
      </c>
      <c r="I7" s="4" t="e">
        <v>#N/A</v>
      </c>
      <c r="J7" s="4" t="e">
        <v>#N/A</v>
      </c>
      <c r="K7" s="4" t="e">
        <v>#N/A</v>
      </c>
    </row>
    <row r="8">
      <c r="A8" s="4" t="s">
        <v>26</v>
      </c>
      <c r="B8" s="4" t="s">
        <v>308</v>
      </c>
      <c r="C8" s="4" t="s">
        <v>370</v>
      </c>
      <c r="D8" s="4" t="s">
        <v>476</v>
      </c>
      <c r="E8" s="4" t="s">
        <v>460</v>
      </c>
      <c r="F8" s="4" t="s">
        <v>572</v>
      </c>
      <c r="G8" s="4" t="s">
        <v>576</v>
      </c>
      <c r="H8" s="4" t="e">
        <v>#N/A</v>
      </c>
      <c r="I8" s="4" t="e">
        <v>#N/A</v>
      </c>
      <c r="J8" s="4" t="e">
        <v>#N/A</v>
      </c>
      <c r="K8" s="4" t="e">
        <v>#N/A</v>
      </c>
    </row>
    <row r="9">
      <c r="A9" s="4" t="s">
        <v>34</v>
      </c>
      <c r="B9" s="4" t="s">
        <v>80</v>
      </c>
      <c r="C9" s="4" t="s">
        <v>93</v>
      </c>
      <c r="D9" s="4" t="s">
        <v>149</v>
      </c>
      <c r="E9" s="4" t="s">
        <v>437</v>
      </c>
      <c r="F9" s="4" t="s">
        <v>594</v>
      </c>
      <c r="G9" s="4" t="s">
        <v>490</v>
      </c>
      <c r="H9" s="4" t="s">
        <v>539</v>
      </c>
      <c r="I9" s="4" t="s">
        <v>541</v>
      </c>
      <c r="J9" s="4" t="s">
        <v>642</v>
      </c>
      <c r="K9" s="4" t="e">
        <v>#N/A</v>
      </c>
    </row>
    <row r="10">
      <c r="A10" s="4" t="s">
        <v>10</v>
      </c>
      <c r="B10" s="4" t="s">
        <v>95</v>
      </c>
      <c r="C10" s="4" t="s">
        <v>99</v>
      </c>
      <c r="D10" s="4" t="s">
        <v>130</v>
      </c>
      <c r="E10" s="4" t="s">
        <v>236</v>
      </c>
      <c r="F10" s="4" t="s">
        <v>478</v>
      </c>
      <c r="G10" s="4" t="s">
        <v>661</v>
      </c>
      <c r="H10" s="4" t="e">
        <v>#N/A</v>
      </c>
      <c r="I10" s="4" t="e">
        <v>#N/A</v>
      </c>
      <c r="J10" s="4" t="e">
        <v>#N/A</v>
      </c>
      <c r="K10" s="4" t="e">
        <v>#N/A</v>
      </c>
    </row>
    <row r="11">
      <c r="A11" s="4" t="s">
        <v>21</v>
      </c>
      <c r="B11" s="4" t="s">
        <v>69</v>
      </c>
      <c r="C11" s="4" t="s">
        <v>85</v>
      </c>
      <c r="D11" s="4" t="s">
        <v>159</v>
      </c>
      <c r="E11" s="4" t="s">
        <v>318</v>
      </c>
      <c r="F11" s="4" t="s">
        <v>665</v>
      </c>
      <c r="G11" s="4" t="s">
        <v>474</v>
      </c>
      <c r="H11" s="4" t="s">
        <v>481</v>
      </c>
      <c r="I11" s="4" t="s">
        <v>484</v>
      </c>
      <c r="J11" s="4" t="s">
        <v>488</v>
      </c>
      <c r="K11" s="4" t="s">
        <v>720</v>
      </c>
    </row>
    <row r="12">
      <c r="A12" s="4" t="s">
        <v>32</v>
      </c>
      <c r="B12" s="4" t="s">
        <v>33</v>
      </c>
      <c r="C12" s="4" t="s">
        <v>55</v>
      </c>
      <c r="D12" s="4" t="s">
        <v>117</v>
      </c>
      <c r="E12" s="4" t="s">
        <v>244</v>
      </c>
      <c r="F12" s="4" t="s">
        <v>172</v>
      </c>
      <c r="G12" s="4" t="s">
        <v>220</v>
      </c>
      <c r="H12" s="4" t="e">
        <v>#N/A</v>
      </c>
      <c r="I12" s="4" t="e">
        <v>#N/A</v>
      </c>
      <c r="J12" s="4" t="e">
        <v>#N/A</v>
      </c>
      <c r="K12" s="4" t="e">
        <v>#N/A</v>
      </c>
    </row>
    <row r="13">
      <c r="A13" s="4" t="s">
        <v>114</v>
      </c>
      <c r="B13" s="4" t="s">
        <v>122</v>
      </c>
      <c r="C13" s="4" t="s">
        <v>358</v>
      </c>
      <c r="D13" s="4" t="s">
        <v>360</v>
      </c>
      <c r="E13" s="4" t="e">
        <v>#N/A</v>
      </c>
      <c r="F13" s="4" t="e">
        <v>#N/A</v>
      </c>
      <c r="G13" s="4" t="e">
        <v>#N/A</v>
      </c>
      <c r="H13" s="4" t="e">
        <v>#N/A</v>
      </c>
      <c r="I13" s="4" t="e">
        <v>#N/A</v>
      </c>
      <c r="J13" s="4" t="e">
        <v>#N/A</v>
      </c>
      <c r="K13" s="4" t="e">
        <v>#N/A</v>
      </c>
    </row>
    <row r="14">
      <c r="A14" s="4" t="s">
        <v>30</v>
      </c>
      <c r="B14" s="4" t="s">
        <v>136</v>
      </c>
      <c r="C14" s="4" t="s">
        <v>378</v>
      </c>
      <c r="D14" s="4" t="s">
        <v>388</v>
      </c>
      <c r="E14" s="4" t="s">
        <v>668</v>
      </c>
      <c r="F14" s="4" t="e">
        <v>#N/A</v>
      </c>
      <c r="G14" s="4" t="e">
        <v>#N/A</v>
      </c>
      <c r="H14" s="4" t="e">
        <v>#N/A</v>
      </c>
      <c r="I14" s="4" t="e">
        <v>#N/A</v>
      </c>
      <c r="J14" s="4" t="e">
        <v>#N/A</v>
      </c>
      <c r="K14" s="4" t="e">
        <v>#N/A</v>
      </c>
    </row>
    <row r="15">
      <c r="A15" s="4" t="s">
        <v>42</v>
      </c>
      <c r="B15" s="4" t="s">
        <v>41</v>
      </c>
      <c r="C15" s="4" t="s">
        <v>199</v>
      </c>
      <c r="D15" s="4" t="s">
        <v>250</v>
      </c>
      <c r="E15" s="4" t="e">
        <v>#N/A</v>
      </c>
      <c r="F15" s="4" t="e">
        <v>#N/A</v>
      </c>
      <c r="G15" s="4" t="e">
        <v>#N/A</v>
      </c>
      <c r="H15" s="4" t="e">
        <v>#N/A</v>
      </c>
      <c r="I15" s="4" t="e">
        <v>#N/A</v>
      </c>
      <c r="J15" s="4" t="e">
        <v>#N/A</v>
      </c>
      <c r="K15" s="4" t="e">
        <v>#N/A</v>
      </c>
    </row>
    <row r="16">
      <c r="A16" s="4" t="s">
        <v>7</v>
      </c>
      <c r="B16" s="4" t="s">
        <v>8</v>
      </c>
      <c r="C16" s="4" t="s">
        <v>237</v>
      </c>
      <c r="D16" s="4" t="s">
        <v>261</v>
      </c>
      <c r="E16" s="4" t="s">
        <v>266</v>
      </c>
      <c r="F16" s="4" t="s">
        <v>268</v>
      </c>
      <c r="G16" s="4" t="s">
        <v>419</v>
      </c>
      <c r="H16" s="4" t="s">
        <v>664</v>
      </c>
      <c r="I16" s="4" t="s">
        <v>531</v>
      </c>
      <c r="J16" s="4" t="s">
        <v>548</v>
      </c>
      <c r="K16" s="4" t="s">
        <v>596</v>
      </c>
    </row>
    <row r="17">
      <c r="A17" s="4" t="s">
        <v>170</v>
      </c>
      <c r="B17" s="4" t="s">
        <v>448</v>
      </c>
      <c r="C17" s="4" t="e">
        <v>#N/A</v>
      </c>
      <c r="D17" s="4" t="e">
        <v>#N/A</v>
      </c>
      <c r="E17" s="4" t="e">
        <v>#N/A</v>
      </c>
      <c r="F17" s="4" t="e">
        <v>#N/A</v>
      </c>
      <c r="G17" s="4" t="e">
        <v>#N/A</v>
      </c>
      <c r="H17" s="4" t="e">
        <v>#N/A</v>
      </c>
      <c r="I17" s="4" t="e">
        <v>#N/A</v>
      </c>
      <c r="J17" s="4" t="e">
        <v>#N/A</v>
      </c>
      <c r="K17" s="4" t="e">
        <v>#N/A</v>
      </c>
    </row>
    <row r="18">
      <c r="A18" s="4" t="s">
        <v>13</v>
      </c>
      <c r="B18" s="4" t="s">
        <v>14</v>
      </c>
      <c r="C18" s="4" t="s">
        <v>24</v>
      </c>
      <c r="D18" s="4" t="s">
        <v>87</v>
      </c>
      <c r="E18" s="4" t="s">
        <v>205</v>
      </c>
      <c r="F18" s="4" t="s">
        <v>283</v>
      </c>
      <c r="G18" s="4" t="s">
        <v>554</v>
      </c>
      <c r="H18" s="4" t="s">
        <v>711</v>
      </c>
      <c r="I18" s="4" t="e">
        <v>#N/A</v>
      </c>
      <c r="J18" s="4" t="e">
        <v>#N/A</v>
      </c>
      <c r="K18" s="4" t="e">
        <v>#N/A</v>
      </c>
    </row>
    <row r="19">
      <c r="A19" s="4" t="s">
        <v>25</v>
      </c>
      <c r="B19" s="4" t="s">
        <v>107</v>
      </c>
      <c r="C19" s="4" t="s">
        <v>113</v>
      </c>
      <c r="D19" s="4" t="s">
        <v>311</v>
      </c>
      <c r="E19" s="4" t="s">
        <v>314</v>
      </c>
      <c r="F19" s="4" t="s">
        <v>527</v>
      </c>
      <c r="G19" s="4" t="s">
        <v>714</v>
      </c>
      <c r="H19" s="4" t="e">
        <v>#N/A</v>
      </c>
      <c r="I19" s="4" t="e">
        <v>#N/A</v>
      </c>
      <c r="J19" s="4" t="e">
        <v>#N/A</v>
      </c>
      <c r="K19" s="4" t="e">
        <v>#N/A</v>
      </c>
    </row>
    <row r="20">
      <c r="A20" s="4" t="s">
        <v>125</v>
      </c>
      <c r="B20" s="4" t="s">
        <v>224</v>
      </c>
      <c r="C20" s="4" t="s">
        <v>287</v>
      </c>
      <c r="D20" s="4" t="s">
        <v>326</v>
      </c>
      <c r="E20" s="4" t="s">
        <v>328</v>
      </c>
      <c r="F20" s="4" t="s">
        <v>423</v>
      </c>
      <c r="G20" s="4" t="s">
        <v>452</v>
      </c>
      <c r="H20" s="4" t="s">
        <v>457</v>
      </c>
      <c r="I20" s="4" t="s">
        <v>584</v>
      </c>
      <c r="J20" s="4" t="s">
        <v>587</v>
      </c>
      <c r="K20" s="4" t="s">
        <v>618</v>
      </c>
    </row>
    <row r="21">
      <c r="A21" s="4" t="s">
        <v>39</v>
      </c>
      <c r="B21" s="4" t="s">
        <v>123</v>
      </c>
      <c r="C21" s="4" t="s">
        <v>218</v>
      </c>
      <c r="D21" s="4" t="s">
        <v>585</v>
      </c>
      <c r="E21" s="4" t="e">
        <v>#N/A</v>
      </c>
      <c r="F21" s="4" t="e">
        <v>#N/A</v>
      </c>
      <c r="G21" s="4" t="e">
        <v>#N/A</v>
      </c>
      <c r="H21" s="4" t="e">
        <v>#N/A</v>
      </c>
      <c r="I21" s="4" t="e">
        <v>#N/A</v>
      </c>
      <c r="J21" s="4" t="e">
        <v>#N/A</v>
      </c>
      <c r="K21" s="4" t="e">
        <v>#N/A</v>
      </c>
    </row>
    <row r="22">
      <c r="A22" s="4" t="s">
        <v>139</v>
      </c>
      <c r="B22" s="4" t="s">
        <v>140</v>
      </c>
      <c r="C22" s="4" t="s">
        <v>151</v>
      </c>
      <c r="D22" s="4" t="e">
        <v>#N/A</v>
      </c>
      <c r="E22" s="4" t="e">
        <v>#N/A</v>
      </c>
      <c r="F22" s="4" t="e">
        <v>#N/A</v>
      </c>
      <c r="G22" s="4" t="e">
        <v>#N/A</v>
      </c>
      <c r="H22" s="4" t="e">
        <v>#N/A</v>
      </c>
      <c r="I22" s="4" t="e">
        <v>#N/A</v>
      </c>
      <c r="J22" s="4" t="e">
        <v>#N/A</v>
      </c>
      <c r="K22" s="4" t="e">
        <v>#N/A</v>
      </c>
    </row>
    <row r="23">
      <c r="A23" s="4" t="s">
        <v>18</v>
      </c>
      <c r="B23" s="4" t="s">
        <v>19</v>
      </c>
      <c r="C23" s="4" t="s">
        <v>78</v>
      </c>
      <c r="D23" s="4" t="s">
        <v>169</v>
      </c>
      <c r="E23" s="4" t="s">
        <v>183</v>
      </c>
      <c r="F23" s="4" t="s">
        <v>186</v>
      </c>
      <c r="G23" s="4" t="s">
        <v>395</v>
      </c>
      <c r="H23" s="4" t="s">
        <v>386</v>
      </c>
      <c r="I23" s="4" t="s">
        <v>525</v>
      </c>
      <c r="J23" s="4" t="s">
        <v>623</v>
      </c>
      <c r="K23" s="4" t="s">
        <v>646</v>
      </c>
    </row>
    <row r="24">
      <c r="A24" s="4" t="s">
        <v>4</v>
      </c>
      <c r="B24" s="4" t="s">
        <v>200</v>
      </c>
      <c r="C24" s="4" t="s">
        <v>402</v>
      </c>
      <c r="D24" s="4" t="s">
        <v>681</v>
      </c>
      <c r="E24" s="4" t="e">
        <v>#N/A</v>
      </c>
      <c r="F24" s="4" t="e">
        <v>#N/A</v>
      </c>
      <c r="G24" s="4" t="e">
        <v>#N/A</v>
      </c>
      <c r="H24" s="4" t="e">
        <v>#N/A</v>
      </c>
      <c r="I24" s="4" t="e">
        <v>#N/A</v>
      </c>
      <c r="J24" s="4" t="e">
        <v>#N/A</v>
      </c>
      <c r="K24" s="4" t="e">
        <v>#N/A</v>
      </c>
    </row>
    <row r="25">
      <c r="A25" s="4" t="s">
        <v>76</v>
      </c>
      <c r="B25" s="4" t="s">
        <v>316</v>
      </c>
      <c r="C25" s="4" t="s">
        <v>315</v>
      </c>
      <c r="D25" s="4" t="s">
        <v>552</v>
      </c>
      <c r="E25" s="4" t="s">
        <v>610</v>
      </c>
      <c r="F25" s="4" t="s">
        <v>628</v>
      </c>
      <c r="G25" s="4" t="s">
        <v>700</v>
      </c>
      <c r="H25" s="4" t="s">
        <v>743</v>
      </c>
      <c r="I25" s="4" t="e">
        <v>#N/A</v>
      </c>
      <c r="J25" s="4" t="e">
        <v>#N/A</v>
      </c>
      <c r="K25" s="4" t="e">
        <v>#N/A</v>
      </c>
    </row>
    <row r="26">
      <c r="A26" s="4" t="s">
        <v>2</v>
      </c>
      <c r="B26" s="4" t="s">
        <v>0</v>
      </c>
      <c r="C26" s="4" t="s">
        <v>104</v>
      </c>
      <c r="D26" s="4" t="s">
        <v>157</v>
      </c>
      <c r="E26" s="4" t="s">
        <v>233</v>
      </c>
      <c r="F26" s="4" t="s">
        <v>245</v>
      </c>
      <c r="G26" s="4" t="s">
        <v>281</v>
      </c>
      <c r="H26" s="4" t="s">
        <v>329</v>
      </c>
      <c r="I26" s="4" t="s">
        <v>343</v>
      </c>
      <c r="J26" s="4" t="s">
        <v>356</v>
      </c>
      <c r="K26" s="4" t="s">
        <v>425</v>
      </c>
    </row>
    <row r="27">
      <c r="A27" s="4" t="s">
        <v>105</v>
      </c>
      <c r="B27" s="4" t="s">
        <v>163</v>
      </c>
      <c r="C27" s="4" t="s">
        <v>203</v>
      </c>
      <c r="D27" s="4" t="s">
        <v>206</v>
      </c>
      <c r="E27" s="4" t="s">
        <v>239</v>
      </c>
      <c r="F27" s="4" t="s">
        <v>384</v>
      </c>
      <c r="G27" s="4" t="s">
        <v>445</v>
      </c>
      <c r="H27" s="4" t="e">
        <v>#N/A</v>
      </c>
      <c r="I27" s="4" t="e">
        <v>#N/A</v>
      </c>
      <c r="J27" s="4" t="e">
        <v>#N/A</v>
      </c>
      <c r="K27" s="4" t="e">
        <v>#N/A</v>
      </c>
    </row>
    <row r="28">
      <c r="A28" s="4" t="s">
        <v>47</v>
      </c>
      <c r="B28" s="4" t="s">
        <v>132</v>
      </c>
      <c r="C28" s="4" t="s">
        <v>210</v>
      </c>
      <c r="D28" s="4" t="s">
        <v>463</v>
      </c>
      <c r="E28" s="4" t="s">
        <v>698</v>
      </c>
      <c r="F28" s="4" t="s">
        <v>760</v>
      </c>
      <c r="G28" s="4" t="e">
        <v>#N/A</v>
      </c>
      <c r="H28" s="4" t="e">
        <v>#N/A</v>
      </c>
      <c r="I28" s="4" t="e">
        <v>#N/A</v>
      </c>
      <c r="J28" s="4" t="e">
        <v>#N/A</v>
      </c>
      <c r="K28" s="4" t="e">
        <v>#N/A</v>
      </c>
    </row>
    <row r="29">
      <c r="A29" s="4" t="s">
        <v>111</v>
      </c>
      <c r="B29" s="4" t="s">
        <v>147</v>
      </c>
      <c r="C29" s="4" t="s">
        <v>193</v>
      </c>
      <c r="D29" s="4" t="s">
        <v>227</v>
      </c>
      <c r="E29" s="4" t="s">
        <v>280</v>
      </c>
      <c r="F29" s="4" t="s">
        <v>332</v>
      </c>
      <c r="G29" s="4" t="s">
        <v>517</v>
      </c>
      <c r="H29" s="4" t="s">
        <v>519</v>
      </c>
      <c r="I29" s="4" t="s">
        <v>771</v>
      </c>
      <c r="J29" s="4" t="e">
        <v>#N/A</v>
      </c>
      <c r="K29" s="4" t="e">
        <v>#N/A</v>
      </c>
    </row>
    <row r="30">
      <c r="A30" s="4" t="s">
        <v>63</v>
      </c>
      <c r="B30" s="4" t="s">
        <v>405</v>
      </c>
      <c r="C30" s="4" t="e">
        <v>#N/A</v>
      </c>
      <c r="D30" s="4" t="e">
        <v>#N/A</v>
      </c>
      <c r="E30" s="4" t="e">
        <v>#N/A</v>
      </c>
      <c r="F30" s="4" t="e">
        <v>#N/A</v>
      </c>
      <c r="G30" s="4" t="e">
        <v>#N/A</v>
      </c>
      <c r="H30" s="4" t="e">
        <v>#N/A</v>
      </c>
      <c r="I30" s="4" t="e">
        <v>#N/A</v>
      </c>
      <c r="J30" s="4" t="e">
        <v>#N/A</v>
      </c>
      <c r="K30" s="4" t="e">
        <v>#N/A</v>
      </c>
    </row>
    <row r="31">
      <c r="A31" s="4" t="s">
        <v>64</v>
      </c>
      <c r="B31" s="4" t="s">
        <v>83</v>
      </c>
      <c r="C31" s="4" t="s">
        <v>201</v>
      </c>
      <c r="D31" s="4" t="s">
        <v>178</v>
      </c>
      <c r="E31" s="4" t="s">
        <v>196</v>
      </c>
      <c r="F31" s="4" t="s">
        <v>198</v>
      </c>
      <c r="G31" s="4" t="s">
        <v>295</v>
      </c>
      <c r="H31" s="4" t="s">
        <v>374</v>
      </c>
      <c r="I31" s="4" t="s">
        <v>416</v>
      </c>
      <c r="J31" s="4" t="s">
        <v>648</v>
      </c>
      <c r="K31" s="4" t="s">
        <v>651</v>
      </c>
    </row>
    <row r="32">
      <c r="A32" s="4" t="s">
        <v>61</v>
      </c>
      <c r="B32" s="4" t="s">
        <v>116</v>
      </c>
      <c r="C32" s="4" t="s">
        <v>62</v>
      </c>
      <c r="D32" s="4" t="s">
        <v>89</v>
      </c>
      <c r="E32" s="4" t="s">
        <v>256</v>
      </c>
      <c r="F32" s="4" t="s">
        <v>259</v>
      </c>
      <c r="G32" s="4" t="s">
        <v>241</v>
      </c>
      <c r="H32" s="4" t="s">
        <v>337</v>
      </c>
      <c r="I32" s="4" t="s">
        <v>653</v>
      </c>
      <c r="J32" s="4" t="e">
        <v>#N/A</v>
      </c>
      <c r="K32" s="4" t="e">
        <v>#N/A</v>
      </c>
    </row>
    <row r="33">
      <c r="A33" s="4" t="s">
        <v>28</v>
      </c>
      <c r="B33" s="4" t="s">
        <v>29</v>
      </c>
      <c r="C33" s="4" t="s">
        <v>446</v>
      </c>
      <c r="D33" s="4" t="s">
        <v>364</v>
      </c>
      <c r="E33" s="4" t="s">
        <v>542</v>
      </c>
      <c r="F33" s="4" t="s">
        <v>692</v>
      </c>
      <c r="G33" s="4" t="s">
        <v>508</v>
      </c>
      <c r="H33" s="4" t="e">
        <v>#N/A</v>
      </c>
      <c r="I33" s="4" t="e">
        <v>#N/A</v>
      </c>
      <c r="J33" s="4" t="e">
        <v>#N/A</v>
      </c>
      <c r="K33" s="4" t="e">
        <v>#N/A</v>
      </c>
    </row>
    <row r="34">
      <c r="A34" s="4" t="s">
        <v>167</v>
      </c>
      <c r="B34" s="4" t="s">
        <v>306</v>
      </c>
      <c r="C34" s="4" t="e">
        <v>#N/A</v>
      </c>
      <c r="D34" s="4" t="e">
        <v>#N/A</v>
      </c>
      <c r="E34" s="4" t="e">
        <v>#N/A</v>
      </c>
      <c r="F34" s="4" t="e">
        <v>#N/A</v>
      </c>
      <c r="G34" s="4" t="e">
        <v>#N/A</v>
      </c>
      <c r="H34" s="4" t="e">
        <v>#N/A</v>
      </c>
      <c r="I34" s="4" t="e">
        <v>#N/A</v>
      </c>
      <c r="J34" s="4" t="e">
        <v>#N/A</v>
      </c>
      <c r="K34" s="4" t="e">
        <v>#N/A</v>
      </c>
    </row>
    <row r="35">
      <c r="A35" s="4" t="s">
        <v>72</v>
      </c>
      <c r="B35" s="4" t="s">
        <v>145</v>
      </c>
      <c r="C35" s="4" t="s">
        <v>297</v>
      </c>
      <c r="D35" s="4" t="s">
        <v>352</v>
      </c>
      <c r="E35" s="4" t="s">
        <v>410</v>
      </c>
      <c r="F35" s="4" t="s">
        <v>563</v>
      </c>
      <c r="G35" s="4" t="s">
        <v>534</v>
      </c>
      <c r="H35" s="4" t="s">
        <v>737</v>
      </c>
      <c r="I35" s="4" t="e">
        <v>#N/A</v>
      </c>
      <c r="J35" s="4" t="e">
        <v>#N/A</v>
      </c>
      <c r="K35" s="4" t="e">
        <v>#N/A</v>
      </c>
    </row>
    <row r="36">
      <c r="A36" s="4" t="s">
        <v>5</v>
      </c>
      <c r="B36" s="4" t="s">
        <v>335</v>
      </c>
      <c r="C36" s="4" t="s">
        <v>408</v>
      </c>
      <c r="D36" s="4" t="s">
        <v>469</v>
      </c>
      <c r="E36" s="4" t="e">
        <v>#N/A</v>
      </c>
      <c r="F36" s="4" t="e">
        <v>#N/A</v>
      </c>
      <c r="G36" s="4" t="e">
        <v>#N/A</v>
      </c>
      <c r="H36" s="4" t="e">
        <v>#N/A</v>
      </c>
      <c r="I36" s="4" t="e">
        <v>#N/A</v>
      </c>
      <c r="J36" s="4" t="e">
        <v>#N/A</v>
      </c>
      <c r="K36" s="4" t="e">
        <v>#N/A</v>
      </c>
    </row>
    <row r="37">
      <c r="A37" s="4" t="s">
        <v>465</v>
      </c>
      <c r="B37" s="4" t="s">
        <v>562</v>
      </c>
      <c r="C37" s="4" t="s">
        <v>578</v>
      </c>
      <c r="D37" s="4" t="s">
        <v>666</v>
      </c>
      <c r="E37" s="4" t="s">
        <v>671</v>
      </c>
      <c r="F37" s="4" t="s">
        <v>730</v>
      </c>
      <c r="G37" s="4" t="s">
        <v>759</v>
      </c>
      <c r="H37" s="4" t="e">
        <v>#N/A</v>
      </c>
      <c r="I37" s="4" t="e">
        <v>#N/A</v>
      </c>
      <c r="J37" s="4" t="e">
        <v>#N/A</v>
      </c>
      <c r="K37" s="4" t="e">
        <v>#N/A</v>
      </c>
    </row>
    <row r="38">
      <c r="A38" s="4" t="s">
        <v>238</v>
      </c>
      <c r="B38" s="4" t="s">
        <v>470</v>
      </c>
      <c r="C38" s="4" t="s">
        <v>593</v>
      </c>
      <c r="D38" s="4" t="s">
        <v>611</v>
      </c>
      <c r="E38" s="4" t="s">
        <v>625</v>
      </c>
      <c r="F38" s="4" t="s">
        <v>746</v>
      </c>
      <c r="G38" s="4" t="s">
        <v>764</v>
      </c>
      <c r="H38" s="4" t="s">
        <v>636</v>
      </c>
      <c r="I38" s="4" t="s">
        <v>748</v>
      </c>
      <c r="J38" s="4" t="e">
        <v>#N/A</v>
      </c>
      <c r="K38" s="4" t="e">
        <v>#N/A</v>
      </c>
    </row>
    <row r="39">
      <c r="A39" s="4" t="s">
        <v>401</v>
      </c>
      <c r="B39" s="4" t="s">
        <v>464</v>
      </c>
      <c r="C39" s="4" t="s">
        <v>468</v>
      </c>
      <c r="D39" s="4" t="s">
        <v>479</v>
      </c>
      <c r="E39" s="4" t="s">
        <v>509</v>
      </c>
      <c r="F39" s="4" t="s">
        <v>537</v>
      </c>
      <c r="G39" s="4" t="s">
        <v>543</v>
      </c>
      <c r="H39" s="4" t="s">
        <v>626</v>
      </c>
      <c r="I39" s="4" t="s">
        <v>657</v>
      </c>
      <c r="J39" s="4" t="s">
        <v>733</v>
      </c>
      <c r="K39" s="4" t="s">
        <v>780</v>
      </c>
    </row>
    <row r="40">
      <c r="A40" s="4" t="s">
        <v>191</v>
      </c>
      <c r="B40" s="4" t="s">
        <v>475</v>
      </c>
      <c r="C40" s="4" t="s">
        <v>546</v>
      </c>
      <c r="D40" s="4" t="s">
        <v>712</v>
      </c>
      <c r="E40" s="4" t="s">
        <v>769</v>
      </c>
      <c r="F40" s="4" t="e">
        <v>#N/A</v>
      </c>
      <c r="G40" s="4" t="e">
        <v>#N/A</v>
      </c>
      <c r="H40" s="4" t="e">
        <v>#N/A</v>
      </c>
      <c r="I40" s="4" t="e">
        <v>#N/A</v>
      </c>
      <c r="J40" s="4" t="e">
        <v>#N/A</v>
      </c>
      <c r="K40" s="4" t="e">
        <v>#N/A</v>
      </c>
    </row>
    <row r="41">
      <c r="A41" s="4" t="s">
        <v>309</v>
      </c>
      <c r="B41" s="4" t="s">
        <v>526</v>
      </c>
      <c r="C41" s="4" t="s">
        <v>702</v>
      </c>
      <c r="D41" s="4" t="s">
        <v>741</v>
      </c>
      <c r="E41" s="4" t="s">
        <v>729</v>
      </c>
      <c r="F41" s="4" t="e">
        <v>#N/A</v>
      </c>
      <c r="G41" s="4" t="e">
        <v>#N/A</v>
      </c>
      <c r="H41" s="4" t="e">
        <v>#N/A</v>
      </c>
      <c r="I41" s="4" t="e">
        <v>#N/A</v>
      </c>
      <c r="J41" s="4" t="e">
        <v>#N/A</v>
      </c>
      <c r="K41" s="4" t="e">
        <v>#N/A</v>
      </c>
    </row>
    <row r="42">
      <c r="A42" s="4" t="s">
        <v>12</v>
      </c>
      <c r="B42" s="4" t="s">
        <v>11</v>
      </c>
      <c r="C42" s="4" t="s">
        <v>119</v>
      </c>
      <c r="D42" s="4" t="s">
        <v>126</v>
      </c>
      <c r="E42" s="4" t="s">
        <v>697</v>
      </c>
      <c r="F42" s="4" t="e">
        <v>#N/A</v>
      </c>
      <c r="G42" s="4" t="e">
        <v>#N/A</v>
      </c>
      <c r="H42" s="4" t="e">
        <v>#N/A</v>
      </c>
      <c r="I42" s="4" t="e">
        <v>#N/A</v>
      </c>
      <c r="J42" s="4" t="e">
        <v>#N/A</v>
      </c>
      <c r="K42" s="4" t="e">
        <v>#N/A</v>
      </c>
    </row>
    <row r="43">
      <c r="A43" s="4" t="s">
        <v>120</v>
      </c>
      <c r="B43" s="4" t="s">
        <v>406</v>
      </c>
      <c r="C43" s="4" t="s">
        <v>435</v>
      </c>
      <c r="D43" s="4" t="e">
        <v>#N/A</v>
      </c>
      <c r="E43" s="4" t="e">
        <v>#N/A</v>
      </c>
      <c r="F43" s="4" t="e">
        <v>#N/A</v>
      </c>
      <c r="G43" s="4" t="e">
        <v>#N/A</v>
      </c>
      <c r="H43" s="4" t="e">
        <v>#N/A</v>
      </c>
      <c r="I43" s="4" t="e">
        <v>#N/A</v>
      </c>
      <c r="J43" s="4" t="e">
        <v>#N/A</v>
      </c>
      <c r="K43" s="4" t="e">
        <v>#N/A</v>
      </c>
    </row>
    <row r="44">
      <c r="A44" s="4" t="s">
        <v>204</v>
      </c>
      <c r="B44" s="4" t="s">
        <v>407</v>
      </c>
      <c r="C44" s="4" t="e">
        <v>#N/A</v>
      </c>
      <c r="D44" s="4" t="e">
        <v>#N/A</v>
      </c>
      <c r="E44" s="4" t="e">
        <v>#N/A</v>
      </c>
      <c r="F44" s="4" t="e">
        <v>#N/A</v>
      </c>
      <c r="G44" s="4" t="e">
        <v>#N/A</v>
      </c>
      <c r="H44" s="4" t="e">
        <v>#N/A</v>
      </c>
      <c r="I44" s="4" t="e">
        <v>#N/A</v>
      </c>
      <c r="J44" s="4" t="e">
        <v>#N/A</v>
      </c>
      <c r="K44" s="4" t="e">
        <v>#N/A</v>
      </c>
    </row>
    <row r="45">
      <c r="A45" s="4" t="s">
        <v>40</v>
      </c>
      <c r="B45" s="4" t="s">
        <v>166</v>
      </c>
      <c r="C45" s="4" t="s">
        <v>230</v>
      </c>
      <c r="D45" s="4" t="s">
        <v>234</v>
      </c>
      <c r="E45" s="4" t="e">
        <v>#N/A</v>
      </c>
      <c r="F45" s="4" t="e">
        <v>#N/A</v>
      </c>
      <c r="G45" s="4" t="e">
        <v>#N/A</v>
      </c>
      <c r="H45" s="4" t="e">
        <v>#N/A</v>
      </c>
      <c r="I45" s="4" t="e">
        <v>#N/A</v>
      </c>
      <c r="J45" s="4" t="e">
        <v>#N/A</v>
      </c>
      <c r="K45" s="4" t="e">
        <v>#N/A</v>
      </c>
    </row>
    <row r="46">
      <c r="A46" s="4" t="s">
        <v>35</v>
      </c>
      <c r="B46" s="4" t="s">
        <v>137</v>
      </c>
      <c r="C46" s="4" t="s">
        <v>687</v>
      </c>
      <c r="D46" s="4" t="s">
        <v>689</v>
      </c>
      <c r="E46" s="4" t="s">
        <v>766</v>
      </c>
      <c r="F46" s="4" t="e">
        <v>#N/A</v>
      </c>
      <c r="G46" s="4" t="e">
        <v>#N/A</v>
      </c>
      <c r="H46" s="4" t="e">
        <v>#N/A</v>
      </c>
      <c r="I46" s="4" t="e">
        <v>#N/A</v>
      </c>
      <c r="J46" s="4" t="e">
        <v>#N/A</v>
      </c>
      <c r="K46" s="4" t="e">
        <v>#N/A</v>
      </c>
    </row>
    <row r="47">
      <c r="A47" s="4" t="s">
        <v>124</v>
      </c>
      <c r="B47" s="4" t="s">
        <v>181</v>
      </c>
      <c r="C47" s="4" t="s">
        <v>285</v>
      </c>
      <c r="D47" s="4" t="s">
        <v>453</v>
      </c>
      <c r="E47" s="4" t="s">
        <v>727</v>
      </c>
      <c r="F47" s="4" t="s">
        <v>735</v>
      </c>
      <c r="G47" s="4" t="e">
        <v>#N/A</v>
      </c>
      <c r="H47" s="4" t="e">
        <v>#N/A</v>
      </c>
      <c r="I47" s="4" t="e">
        <v>#N/A</v>
      </c>
      <c r="J47" s="4" t="e">
        <v>#N/A</v>
      </c>
      <c r="K47" s="4" t="e">
        <v>#N/A</v>
      </c>
    </row>
    <row r="48">
      <c r="A48" s="4" t="s">
        <v>96</v>
      </c>
      <c r="B48" s="4" t="s">
        <v>270</v>
      </c>
      <c r="C48" s="4" t="s">
        <v>274</v>
      </c>
      <c r="D48" s="4" t="s">
        <v>442</v>
      </c>
      <c r="E48" s="4" t="s">
        <v>521</v>
      </c>
      <c r="F48" s="4" t="s">
        <v>523</v>
      </c>
      <c r="G48" s="4" t="s">
        <v>591</v>
      </c>
      <c r="H48" s="4" t="s">
        <v>679</v>
      </c>
      <c r="I48" s="4" t="s">
        <v>756</v>
      </c>
      <c r="J48" s="4" t="s">
        <v>777</v>
      </c>
      <c r="K48" s="4" t="e">
        <v>#N/A</v>
      </c>
    </row>
    <row r="49">
      <c r="A49" s="4" t="s">
        <v>20</v>
      </c>
      <c r="B49" s="4" t="s">
        <v>53</v>
      </c>
      <c r="C49" s="4" t="s">
        <v>190</v>
      </c>
      <c r="D49" s="4" t="s">
        <v>350</v>
      </c>
      <c r="E49" s="4" t="s">
        <v>390</v>
      </c>
      <c r="F49" s="4" t="s">
        <v>427</v>
      </c>
      <c r="G49" s="4" t="s">
        <v>682</v>
      </c>
      <c r="H49" s="4" t="s">
        <v>496</v>
      </c>
      <c r="I49" s="4" t="s">
        <v>498</v>
      </c>
      <c r="J49" s="4" t="s">
        <v>500</v>
      </c>
      <c r="K49" s="4" t="s">
        <v>598</v>
      </c>
    </row>
    <row r="50">
      <c r="A50" s="4" t="s">
        <v>109</v>
      </c>
      <c r="B50" s="4" t="s">
        <v>110</v>
      </c>
      <c r="C50" s="4" t="s">
        <v>154</v>
      </c>
      <c r="D50" s="4" t="s">
        <v>545</v>
      </c>
      <c r="E50" s="4" t="s">
        <v>558</v>
      </c>
      <c r="F50" s="4" t="s">
        <v>568</v>
      </c>
      <c r="G50" s="4" t="s">
        <v>673</v>
      </c>
      <c r="H50" s="4" t="s">
        <v>754</v>
      </c>
      <c r="I50" s="4" t="e">
        <v>#N/A</v>
      </c>
      <c r="J50" s="4" t="e">
        <v>#N/A</v>
      </c>
      <c r="K50" s="4" t="e">
        <v>#N/A</v>
      </c>
    </row>
    <row r="51">
      <c r="A51" s="4" t="s">
        <v>74</v>
      </c>
      <c r="B51" s="4" t="s">
        <v>75</v>
      </c>
      <c r="C51" s="4" t="s">
        <v>82</v>
      </c>
      <c r="D51" s="4" t="s">
        <v>134</v>
      </c>
      <c r="E51" s="4" t="s">
        <v>215</v>
      </c>
      <c r="F51" s="4" t="s">
        <v>217</v>
      </c>
      <c r="G51" s="4" t="s">
        <v>247</v>
      </c>
      <c r="H51" s="4" t="s">
        <v>249</v>
      </c>
      <c r="I51" s="4" t="s">
        <v>252</v>
      </c>
      <c r="J51" s="4" t="s">
        <v>292</v>
      </c>
      <c r="K51" s="4" t="s">
        <v>383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1645</v>
      </c>
      <c r="B1" s="3" t="s">
        <v>1646</v>
      </c>
      <c r="C1" s="3"/>
      <c r="D1" s="3" t="s">
        <v>1647</v>
      </c>
      <c r="E1" s="16"/>
      <c r="F1" s="16" t="s">
        <v>1648</v>
      </c>
      <c r="G1" s="3"/>
      <c r="H1" s="3" t="s">
        <v>1649</v>
      </c>
      <c r="I1" s="3"/>
      <c r="J1" s="3" t="s">
        <v>1650</v>
      </c>
      <c r="K1" s="3"/>
      <c r="L1" s="3" t="s">
        <v>1649</v>
      </c>
      <c r="M1" s="3" t="s">
        <v>1651</v>
      </c>
      <c r="N1" s="3"/>
      <c r="O1" s="3" t="s">
        <v>1652</v>
      </c>
      <c r="P1" s="14" t="s">
        <v>1653</v>
      </c>
      <c r="Q1" s="14" t="s">
        <v>1653</v>
      </c>
    </row>
    <row r="2">
      <c r="A2" s="3" t="s">
        <v>152</v>
      </c>
      <c r="B2" s="5">
        <v>309122.0</v>
      </c>
      <c r="C2" s="10">
        <v>0.0</v>
      </c>
      <c r="D2" s="3" t="s">
        <v>153</v>
      </c>
      <c r="E2" s="3">
        <f t="array" ref="E2">xlookup(D2,Sheet3!A:A,Sheet3!B:B)</f>
        <v>2</v>
      </c>
      <c r="F2" s="3" t="s">
        <v>109</v>
      </c>
      <c r="G2" s="3">
        <f t="array" ref="G2">xlookup(F2,Sheet2!A:A,Sheet2!B:B)</f>
        <v>49</v>
      </c>
      <c r="H2" s="3" t="s">
        <v>154</v>
      </c>
      <c r="I2" s="3" t="str">
        <f t="array" ref="I2">JOIN("", SORT(MID(LOWER(H2), SEQUENCE(LEN(H2)), 1)))</f>
        <v>     ,,aaaaaaaaaabdeeeehhhiijjklllnnnsssssy</v>
      </c>
      <c r="J2" s="3" t="s">
        <v>47</v>
      </c>
      <c r="K2" s="3">
        <f t="array" ref="K2">xlookup(J2,Sheet2!A:A,Sheet2!B:B)</f>
        <v>27</v>
      </c>
      <c r="L2" s="3" t="s">
        <v>154</v>
      </c>
      <c r="M2" s="3" t="s">
        <v>30</v>
      </c>
      <c r="N2" s="3">
        <f t="array" ref="N2">xlookup(M2,Sheet2!A:A,Sheet2!B:B)</f>
        <v>13</v>
      </c>
      <c r="O2" s="3" t="s">
        <v>154</v>
      </c>
      <c r="P2" s="4" t="str">
        <f t="shared" ref="P2:P358" si="1">CONCATENATE(C2," : [",G2,",",K2,",",N2,"],")</f>
        <v>0 : [49,27,13],</v>
      </c>
      <c r="Q2" s="4" t="str">
        <f t="shared" ref="Q2:Q358" si="2">CONCATENATE(C2," : ",E2,",")</f>
        <v>0 : 2,</v>
      </c>
    </row>
    <row r="3">
      <c r="A3" s="3" t="s">
        <v>155</v>
      </c>
      <c r="B3" s="5">
        <v>309123.0</v>
      </c>
      <c r="C3" s="10">
        <v>1.0</v>
      </c>
      <c r="D3" s="3" t="s">
        <v>153</v>
      </c>
      <c r="E3" s="3">
        <f t="array" ref="E3">xlookup(D3,Sheet3!A:A,Sheet3!B:B)</f>
        <v>2</v>
      </c>
      <c r="F3" s="3" t="s">
        <v>109</v>
      </c>
      <c r="G3" s="3">
        <f t="array" ref="G3">xlookup(F3,Sheet2!A:A,Sheet2!B:B)</f>
        <v>49</v>
      </c>
      <c r="H3" s="3" t="s">
        <v>156</v>
      </c>
      <c r="I3" s="3" t="str">
        <f t="array" ref="I3">JOIN("", SORT(MID(LOWER(H3), SEQUENCE(LEN(H3)), 1)))</f>
        <v>     ,,aaaaaaaaaabdeeeehhhiijjklllnnnsssssy</v>
      </c>
      <c r="J3" s="3" t="s">
        <v>47</v>
      </c>
      <c r="K3" s="3">
        <f t="array" ref="K3">xlookup(J3,Sheet2!A:A,Sheet2!B:B)</f>
        <v>27</v>
      </c>
      <c r="L3" s="3" t="s">
        <v>156</v>
      </c>
      <c r="M3" s="3" t="s">
        <v>30</v>
      </c>
      <c r="N3" s="3">
        <f t="array" ref="N3">xlookup(M3,Sheet2!A:A,Sheet2!B:B)</f>
        <v>13</v>
      </c>
      <c r="O3" s="3" t="s">
        <v>156</v>
      </c>
      <c r="P3" s="4" t="str">
        <f t="shared" si="1"/>
        <v>1 : [49,27,13],</v>
      </c>
      <c r="Q3" s="4" t="str">
        <f t="shared" si="2"/>
        <v>1 : 2,</v>
      </c>
    </row>
    <row r="4">
      <c r="A4" s="3" t="s">
        <v>157</v>
      </c>
      <c r="B4" s="5">
        <v>150236.0</v>
      </c>
      <c r="C4" s="10">
        <v>2.0</v>
      </c>
      <c r="D4" s="3" t="s">
        <v>153</v>
      </c>
      <c r="E4" s="3">
        <f t="array" ref="E4">xlookup(D4,Sheet3!A:A,Sheet3!B:B)</f>
        <v>2</v>
      </c>
      <c r="F4" s="3" t="s">
        <v>2</v>
      </c>
      <c r="G4" s="3">
        <f t="array" ref="G4">xlookup(F4,Sheet2!A:A,Sheet2!B:B)</f>
        <v>25</v>
      </c>
      <c r="H4" s="3" t="s">
        <v>3</v>
      </c>
      <c r="I4" s="3" t="str">
        <f t="array" ref="I4">JOIN("", SORT(MID(LOWER(H4), SEQUENCE(LEN(H4)), 1)))</f>
        <v>an</v>
      </c>
      <c r="J4" s="3" t="s">
        <v>105</v>
      </c>
      <c r="K4" s="3">
        <f t="array" ref="K4">xlookup(J4,Sheet2!A:A,Sheet2!B:B)</f>
        <v>26</v>
      </c>
      <c r="L4" s="3" t="s">
        <v>3</v>
      </c>
      <c r="M4" s="3" t="s">
        <v>120</v>
      </c>
      <c r="N4" s="3">
        <f t="array" ref="N4">xlookup(M4,Sheet2!A:A,Sheet2!B:B)</f>
        <v>42</v>
      </c>
      <c r="O4" s="3" t="s">
        <v>3</v>
      </c>
      <c r="P4" s="4" t="str">
        <f t="shared" si="1"/>
        <v>2 : [25,26,42],</v>
      </c>
      <c r="Q4" s="4" t="str">
        <f t="shared" si="2"/>
        <v>2 : 2,</v>
      </c>
    </row>
    <row r="5">
      <c r="A5" s="3" t="s">
        <v>117</v>
      </c>
      <c r="B5" s="5">
        <v>311130.0</v>
      </c>
      <c r="C5" s="10">
        <v>3.0</v>
      </c>
      <c r="D5" s="3" t="s">
        <v>118</v>
      </c>
      <c r="E5" s="3">
        <f t="array" ref="E5">xlookup(D5,Sheet3!A:A,Sheet3!B:B)</f>
        <v>3</v>
      </c>
      <c r="F5" s="3" t="s">
        <v>32</v>
      </c>
      <c r="G5" s="3">
        <f t="array" ref="G5">xlookup(F5,Sheet2!A:A,Sheet2!B:B)</f>
        <v>11</v>
      </c>
      <c r="H5" s="3" t="s">
        <v>3</v>
      </c>
      <c r="I5" s="3" t="str">
        <f t="array" ref="I5">JOIN("", SORT(MID(LOWER(H5), SEQUENCE(LEN(H5)), 1)))</f>
        <v>an</v>
      </c>
      <c r="J5" s="3" t="s">
        <v>34</v>
      </c>
      <c r="K5" s="3">
        <f t="array" ref="K5">xlookup(J5,Sheet2!A:A,Sheet2!B:B)</f>
        <v>8</v>
      </c>
      <c r="L5" s="3" t="s">
        <v>3</v>
      </c>
      <c r="M5" s="3" t="s">
        <v>114</v>
      </c>
      <c r="N5" s="3">
        <f t="array" ref="N5">xlookup(M5,Sheet2!A:A,Sheet2!B:B)</f>
        <v>12</v>
      </c>
      <c r="O5" s="3" t="s">
        <v>3</v>
      </c>
      <c r="P5" s="4" t="str">
        <f t="shared" si="1"/>
        <v>3 : [11,8,12],</v>
      </c>
      <c r="Q5" s="4" t="str">
        <f t="shared" si="2"/>
        <v>3 : 3,</v>
      </c>
    </row>
    <row r="6">
      <c r="A6" s="3" t="s">
        <v>0</v>
      </c>
      <c r="B6" s="5">
        <v>124187.0</v>
      </c>
      <c r="C6" s="10">
        <v>4.0</v>
      </c>
      <c r="D6" s="3" t="s">
        <v>1</v>
      </c>
      <c r="E6" s="3">
        <f t="array" ref="E6">xlookup(D6,Sheet3!A:A,Sheet3!B:B)</f>
        <v>5</v>
      </c>
      <c r="F6" s="3" t="s">
        <v>2</v>
      </c>
      <c r="G6" s="3">
        <f t="array" ref="G6">xlookup(F6,Sheet2!A:A,Sheet2!B:B)</f>
        <v>25</v>
      </c>
      <c r="H6" s="3" t="s">
        <v>3</v>
      </c>
      <c r="I6" s="3" t="str">
        <f t="array" ref="I6">JOIN("", SORT(MID(LOWER(H6), SEQUENCE(LEN(H6)), 1)))</f>
        <v>an</v>
      </c>
      <c r="J6" s="3" t="s">
        <v>4</v>
      </c>
      <c r="K6" s="3">
        <f t="array" ref="K6">xlookup(J6,Sheet2!A:A,Sheet2!B:B)</f>
        <v>23</v>
      </c>
      <c r="L6" s="3" t="s">
        <v>3</v>
      </c>
      <c r="M6" s="3" t="s">
        <v>5</v>
      </c>
      <c r="N6" s="3">
        <f t="array" ref="N6">xlookup(M6,Sheet2!A:A,Sheet2!B:B)</f>
        <v>35</v>
      </c>
      <c r="O6" s="3" t="s">
        <v>3</v>
      </c>
      <c r="P6" s="4" t="str">
        <f t="shared" si="1"/>
        <v>4 : [25,23,35],</v>
      </c>
      <c r="Q6" s="4" t="str">
        <f t="shared" si="2"/>
        <v>4 : 5,</v>
      </c>
    </row>
    <row r="7">
      <c r="A7" s="3" t="s">
        <v>281</v>
      </c>
      <c r="B7" s="5">
        <v>142597.0</v>
      </c>
      <c r="C7" s="10">
        <v>5.0</v>
      </c>
      <c r="D7" s="3" t="s">
        <v>282</v>
      </c>
      <c r="E7" s="3">
        <f t="array" ref="E7">xlookup(D7,Sheet3!A:A,Sheet3!B:B)</f>
        <v>1</v>
      </c>
      <c r="F7" s="3" t="s">
        <v>2</v>
      </c>
      <c r="G7" s="3">
        <f t="array" ref="G7">xlookup(F7,Sheet2!A:A,Sheet2!B:B)</f>
        <v>25</v>
      </c>
      <c r="H7" s="3" t="s">
        <v>3</v>
      </c>
      <c r="I7" s="3" t="str">
        <f t="array" ref="I7">JOIN("", SORT(MID(LOWER(H7), SEQUENCE(LEN(H7)), 1)))</f>
        <v>an</v>
      </c>
      <c r="J7" s="3" t="s">
        <v>120</v>
      </c>
      <c r="K7" s="3">
        <f t="array" ref="K7">xlookup(J7,Sheet2!A:A,Sheet2!B:B)</f>
        <v>42</v>
      </c>
      <c r="L7" s="3" t="s">
        <v>3</v>
      </c>
      <c r="M7" s="3" t="s">
        <v>105</v>
      </c>
      <c r="N7" s="3">
        <f t="array" ref="N7">xlookup(M7,Sheet2!A:A,Sheet2!B:B)</f>
        <v>26</v>
      </c>
      <c r="O7" s="3" t="s">
        <v>3</v>
      </c>
      <c r="P7" s="4" t="str">
        <f t="shared" si="1"/>
        <v>5 : [25,42,26],</v>
      </c>
      <c r="Q7" s="4" t="str">
        <f t="shared" si="2"/>
        <v>5 : 1,</v>
      </c>
    </row>
    <row r="8">
      <c r="A8" s="3" t="s">
        <v>158</v>
      </c>
      <c r="B8" s="5">
        <v>162386.0</v>
      </c>
      <c r="C8" s="10">
        <v>6.0</v>
      </c>
      <c r="D8" s="3" t="s">
        <v>153</v>
      </c>
      <c r="E8" s="3">
        <f t="array" ref="E8">xlookup(D8,Sheet3!A:A,Sheet3!B:B)</f>
        <v>2</v>
      </c>
      <c r="F8" s="3" t="s">
        <v>16</v>
      </c>
      <c r="G8" s="3">
        <f t="array" ref="G8">xlookup(F8,Sheet2!A:A,Sheet2!B:B)</f>
        <v>3</v>
      </c>
      <c r="H8" s="3" t="s">
        <v>3</v>
      </c>
      <c r="I8" s="3" t="str">
        <f t="array" ref="I8">JOIN("", SORT(MID(LOWER(H8), SEQUENCE(LEN(H8)), 1)))</f>
        <v>an</v>
      </c>
      <c r="J8" s="3" t="s">
        <v>15</v>
      </c>
      <c r="K8" s="3">
        <f t="array" ref="K8">xlookup(J8,Sheet2!A:A,Sheet2!B:B)</f>
        <v>0</v>
      </c>
      <c r="L8" s="3" t="s">
        <v>3</v>
      </c>
      <c r="M8" s="3" t="s">
        <v>5</v>
      </c>
      <c r="N8" s="3">
        <f t="array" ref="N8">xlookup(M8,Sheet2!A:A,Sheet2!B:B)</f>
        <v>35</v>
      </c>
      <c r="O8" s="3" t="s">
        <v>3</v>
      </c>
      <c r="P8" s="4" t="str">
        <f t="shared" si="1"/>
        <v>6 : [3,0,35],</v>
      </c>
      <c r="Q8" s="4" t="str">
        <f t="shared" si="2"/>
        <v>6 : 2,</v>
      </c>
    </row>
    <row r="9">
      <c r="A9" s="3" t="s">
        <v>283</v>
      </c>
      <c r="B9" s="5">
        <v>153462.0</v>
      </c>
      <c r="C9" s="10">
        <v>7.0</v>
      </c>
      <c r="D9" s="3" t="s">
        <v>282</v>
      </c>
      <c r="E9" s="3">
        <f t="array" ref="E9">xlookup(D9,Sheet3!A:A,Sheet3!B:B)</f>
        <v>1</v>
      </c>
      <c r="F9" s="3" t="s">
        <v>13</v>
      </c>
      <c r="G9" s="3">
        <f t="array" ref="G9">xlookup(F9,Sheet2!A:A,Sheet2!B:B)</f>
        <v>17</v>
      </c>
      <c r="H9" s="3" t="s">
        <v>3</v>
      </c>
      <c r="I9" s="3" t="str">
        <f t="array" ref="I9">JOIN("", SORT(MID(LOWER(H9), SEQUENCE(LEN(H9)), 1)))</f>
        <v>an</v>
      </c>
      <c r="J9" s="3" t="s">
        <v>167</v>
      </c>
      <c r="K9" s="3">
        <f t="array" ref="K9">xlookup(J9,Sheet2!A:A,Sheet2!B:B)</f>
        <v>33</v>
      </c>
      <c r="L9" s="3" t="s">
        <v>3</v>
      </c>
      <c r="M9" s="3" t="s">
        <v>38</v>
      </c>
      <c r="N9" s="3">
        <f t="array" ref="N9">xlookup(M9,Sheet2!A:A,Sheet2!B:B)</f>
        <v>6</v>
      </c>
      <c r="O9" s="3" t="s">
        <v>3</v>
      </c>
      <c r="P9" s="4" t="str">
        <f t="shared" si="1"/>
        <v>7 : [17,33,6],</v>
      </c>
      <c r="Q9" s="4" t="str">
        <f t="shared" si="2"/>
        <v>7 : 1,</v>
      </c>
    </row>
    <row r="10">
      <c r="A10" s="3" t="s">
        <v>284</v>
      </c>
      <c r="B10" s="5">
        <v>182837.0</v>
      </c>
      <c r="C10" s="10">
        <v>8.0</v>
      </c>
      <c r="D10" s="3" t="s">
        <v>282</v>
      </c>
      <c r="E10" s="3">
        <f t="array" ref="E10">xlookup(D10,Sheet3!A:A,Sheet3!B:B)</f>
        <v>1</v>
      </c>
      <c r="F10" s="3" t="s">
        <v>61</v>
      </c>
      <c r="G10" s="3">
        <f t="array" ref="G10">xlookup(F10,Sheet2!A:A,Sheet2!B:B)</f>
        <v>31</v>
      </c>
      <c r="H10" s="3" t="s">
        <v>59</v>
      </c>
      <c r="I10" s="3" t="str">
        <f t="array" ref="I10">JOIN("", SORT(MID(LOWER(H10), SEQUENCE(LEN(H10)), 1)))</f>
        <v> acehnnuyy</v>
      </c>
      <c r="J10" s="3" t="s">
        <v>63</v>
      </c>
      <c r="K10" s="3">
        <f t="array" ref="K10">xlookup(J10,Sheet2!A:A,Sheet2!B:B)</f>
        <v>29</v>
      </c>
      <c r="L10" s="3" t="s">
        <v>59</v>
      </c>
      <c r="M10" s="3" t="s">
        <v>64</v>
      </c>
      <c r="N10" s="3">
        <f t="array" ref="N10">xlookup(M10,Sheet2!A:A,Sheet2!B:B)</f>
        <v>30</v>
      </c>
      <c r="O10" s="3" t="s">
        <v>59</v>
      </c>
      <c r="P10" s="4" t="str">
        <f t="shared" si="1"/>
        <v>8 : [31,29,30],</v>
      </c>
      <c r="Q10" s="4" t="str">
        <f t="shared" si="2"/>
        <v>8 : 1,</v>
      </c>
    </row>
    <row r="11">
      <c r="A11" s="3" t="s">
        <v>59</v>
      </c>
      <c r="B11" s="5">
        <v>120747.0</v>
      </c>
      <c r="C11" s="10">
        <v>9.0</v>
      </c>
      <c r="D11" s="3" t="s">
        <v>60</v>
      </c>
      <c r="E11" s="3">
        <f t="array" ref="E11">xlookup(D11,Sheet3!A:A,Sheet3!B:B)</f>
        <v>4</v>
      </c>
      <c r="F11" s="3" t="s">
        <v>61</v>
      </c>
      <c r="G11" s="3">
        <f t="array" ref="G11">xlookup(F11,Sheet2!A:A,Sheet2!B:B)</f>
        <v>31</v>
      </c>
      <c r="H11" s="3" t="s">
        <v>62</v>
      </c>
      <c r="I11" s="3" t="str">
        <f t="array" ref="I11">JOIN("", SORT(MID(LOWER(H11), SEQUENCE(LEN(H11)), 1)))</f>
        <v>   ,aceeghijjnnnnoouuyyy</v>
      </c>
      <c r="J11" s="3" t="s">
        <v>63</v>
      </c>
      <c r="K11" s="3">
        <f t="array" ref="K11">xlookup(J11,Sheet2!A:A,Sheet2!B:B)</f>
        <v>29</v>
      </c>
      <c r="L11" s="3" t="s">
        <v>62</v>
      </c>
      <c r="M11" s="3" t="s">
        <v>64</v>
      </c>
      <c r="N11" s="3">
        <f t="array" ref="N11">xlookup(M11,Sheet2!A:A,Sheet2!B:B)</f>
        <v>30</v>
      </c>
      <c r="O11" s="3" t="s">
        <v>62</v>
      </c>
      <c r="P11" s="4" t="str">
        <f t="shared" si="1"/>
        <v>9 : [31,29,30],</v>
      </c>
      <c r="Q11" s="4" t="str">
        <f t="shared" si="2"/>
        <v>9 : 4,</v>
      </c>
    </row>
    <row r="12">
      <c r="A12" s="3" t="s">
        <v>119</v>
      </c>
      <c r="B12" s="5">
        <v>126515.0</v>
      </c>
      <c r="C12" s="10">
        <v>10.0</v>
      </c>
      <c r="D12" s="3" t="s">
        <v>118</v>
      </c>
      <c r="E12" s="3">
        <f t="array" ref="E12">xlookup(D12,Sheet3!A:A,Sheet3!B:B)</f>
        <v>3</v>
      </c>
      <c r="F12" s="3" t="s">
        <v>12</v>
      </c>
      <c r="G12" s="3">
        <f t="array" ref="G12">xlookup(F12,Sheet2!A:A,Sheet2!B:B)</f>
        <v>41</v>
      </c>
      <c r="H12" s="3" t="s">
        <v>3</v>
      </c>
      <c r="I12" s="3" t="str">
        <f t="array" ref="I12">JOIN("", SORT(MID(LOWER(H12), SEQUENCE(LEN(H12)), 1)))</f>
        <v>an</v>
      </c>
      <c r="J12" s="3" t="s">
        <v>120</v>
      </c>
      <c r="K12" s="3">
        <f t="array" ref="K12">xlookup(J12,Sheet2!A:A,Sheet2!B:B)</f>
        <v>42</v>
      </c>
      <c r="L12" s="3" t="s">
        <v>3</v>
      </c>
      <c r="M12" s="3" t="s">
        <v>38</v>
      </c>
      <c r="N12" s="3">
        <f t="array" ref="N12">xlookup(M12,Sheet2!A:A,Sheet2!B:B)</f>
        <v>6</v>
      </c>
      <c r="O12" s="3" t="s">
        <v>3</v>
      </c>
      <c r="P12" s="4" t="str">
        <f t="shared" si="1"/>
        <v>10 : [41,42,6],</v>
      </c>
      <c r="Q12" s="4" t="str">
        <f t="shared" si="2"/>
        <v>10 : 3,</v>
      </c>
    </row>
    <row r="13">
      <c r="A13" s="3" t="s">
        <v>6</v>
      </c>
      <c r="B13" s="5">
        <v>165888.0</v>
      </c>
      <c r="C13" s="10">
        <v>11.0</v>
      </c>
      <c r="D13" s="3" t="s">
        <v>1</v>
      </c>
      <c r="E13" s="3">
        <f t="array" ref="E13">xlookup(D13,Sheet3!A:A,Sheet3!B:B)</f>
        <v>5</v>
      </c>
      <c r="F13" s="3" t="s">
        <v>7</v>
      </c>
      <c r="G13" s="3">
        <f t="array" ref="G13">xlookup(F13,Sheet2!A:A,Sheet2!B:B)</f>
        <v>15</v>
      </c>
      <c r="H13" s="3" t="s">
        <v>8</v>
      </c>
      <c r="I13" s="3" t="str">
        <f t="array" ref="I13">JOIN("", SORT(MID(LOWER(H13), SEQUENCE(LEN(H13)), 1)))</f>
        <v>   ,aaaaaeeehhiilmnprrrrrsstuuu</v>
      </c>
      <c r="J13" s="3" t="s">
        <v>9</v>
      </c>
      <c r="K13" s="3">
        <f t="array" ref="K13">xlookup(J13,Sheet2!A:A,Sheet2!B:B)</f>
        <v>5</v>
      </c>
      <c r="L13" s="3" t="s">
        <v>8</v>
      </c>
      <c r="M13" s="3" t="s">
        <v>10</v>
      </c>
      <c r="N13" s="3">
        <f t="array" ref="N13">xlookup(M13,Sheet2!A:A,Sheet2!B:B)</f>
        <v>9</v>
      </c>
      <c r="O13" s="3" t="s">
        <v>8</v>
      </c>
      <c r="P13" s="4" t="str">
        <f t="shared" si="1"/>
        <v>11 : [15,5,9],</v>
      </c>
      <c r="Q13" s="4" t="str">
        <f t="shared" si="2"/>
        <v>11 : 5,</v>
      </c>
    </row>
    <row r="14">
      <c r="A14" s="3" t="s">
        <v>121</v>
      </c>
      <c r="B14" s="5">
        <v>153380.0</v>
      </c>
      <c r="C14" s="10">
        <v>12.0</v>
      </c>
      <c r="D14" s="3" t="s">
        <v>118</v>
      </c>
      <c r="E14" s="3">
        <f t="array" ref="E14">xlookup(D14,Sheet3!A:A,Sheet3!B:B)</f>
        <v>3</v>
      </c>
      <c r="F14" s="3" t="s">
        <v>15</v>
      </c>
      <c r="G14" s="3">
        <f t="array" ref="G14">xlookup(F14,Sheet2!A:A,Sheet2!B:B)</f>
        <v>0</v>
      </c>
      <c r="H14" s="3" t="s">
        <v>3</v>
      </c>
      <c r="I14" s="3" t="str">
        <f t="array" ref="I14">JOIN("", SORT(MID(LOWER(H14), SEQUENCE(LEN(H14)), 1)))</f>
        <v>an</v>
      </c>
      <c r="J14" s="3" t="s">
        <v>16</v>
      </c>
      <c r="K14" s="3">
        <f t="array" ref="K14">xlookup(J14,Sheet2!A:A,Sheet2!B:B)</f>
        <v>3</v>
      </c>
      <c r="L14" s="3" t="s">
        <v>3</v>
      </c>
      <c r="M14" s="3" t="s">
        <v>5</v>
      </c>
      <c r="N14" s="3">
        <f t="array" ref="N14">xlookup(M14,Sheet2!A:A,Sheet2!B:B)</f>
        <v>35</v>
      </c>
      <c r="O14" s="3" t="s">
        <v>3</v>
      </c>
      <c r="P14" s="4" t="str">
        <f t="shared" si="1"/>
        <v>12 : [0,3,35],</v>
      </c>
      <c r="Q14" s="4" t="str">
        <f t="shared" si="2"/>
        <v>12 : 3,</v>
      </c>
    </row>
    <row r="15">
      <c r="A15" s="3" t="s">
        <v>159</v>
      </c>
      <c r="B15" s="5">
        <v>319194.0</v>
      </c>
      <c r="C15" s="10">
        <v>13.0</v>
      </c>
      <c r="D15" s="3" t="s">
        <v>153</v>
      </c>
      <c r="E15" s="3">
        <f t="array" ref="E15">xlookup(D15,Sheet3!A:A,Sheet3!B:B)</f>
        <v>2</v>
      </c>
      <c r="F15" s="3" t="s">
        <v>21</v>
      </c>
      <c r="G15" s="3">
        <f t="array" ref="G15">xlookup(F15,Sheet2!A:A,Sheet2!B:B)</f>
        <v>10</v>
      </c>
      <c r="H15" s="3" t="s">
        <v>3</v>
      </c>
      <c r="I15" s="3" t="str">
        <f t="array" ref="I15">JOIN("", SORT(MID(LOWER(H15), SEQUENCE(LEN(H15)), 1)))</f>
        <v>an</v>
      </c>
      <c r="J15" s="3" t="s">
        <v>20</v>
      </c>
      <c r="K15" s="3">
        <f t="array" ref="K15">xlookup(J15,Sheet2!A:A,Sheet2!B:B)</f>
        <v>48</v>
      </c>
      <c r="L15" s="3" t="s">
        <v>3</v>
      </c>
      <c r="M15" s="3" t="s">
        <v>26</v>
      </c>
      <c r="N15" s="3">
        <f t="array" ref="N15">xlookup(M15,Sheet2!A:A,Sheet2!B:B)</f>
        <v>7</v>
      </c>
      <c r="O15" s="3" t="s">
        <v>3</v>
      </c>
      <c r="P15" s="4" t="str">
        <f t="shared" si="1"/>
        <v>13 : [10,48,7],</v>
      </c>
      <c r="Q15" s="4" t="str">
        <f t="shared" si="2"/>
        <v>13 : 2,</v>
      </c>
    </row>
    <row r="16">
      <c r="A16" s="3" t="s">
        <v>65</v>
      </c>
      <c r="B16" s="5">
        <v>137804.0</v>
      </c>
      <c r="C16" s="10">
        <v>14.0</v>
      </c>
      <c r="D16" s="3" t="s">
        <v>60</v>
      </c>
      <c r="E16" s="3">
        <f t="array" ref="E16">xlookup(D16,Sheet3!A:A,Sheet3!B:B)</f>
        <v>4</v>
      </c>
      <c r="F16" s="3" t="s">
        <v>7</v>
      </c>
      <c r="G16" s="3">
        <f t="array" ref="G16">xlookup(F16,Sheet2!A:A,Sheet2!B:B)</f>
        <v>15</v>
      </c>
      <c r="H16" s="3" t="s">
        <v>66</v>
      </c>
      <c r="I16" s="3" t="str">
        <f t="array" ref="I16">JOIN("", SORT(MID(LOWER(H16), SEQUENCE(LEN(H16)), 1)))</f>
        <v>   ,aaaaaeeehhiilmnprrrrrsstuuu</v>
      </c>
      <c r="J16" s="3" t="s">
        <v>9</v>
      </c>
      <c r="K16" s="3">
        <f t="array" ref="K16">xlookup(J16,Sheet2!A:A,Sheet2!B:B)</f>
        <v>5</v>
      </c>
      <c r="L16" s="3" t="s">
        <v>67</v>
      </c>
      <c r="M16" s="3" t="s">
        <v>10</v>
      </c>
      <c r="N16" s="3">
        <f t="array" ref="N16">xlookup(M16,Sheet2!A:A,Sheet2!B:B)</f>
        <v>9</v>
      </c>
      <c r="O16" s="3" t="s">
        <v>66</v>
      </c>
      <c r="P16" s="4" t="str">
        <f t="shared" si="1"/>
        <v>14 : [15,5,9],</v>
      </c>
      <c r="Q16" s="4" t="str">
        <f t="shared" si="2"/>
        <v>14 : 4,</v>
      </c>
    </row>
    <row r="17">
      <c r="A17" s="3" t="s">
        <v>160</v>
      </c>
      <c r="B17" s="5">
        <v>150736.0</v>
      </c>
      <c r="C17" s="10">
        <v>15.0</v>
      </c>
      <c r="D17" s="3" t="s">
        <v>153</v>
      </c>
      <c r="E17" s="3">
        <f t="array" ref="E17">xlookup(D17,Sheet3!A:A,Sheet3!B:B)</f>
        <v>2</v>
      </c>
      <c r="F17" s="3" t="s">
        <v>109</v>
      </c>
      <c r="G17" s="3">
        <f t="array" ref="G17">xlookup(F17,Sheet2!A:A,Sheet2!B:B)</f>
        <v>49</v>
      </c>
      <c r="H17" s="3" t="s">
        <v>161</v>
      </c>
      <c r="I17" s="3" t="str">
        <f t="array" ref="I17">JOIN("", SORT(MID(LOWER(H17), SEQUENCE(LEN(H17)), 1)))</f>
        <v>     ,,aaaaaaaaaabdeeeehhhiijjklllnnnsssssy</v>
      </c>
      <c r="J17" s="3" t="s">
        <v>47</v>
      </c>
      <c r="K17" s="3">
        <f t="array" ref="K17">xlookup(J17,Sheet2!A:A,Sheet2!B:B)</f>
        <v>27</v>
      </c>
      <c r="L17" s="3" t="s">
        <v>161</v>
      </c>
      <c r="M17" s="3" t="s">
        <v>30</v>
      </c>
      <c r="N17" s="3">
        <f t="array" ref="N17">xlookup(M17,Sheet2!A:A,Sheet2!B:B)</f>
        <v>13</v>
      </c>
      <c r="O17" s="3" t="s">
        <v>161</v>
      </c>
      <c r="P17" s="4" t="str">
        <f t="shared" si="1"/>
        <v>15 : [49,27,13],</v>
      </c>
      <c r="Q17" s="4" t="str">
        <f t="shared" si="2"/>
        <v>15 : 2,</v>
      </c>
    </row>
    <row r="18">
      <c r="A18" s="3" t="s">
        <v>162</v>
      </c>
      <c r="B18" s="5">
        <v>155629.0</v>
      </c>
      <c r="C18" s="10">
        <v>16.0</v>
      </c>
      <c r="D18" s="3" t="s">
        <v>153</v>
      </c>
      <c r="E18" s="3">
        <f t="array" ref="E18">xlookup(D18,Sheet3!A:A,Sheet3!B:B)</f>
        <v>2</v>
      </c>
      <c r="F18" s="3" t="s">
        <v>16</v>
      </c>
      <c r="G18" s="3">
        <f t="array" ref="G18">xlookup(F18,Sheet2!A:A,Sheet2!B:B)</f>
        <v>3</v>
      </c>
      <c r="H18" s="3" t="s">
        <v>3</v>
      </c>
      <c r="I18" s="3" t="str">
        <f t="array" ref="I18">JOIN("", SORT(MID(LOWER(H18), SEQUENCE(LEN(H18)), 1)))</f>
        <v>an</v>
      </c>
      <c r="J18" s="3" t="s">
        <v>5</v>
      </c>
      <c r="K18" s="3">
        <f t="array" ref="K18">xlookup(J18,Sheet2!A:A,Sheet2!B:B)</f>
        <v>35</v>
      </c>
      <c r="L18" s="3" t="s">
        <v>3</v>
      </c>
      <c r="M18" s="3" t="s">
        <v>15</v>
      </c>
      <c r="N18" s="3">
        <f t="array" ref="N18">xlookup(M18,Sheet2!A:A,Sheet2!B:B)</f>
        <v>0</v>
      </c>
      <c r="O18" s="3" t="s">
        <v>3</v>
      </c>
      <c r="P18" s="4" t="str">
        <f t="shared" si="1"/>
        <v>16 : [3,35,0],</v>
      </c>
      <c r="Q18" s="4" t="str">
        <f t="shared" si="2"/>
        <v>16 : 2,</v>
      </c>
    </row>
    <row r="19">
      <c r="A19" s="3" t="s">
        <v>163</v>
      </c>
      <c r="B19" s="5">
        <v>118860.0</v>
      </c>
      <c r="C19" s="10">
        <v>17.0</v>
      </c>
      <c r="D19" s="3" t="s">
        <v>153</v>
      </c>
      <c r="E19" s="3">
        <f t="array" ref="E19">xlookup(D19,Sheet3!A:A,Sheet3!B:B)</f>
        <v>2</v>
      </c>
      <c r="F19" s="3" t="s">
        <v>105</v>
      </c>
      <c r="G19" s="3">
        <f t="array" ref="G19">xlookup(F19,Sheet2!A:A,Sheet2!B:B)</f>
        <v>26</v>
      </c>
      <c r="H19" s="3" t="s">
        <v>3</v>
      </c>
      <c r="I19" s="3" t="str">
        <f t="array" ref="I19">JOIN("", SORT(MID(LOWER(H19), SEQUENCE(LEN(H19)), 1)))</f>
        <v>an</v>
      </c>
      <c r="J19" s="3" t="s">
        <v>4</v>
      </c>
      <c r="K19" s="3">
        <f t="array" ref="K19">xlookup(J19,Sheet2!A:A,Sheet2!B:B)</f>
        <v>23</v>
      </c>
      <c r="L19" s="3" t="s">
        <v>3</v>
      </c>
      <c r="M19" s="3" t="s">
        <v>2</v>
      </c>
      <c r="N19" s="3">
        <f t="array" ref="N19">xlookup(M19,Sheet2!A:A,Sheet2!B:B)</f>
        <v>25</v>
      </c>
      <c r="O19" s="3" t="s">
        <v>3</v>
      </c>
      <c r="P19" s="4" t="str">
        <f t="shared" si="1"/>
        <v>17 : [26,23,25],</v>
      </c>
      <c r="Q19" s="4" t="str">
        <f t="shared" si="2"/>
        <v>17 : 2,</v>
      </c>
    </row>
    <row r="20">
      <c r="A20" s="3" t="s">
        <v>68</v>
      </c>
      <c r="B20" s="5">
        <v>324008.0</v>
      </c>
      <c r="C20" s="10">
        <v>18.0</v>
      </c>
      <c r="D20" s="3" t="s">
        <v>60</v>
      </c>
      <c r="E20" s="3">
        <f t="array" ref="E20">xlookup(D20,Sheet3!A:A,Sheet3!B:B)</f>
        <v>4</v>
      </c>
      <c r="F20" s="3" t="s">
        <v>21</v>
      </c>
      <c r="G20" s="3">
        <f t="array" ref="G20">xlookup(F20,Sheet2!A:A,Sheet2!B:B)</f>
        <v>10</v>
      </c>
      <c r="H20" s="3" t="s">
        <v>69</v>
      </c>
      <c r="I20" s="3" t="str">
        <f t="array" ref="I20">JOIN("", SORT(MID(LOWER(H20), SEQUENCE(LEN(H20)), 1)))</f>
        <v>     ,,aaaaaacdeegghiiilmnnnnorrtvyy</v>
      </c>
      <c r="J20" s="3" t="s">
        <v>26</v>
      </c>
      <c r="K20" s="3">
        <f t="array" ref="K20">xlookup(J20,Sheet2!A:A,Sheet2!B:B)</f>
        <v>7</v>
      </c>
      <c r="L20" s="3" t="s">
        <v>69</v>
      </c>
      <c r="M20" s="3" t="s">
        <v>20</v>
      </c>
      <c r="N20" s="3">
        <f t="array" ref="N20">xlookup(M20,Sheet2!A:A,Sheet2!B:B)</f>
        <v>48</v>
      </c>
      <c r="O20" s="3" t="s">
        <v>69</v>
      </c>
      <c r="P20" s="4" t="str">
        <f t="shared" si="1"/>
        <v>18 : [10,7,48],</v>
      </c>
      <c r="Q20" s="4" t="str">
        <f t="shared" si="2"/>
        <v>18 : 4,</v>
      </c>
    </row>
    <row r="21">
      <c r="A21" s="3" t="s">
        <v>70</v>
      </c>
      <c r="B21" s="5">
        <v>110390.0</v>
      </c>
      <c r="C21" s="10">
        <v>19.0</v>
      </c>
      <c r="D21" s="3" t="s">
        <v>60</v>
      </c>
      <c r="E21" s="3">
        <f t="array" ref="E21">xlookup(D21,Sheet3!A:A,Sheet3!B:B)</f>
        <v>4</v>
      </c>
      <c r="F21" s="3" t="s">
        <v>9</v>
      </c>
      <c r="G21" s="3">
        <f t="array" ref="G21">xlookup(F21,Sheet2!A:A,Sheet2!B:B)</f>
        <v>5</v>
      </c>
      <c r="H21" s="3" t="s">
        <v>71</v>
      </c>
      <c r="I21" s="3" t="str">
        <f t="array" ref="I21">JOIN("", SORT(MID(LOWER(H21), SEQUENCE(LEN(H21)), 1)))</f>
        <v>   ,abceeghiklmnooptuvwy</v>
      </c>
      <c r="J21" s="3" t="s">
        <v>10</v>
      </c>
      <c r="K21" s="3">
        <f t="array" ref="K21">xlookup(J21,Sheet2!A:A,Sheet2!B:B)</f>
        <v>9</v>
      </c>
      <c r="L21" s="3" t="s">
        <v>71</v>
      </c>
      <c r="M21" s="3" t="s">
        <v>72</v>
      </c>
      <c r="N21" s="3">
        <f t="array" ref="N21">xlookup(M21,Sheet2!A:A,Sheet2!B:B)</f>
        <v>34</v>
      </c>
      <c r="O21" s="3" t="s">
        <v>71</v>
      </c>
      <c r="P21" s="4" t="str">
        <f t="shared" si="1"/>
        <v>19 : [5,9,34],</v>
      </c>
      <c r="Q21" s="4" t="str">
        <f t="shared" si="2"/>
        <v>19 : 4,</v>
      </c>
    </row>
    <row r="22">
      <c r="A22" s="3" t="s">
        <v>164</v>
      </c>
      <c r="B22" s="5">
        <v>174961.0</v>
      </c>
      <c r="C22" s="10">
        <v>20.0</v>
      </c>
      <c r="D22" s="3" t="s">
        <v>153</v>
      </c>
      <c r="E22" s="3">
        <f t="array" ref="E22">xlookup(D22,Sheet3!A:A,Sheet3!B:B)</f>
        <v>2</v>
      </c>
      <c r="F22" s="3" t="s">
        <v>21</v>
      </c>
      <c r="G22" s="3">
        <f t="array" ref="G22">xlookup(F22,Sheet2!A:A,Sheet2!B:B)</f>
        <v>10</v>
      </c>
      <c r="H22" s="3" t="s">
        <v>165</v>
      </c>
      <c r="I22" s="3" t="str">
        <f t="array" ref="I22">JOIN("", SORT(MID(LOWER(H22), SEQUENCE(LEN(H22)), 1)))</f>
        <v>     ,,aaaaaacdeegghiiilmnnnnorrtvyy</v>
      </c>
      <c r="J22" s="3" t="s">
        <v>26</v>
      </c>
      <c r="K22" s="3">
        <f t="array" ref="K22">xlookup(J22,Sheet2!A:A,Sheet2!B:B)</f>
        <v>7</v>
      </c>
      <c r="L22" s="3" t="s">
        <v>165</v>
      </c>
      <c r="M22" s="3" t="s">
        <v>20</v>
      </c>
      <c r="N22" s="3">
        <f t="array" ref="N22">xlookup(M22,Sheet2!A:A,Sheet2!B:B)</f>
        <v>48</v>
      </c>
      <c r="O22" s="3" t="s">
        <v>165</v>
      </c>
      <c r="P22" s="4" t="str">
        <f t="shared" si="1"/>
        <v>20 : [10,7,48],</v>
      </c>
      <c r="Q22" s="4" t="str">
        <f t="shared" si="2"/>
        <v>20 : 2,</v>
      </c>
    </row>
    <row r="23">
      <c r="A23" s="3" t="s">
        <v>166</v>
      </c>
      <c r="B23" s="5">
        <v>308141.0</v>
      </c>
      <c r="C23" s="10">
        <v>21.0</v>
      </c>
      <c r="D23" s="3" t="s">
        <v>153</v>
      </c>
      <c r="E23" s="3">
        <f t="array" ref="E23">xlookup(D23,Sheet3!A:A,Sheet3!B:B)</f>
        <v>2</v>
      </c>
      <c r="F23" s="3" t="s">
        <v>40</v>
      </c>
      <c r="G23" s="3">
        <f t="array" ref="G23">xlookup(F23,Sheet2!A:A,Sheet2!B:B)</f>
        <v>44</v>
      </c>
      <c r="H23" s="3" t="s">
        <v>3</v>
      </c>
      <c r="I23" s="3" t="str">
        <f t="array" ref="I23">JOIN("", SORT(MID(LOWER(H23), SEQUENCE(LEN(H23)), 1)))</f>
        <v>an</v>
      </c>
      <c r="J23" s="3" t="s">
        <v>38</v>
      </c>
      <c r="K23" s="3">
        <f t="array" ref="K23">xlookup(J23,Sheet2!A:A,Sheet2!B:B)</f>
        <v>6</v>
      </c>
      <c r="L23" s="3" t="s">
        <v>3</v>
      </c>
      <c r="M23" s="3" t="s">
        <v>167</v>
      </c>
      <c r="N23" s="3">
        <f t="array" ref="N23">xlookup(M23,Sheet2!A:A,Sheet2!B:B)</f>
        <v>33</v>
      </c>
      <c r="O23" s="3" t="s">
        <v>3</v>
      </c>
      <c r="P23" s="4" t="str">
        <f t="shared" si="1"/>
        <v>21 : [44,6,33],</v>
      </c>
      <c r="Q23" s="4" t="str">
        <f t="shared" si="2"/>
        <v>21 : 2,</v>
      </c>
    </row>
    <row r="24">
      <c r="A24" s="3" t="s">
        <v>168</v>
      </c>
      <c r="B24" s="5">
        <v>136686.0</v>
      </c>
      <c r="C24" s="10">
        <v>22.0</v>
      </c>
      <c r="D24" s="3" t="s">
        <v>153</v>
      </c>
      <c r="E24" s="3">
        <f t="array" ref="E24">xlookup(D24,Sheet3!A:A,Sheet3!B:B)</f>
        <v>2</v>
      </c>
      <c r="F24" s="3" t="s">
        <v>18</v>
      </c>
      <c r="G24" s="3">
        <f t="array" ref="G24">xlookup(F24,Sheet2!A:A,Sheet2!B:B)</f>
        <v>22</v>
      </c>
      <c r="H24" s="3" t="s">
        <v>169</v>
      </c>
      <c r="I24" s="3" t="str">
        <f t="array" ref="I24">JOIN("", SORT(MID(LOWER(H24), SEQUENCE(LEN(H24)), 1)))</f>
        <v>   ,’aadeghiiilnnnoosvwy</v>
      </c>
      <c r="J24" s="3" t="s">
        <v>26</v>
      </c>
      <c r="K24" s="3">
        <f t="array" ref="K24">xlookup(J24,Sheet2!A:A,Sheet2!B:B)</f>
        <v>7</v>
      </c>
      <c r="L24" s="3" t="s">
        <v>169</v>
      </c>
      <c r="M24" s="3" t="s">
        <v>170</v>
      </c>
      <c r="N24" s="3">
        <f t="array" ref="N24">xlookup(M24,Sheet2!A:A,Sheet2!B:B)</f>
        <v>16</v>
      </c>
      <c r="O24" s="3" t="s">
        <v>169</v>
      </c>
      <c r="P24" s="4" t="str">
        <f t="shared" si="1"/>
        <v>22 : [22,7,16],</v>
      </c>
      <c r="Q24" s="4" t="str">
        <f t="shared" si="2"/>
        <v>22 : 2,</v>
      </c>
    </row>
    <row r="25">
      <c r="A25" s="3" t="s">
        <v>285</v>
      </c>
      <c r="B25" s="5">
        <v>312060.0</v>
      </c>
      <c r="C25" s="10">
        <v>23.0</v>
      </c>
      <c r="D25" s="3" t="s">
        <v>282</v>
      </c>
      <c r="E25" s="3">
        <f t="array" ref="E25">xlookup(D25,Sheet3!A:A,Sheet3!B:B)</f>
        <v>1</v>
      </c>
      <c r="F25" s="3" t="s">
        <v>124</v>
      </c>
      <c r="G25" s="3">
        <f t="array" ref="G25">xlookup(F25,Sheet2!A:A,Sheet2!B:B)</f>
        <v>46</v>
      </c>
      <c r="H25" s="3" t="s">
        <v>3</v>
      </c>
      <c r="I25" s="3" t="str">
        <f t="array" ref="I25">JOIN("", SORT(MID(LOWER(H25), SEQUENCE(LEN(H25)), 1)))</f>
        <v>an</v>
      </c>
      <c r="J25" s="3" t="s">
        <v>204</v>
      </c>
      <c r="K25" s="3">
        <f t="array" ref="K25">xlookup(J25,Sheet2!A:A,Sheet2!B:B)</f>
        <v>43</v>
      </c>
      <c r="L25" s="3" t="s">
        <v>3</v>
      </c>
      <c r="M25" s="3" t="s">
        <v>5</v>
      </c>
      <c r="N25" s="3">
        <f t="array" ref="N25">xlookup(M25,Sheet2!A:A,Sheet2!B:B)</f>
        <v>35</v>
      </c>
      <c r="O25" s="3" t="s">
        <v>3</v>
      </c>
      <c r="P25" s="4" t="str">
        <f t="shared" si="1"/>
        <v>23 : [46,43,35],</v>
      </c>
      <c r="Q25" s="4" t="str">
        <f t="shared" si="2"/>
        <v>23 : 1,</v>
      </c>
    </row>
    <row r="26">
      <c r="A26" s="3" t="s">
        <v>11</v>
      </c>
      <c r="B26" s="5">
        <v>118662.0</v>
      </c>
      <c r="C26" s="10">
        <v>24.0</v>
      </c>
      <c r="D26" s="3" t="s">
        <v>1</v>
      </c>
      <c r="E26" s="3">
        <f t="array" ref="E26">xlookup(D26,Sheet3!A:A,Sheet3!B:B)</f>
        <v>5</v>
      </c>
      <c r="F26" s="3" t="s">
        <v>12</v>
      </c>
      <c r="G26" s="3">
        <f t="array" ref="G26">xlookup(F26,Sheet2!A:A,Sheet2!B:B)</f>
        <v>41</v>
      </c>
      <c r="H26" s="3" t="s">
        <v>3</v>
      </c>
      <c r="I26" s="3" t="str">
        <f t="array" ref="I26">JOIN("", SORT(MID(LOWER(H26), SEQUENCE(LEN(H26)), 1)))</f>
        <v>an</v>
      </c>
      <c r="J26" s="3" t="s">
        <v>4</v>
      </c>
      <c r="K26" s="3">
        <f t="array" ref="K26">xlookup(J26,Sheet2!A:A,Sheet2!B:B)</f>
        <v>23</v>
      </c>
      <c r="L26" s="3" t="s">
        <v>3</v>
      </c>
      <c r="M26" s="3" t="s">
        <v>13</v>
      </c>
      <c r="N26" s="3">
        <f t="array" ref="N26">xlookup(M26,Sheet2!A:A,Sheet2!B:B)</f>
        <v>17</v>
      </c>
      <c r="O26" s="3" t="s">
        <v>3</v>
      </c>
      <c r="P26" s="4" t="str">
        <f t="shared" si="1"/>
        <v>24 : [41,23,17],</v>
      </c>
      <c r="Q26" s="4" t="str">
        <f t="shared" si="2"/>
        <v>24 : 5,</v>
      </c>
    </row>
    <row r="27">
      <c r="A27" s="3" t="s">
        <v>122</v>
      </c>
      <c r="B27" s="5">
        <v>111264.0</v>
      </c>
      <c r="C27" s="10">
        <v>25.0</v>
      </c>
      <c r="D27" s="3" t="s">
        <v>118</v>
      </c>
      <c r="E27" s="3">
        <f t="array" ref="E27">xlookup(D27,Sheet3!A:A,Sheet3!B:B)</f>
        <v>3</v>
      </c>
      <c r="F27" s="3" t="s">
        <v>114</v>
      </c>
      <c r="G27" s="3">
        <f t="array" ref="G27">xlookup(F27,Sheet2!A:A,Sheet2!B:B)</f>
        <v>12</v>
      </c>
      <c r="H27" s="3" t="s">
        <v>3</v>
      </c>
      <c r="I27" s="3" t="str">
        <f t="array" ref="I27">JOIN("", SORT(MID(LOWER(H27), SEQUENCE(LEN(H27)), 1)))</f>
        <v>an</v>
      </c>
      <c r="J27" s="3" t="s">
        <v>30</v>
      </c>
      <c r="K27" s="3">
        <f t="array" ref="K27">xlookup(J27,Sheet2!A:A,Sheet2!B:B)</f>
        <v>13</v>
      </c>
      <c r="L27" s="3" t="s">
        <v>3</v>
      </c>
      <c r="M27" s="3" t="s">
        <v>18</v>
      </c>
      <c r="N27" s="3">
        <f t="array" ref="N27">xlookup(M27,Sheet2!A:A,Sheet2!B:B)</f>
        <v>22</v>
      </c>
      <c r="O27" s="3" t="s">
        <v>3</v>
      </c>
      <c r="P27" s="4" t="str">
        <f t="shared" si="1"/>
        <v>25 : [12,13,22],</v>
      </c>
      <c r="Q27" s="4" t="str">
        <f t="shared" si="2"/>
        <v>25 : 3,</v>
      </c>
    </row>
    <row r="28">
      <c r="A28" s="3" t="s">
        <v>73</v>
      </c>
      <c r="B28" s="5">
        <v>111134.0</v>
      </c>
      <c r="C28" s="10">
        <v>26.0</v>
      </c>
      <c r="D28" s="3" t="s">
        <v>60</v>
      </c>
      <c r="E28" s="3">
        <f t="array" ref="E28">xlookup(D28,Sheet3!A:A,Sheet3!B:B)</f>
        <v>4</v>
      </c>
      <c r="F28" s="3" t="s">
        <v>74</v>
      </c>
      <c r="G28" s="3">
        <f t="array" ref="G28">xlookup(F28,Sheet2!A:A,Sheet2!B:B)</f>
        <v>50</v>
      </c>
      <c r="H28" s="3" t="s">
        <v>75</v>
      </c>
      <c r="I28" s="3" t="str">
        <f t="array" ref="I28">JOIN("", SORT(MID(LOWER(H28), SEQUENCE(LEN(H28)), 1)))</f>
        <v>   ,aaeehhhiikllmnnorrrssttuu</v>
      </c>
      <c r="J28" s="3" t="s">
        <v>76</v>
      </c>
      <c r="K28" s="3">
        <f t="array" ref="K28">xlookup(J28,Sheet2!A:A,Sheet2!B:B)</f>
        <v>24</v>
      </c>
      <c r="L28" s="3" t="s">
        <v>75</v>
      </c>
      <c r="M28" s="3" t="s">
        <v>72</v>
      </c>
      <c r="N28" s="3">
        <f t="array" ref="N28">xlookup(M28,Sheet2!A:A,Sheet2!B:B)</f>
        <v>34</v>
      </c>
      <c r="O28" s="3" t="s">
        <v>75</v>
      </c>
      <c r="P28" s="4" t="str">
        <f t="shared" si="1"/>
        <v>26 : [50,24,34],</v>
      </c>
      <c r="Q28" s="4" t="str">
        <f t="shared" si="2"/>
        <v>26 : 4,</v>
      </c>
    </row>
    <row r="29">
      <c r="A29" s="3" t="s">
        <v>171</v>
      </c>
      <c r="B29" s="5">
        <v>119064.0</v>
      </c>
      <c r="C29" s="10">
        <v>27.0</v>
      </c>
      <c r="D29" s="3" t="s">
        <v>153</v>
      </c>
      <c r="E29" s="3">
        <f t="array" ref="E29">xlookup(D29,Sheet3!A:A,Sheet3!B:B)</f>
        <v>2</v>
      </c>
      <c r="F29" s="3" t="s">
        <v>32</v>
      </c>
      <c r="G29" s="3">
        <f t="array" ref="G29">xlookup(F29,Sheet2!A:A,Sheet2!B:B)</f>
        <v>11</v>
      </c>
      <c r="H29" s="3" t="s">
        <v>172</v>
      </c>
      <c r="I29" s="3" t="str">
        <f t="array" ref="I29">JOIN("", SORT(MID(LOWER(H29), SEQUENCE(LEN(H29)), 1)))</f>
        <v>     ,,aaaaaacdeeeeeghiiiilmnnnnrrrvxyy</v>
      </c>
      <c r="J29" s="3" t="s">
        <v>114</v>
      </c>
      <c r="K29" s="3">
        <f t="array" ref="K29">xlookup(J29,Sheet2!A:A,Sheet2!B:B)</f>
        <v>12</v>
      </c>
      <c r="L29" s="3" t="s">
        <v>172</v>
      </c>
      <c r="M29" s="3" t="s">
        <v>47</v>
      </c>
      <c r="N29" s="3">
        <f t="array" ref="N29">xlookup(M29,Sheet2!A:A,Sheet2!B:B)</f>
        <v>27</v>
      </c>
      <c r="O29" s="3" t="s">
        <v>172</v>
      </c>
      <c r="P29" s="4" t="str">
        <f t="shared" si="1"/>
        <v>27 : [11,12,27],</v>
      </c>
      <c r="Q29" s="4" t="str">
        <f t="shared" si="2"/>
        <v>27 : 2,</v>
      </c>
    </row>
    <row r="30">
      <c r="A30" s="3" t="s">
        <v>173</v>
      </c>
      <c r="B30" s="5">
        <v>119030.0</v>
      </c>
      <c r="C30" s="10">
        <v>28.0</v>
      </c>
      <c r="D30" s="3" t="s">
        <v>153</v>
      </c>
      <c r="E30" s="3">
        <f t="array" ref="E30">xlookup(D30,Sheet3!A:A,Sheet3!B:B)</f>
        <v>2</v>
      </c>
      <c r="F30" s="3" t="s">
        <v>32</v>
      </c>
      <c r="G30" s="3">
        <f t="array" ref="G30">xlookup(F30,Sheet2!A:A,Sheet2!B:B)</f>
        <v>11</v>
      </c>
      <c r="H30" s="3" t="s">
        <v>174</v>
      </c>
      <c r="I30" s="3" t="str">
        <f t="array" ref="I30">JOIN("", SORT(MID(LOWER(H30), SEQUENCE(LEN(H30)), 1)))</f>
        <v>     ,,aaaaaacdeeeeeghiiiilmnnnnrrrvxyy</v>
      </c>
      <c r="J30" s="3" t="s">
        <v>114</v>
      </c>
      <c r="K30" s="3">
        <f t="array" ref="K30">xlookup(J30,Sheet2!A:A,Sheet2!B:B)</f>
        <v>12</v>
      </c>
      <c r="L30" s="3" t="s">
        <v>174</v>
      </c>
      <c r="M30" s="3" t="s">
        <v>47</v>
      </c>
      <c r="N30" s="3">
        <f t="array" ref="N30">xlookup(M30,Sheet2!A:A,Sheet2!B:B)</f>
        <v>27</v>
      </c>
      <c r="O30" s="3" t="s">
        <v>174</v>
      </c>
      <c r="P30" s="4" t="str">
        <f t="shared" si="1"/>
        <v>28 : [11,12,27],</v>
      </c>
      <c r="Q30" s="4" t="str">
        <f t="shared" si="2"/>
        <v>28 : 2,</v>
      </c>
    </row>
    <row r="31">
      <c r="A31" s="3" t="s">
        <v>175</v>
      </c>
      <c r="B31" s="5">
        <v>118927.0</v>
      </c>
      <c r="C31" s="10">
        <v>29.0</v>
      </c>
      <c r="D31" s="3" t="s">
        <v>153</v>
      </c>
      <c r="E31" s="3">
        <f t="array" ref="E31">xlookup(D31,Sheet3!A:A,Sheet3!B:B)</f>
        <v>2</v>
      </c>
      <c r="F31" s="3" t="s">
        <v>32</v>
      </c>
      <c r="G31" s="3">
        <f t="array" ref="G31">xlookup(F31,Sheet2!A:A,Sheet2!B:B)</f>
        <v>11</v>
      </c>
      <c r="H31" s="3" t="s">
        <v>176</v>
      </c>
      <c r="I31" s="3" t="str">
        <f t="array" ref="I31">JOIN("", SORT(MID(LOWER(H31), SEQUENCE(LEN(H31)), 1)))</f>
        <v>     ,,aaaaaacdeeeeeghiiiilmnnnnrrrvxyy</v>
      </c>
      <c r="J31" s="3" t="s">
        <v>114</v>
      </c>
      <c r="K31" s="3">
        <f t="array" ref="K31">xlookup(J31,Sheet2!A:A,Sheet2!B:B)</f>
        <v>12</v>
      </c>
      <c r="L31" s="3" t="s">
        <v>176</v>
      </c>
      <c r="M31" s="3" t="s">
        <v>47</v>
      </c>
      <c r="N31" s="3">
        <f t="array" ref="N31">xlookup(M31,Sheet2!A:A,Sheet2!B:B)</f>
        <v>27</v>
      </c>
      <c r="O31" s="3" t="s">
        <v>176</v>
      </c>
      <c r="P31" s="4" t="str">
        <f t="shared" si="1"/>
        <v>29 : [11,12,27],</v>
      </c>
      <c r="Q31" s="4" t="str">
        <f t="shared" si="2"/>
        <v>29 : 2,</v>
      </c>
    </row>
    <row r="32">
      <c r="A32" s="3" t="s">
        <v>458</v>
      </c>
      <c r="B32" s="5">
        <v>138695.0</v>
      </c>
      <c r="C32" s="10">
        <v>30.0</v>
      </c>
      <c r="D32" s="3" t="s">
        <v>459</v>
      </c>
      <c r="E32" s="3">
        <f t="array" ref="E32">xlookup(D32,Sheet3!A:A,Sheet3!B:B)</f>
        <v>0</v>
      </c>
      <c r="F32" s="3" t="s">
        <v>26</v>
      </c>
      <c r="G32" s="3">
        <f t="array" ref="G32">xlookup(F32,Sheet2!A:A,Sheet2!B:B)</f>
        <v>7</v>
      </c>
      <c r="H32" s="3" t="s">
        <v>460</v>
      </c>
      <c r="I32" s="3" t="str">
        <f t="array" ref="I32">JOIN("", SORT(MID(LOWER(H32), SEQUENCE(LEN(H32)), 1)))</f>
        <v>   ,aaaaaaaadggghijnnnnrrsy</v>
      </c>
      <c r="J32" s="3" t="s">
        <v>32</v>
      </c>
      <c r="K32" s="3">
        <f t="array" ref="K32">xlookup(J32,Sheet2!A:A,Sheet2!B:B)</f>
        <v>11</v>
      </c>
      <c r="L32" s="3" t="s">
        <v>460</v>
      </c>
      <c r="M32" s="3" t="s">
        <v>111</v>
      </c>
      <c r="N32" s="3">
        <f t="array" ref="N32">xlookup(M32,Sheet2!A:A,Sheet2!B:B)</f>
        <v>28</v>
      </c>
      <c r="O32" s="3" t="s">
        <v>460</v>
      </c>
      <c r="P32" s="4" t="str">
        <f t="shared" si="1"/>
        <v>30 : [7,11,28],</v>
      </c>
      <c r="Q32" s="4" t="str">
        <f t="shared" si="2"/>
        <v>30 : 0,</v>
      </c>
    </row>
    <row r="33">
      <c r="A33" s="3" t="s">
        <v>461</v>
      </c>
      <c r="B33" s="5">
        <v>318212.0</v>
      </c>
      <c r="C33" s="10">
        <v>31.0</v>
      </c>
      <c r="D33" s="3" t="s">
        <v>459</v>
      </c>
      <c r="E33" s="3">
        <f t="array" ref="E33">xlookup(D33,Sheet3!A:A,Sheet3!B:B)</f>
        <v>0</v>
      </c>
      <c r="F33" s="3" t="s">
        <v>26</v>
      </c>
      <c r="G33" s="3">
        <f t="array" ref="G33">xlookup(F33,Sheet2!A:A,Sheet2!B:B)</f>
        <v>7</v>
      </c>
      <c r="H33" s="3" t="s">
        <v>462</v>
      </c>
      <c r="I33" s="3" t="str">
        <f t="array" ref="I33">JOIN("", SORT(MID(LOWER(H33), SEQUENCE(LEN(H33)), 1)))</f>
        <v>   ,aaaaaaaadggghijnnnnrrsy</v>
      </c>
      <c r="J33" s="3" t="s">
        <v>32</v>
      </c>
      <c r="K33" s="3">
        <f t="array" ref="K33">xlookup(J33,Sheet2!A:A,Sheet2!B:B)</f>
        <v>11</v>
      </c>
      <c r="L33" s="3" t="s">
        <v>462</v>
      </c>
      <c r="M33" s="3" t="s">
        <v>111</v>
      </c>
      <c r="N33" s="3">
        <f t="array" ref="N33">xlookup(M33,Sheet2!A:A,Sheet2!B:B)</f>
        <v>28</v>
      </c>
      <c r="O33" s="3" t="s">
        <v>462</v>
      </c>
      <c r="P33" s="4" t="str">
        <f t="shared" si="1"/>
        <v>31 : [7,11,28],</v>
      </c>
      <c r="Q33" s="4" t="str">
        <f t="shared" si="2"/>
        <v>31 : 0,</v>
      </c>
    </row>
    <row r="34">
      <c r="A34" s="3" t="s">
        <v>286</v>
      </c>
      <c r="B34" s="5">
        <v>138050.0</v>
      </c>
      <c r="C34" s="10">
        <v>32.0</v>
      </c>
      <c r="D34" s="3" t="s">
        <v>282</v>
      </c>
      <c r="E34" s="3">
        <f t="array" ref="E34">xlookup(D34,Sheet3!A:A,Sheet3!B:B)</f>
        <v>1</v>
      </c>
      <c r="F34" s="3" t="s">
        <v>125</v>
      </c>
      <c r="G34" s="3">
        <f t="array" ref="G34">xlookup(F34,Sheet2!A:A,Sheet2!B:B)</f>
        <v>19</v>
      </c>
      <c r="H34" s="3" t="s">
        <v>287</v>
      </c>
      <c r="I34" s="3" t="str">
        <f t="array" ref="I34">JOIN("", SORT(MID(LOWER(H34), SEQUENCE(LEN(H34)), 1)))</f>
        <v>   ,aaaaabdddeeghhhklnnnprrrsstuy</v>
      </c>
      <c r="J34" s="3" t="s">
        <v>16</v>
      </c>
      <c r="K34" s="3">
        <f t="array" ref="K34">xlookup(J34,Sheet2!A:A,Sheet2!B:B)</f>
        <v>3</v>
      </c>
      <c r="L34" s="3" t="s">
        <v>288</v>
      </c>
      <c r="M34" s="3" t="s">
        <v>5</v>
      </c>
      <c r="N34" s="3">
        <f t="array" ref="N34">xlookup(M34,Sheet2!A:A,Sheet2!B:B)</f>
        <v>35</v>
      </c>
      <c r="O34" s="3" t="s">
        <v>288</v>
      </c>
      <c r="P34" s="4" t="str">
        <f t="shared" si="1"/>
        <v>32 : [19,3,35],</v>
      </c>
      <c r="Q34" s="4" t="str">
        <f t="shared" si="2"/>
        <v>32 : 1,</v>
      </c>
    </row>
    <row r="35">
      <c r="A35" s="3" t="s">
        <v>289</v>
      </c>
      <c r="B35" s="5">
        <v>138142.0</v>
      </c>
      <c r="C35" s="10">
        <v>33.0</v>
      </c>
      <c r="D35" s="3" t="s">
        <v>282</v>
      </c>
      <c r="E35" s="3">
        <f t="array" ref="E35">xlookup(D35,Sheet3!A:A,Sheet3!B:B)</f>
        <v>1</v>
      </c>
      <c r="F35" s="3" t="s">
        <v>125</v>
      </c>
      <c r="G35" s="3">
        <f t="array" ref="G35">xlookup(F35,Sheet2!A:A,Sheet2!B:B)</f>
        <v>19</v>
      </c>
      <c r="H35" s="3" t="s">
        <v>287</v>
      </c>
      <c r="I35" s="3" t="str">
        <f t="array" ref="I35">JOIN("", SORT(MID(LOWER(H35), SEQUENCE(LEN(H35)), 1)))</f>
        <v>   ,aaaaabdddeeghhhklnnnprrrsstuy</v>
      </c>
      <c r="J35" s="3" t="s">
        <v>16</v>
      </c>
      <c r="K35" s="3">
        <f t="array" ref="K35">xlookup(J35,Sheet2!A:A,Sheet2!B:B)</f>
        <v>3</v>
      </c>
      <c r="L35" s="3" t="s">
        <v>290</v>
      </c>
      <c r="M35" s="3" t="s">
        <v>5</v>
      </c>
      <c r="N35" s="3">
        <f t="array" ref="N35">xlookup(M35,Sheet2!A:A,Sheet2!B:B)</f>
        <v>35</v>
      </c>
      <c r="O35" s="3" t="s">
        <v>290</v>
      </c>
      <c r="P35" s="4" t="str">
        <f t="shared" si="1"/>
        <v>33 : [19,3,35],</v>
      </c>
      <c r="Q35" s="4" t="str">
        <f t="shared" si="2"/>
        <v>33 : 1,</v>
      </c>
    </row>
    <row r="36">
      <c r="A36" s="3" t="s">
        <v>463</v>
      </c>
      <c r="B36" s="5">
        <v>150842.0</v>
      </c>
      <c r="C36" s="10">
        <v>34.0</v>
      </c>
      <c r="D36" s="3" t="s">
        <v>459</v>
      </c>
      <c r="E36" s="3">
        <f t="array" ref="E36">xlookup(D36,Sheet3!A:A,Sheet3!B:B)</f>
        <v>0</v>
      </c>
      <c r="F36" s="3" t="s">
        <v>47</v>
      </c>
      <c r="G36" s="3">
        <f t="array" ref="G36">xlookup(F36,Sheet2!A:A,Sheet2!B:B)</f>
        <v>27</v>
      </c>
      <c r="H36" s="3" t="s">
        <v>3</v>
      </c>
      <c r="I36" s="3" t="str">
        <f t="array" ref="I36">JOIN("", SORT(MID(LOWER(H36), SEQUENCE(LEN(H36)), 1)))</f>
        <v>an</v>
      </c>
      <c r="J36" s="3" t="s">
        <v>184</v>
      </c>
      <c r="K36" s="3">
        <f t="array" ref="K36">xlookup(J36,Sheet2!A:A,Sheet2!B:B)</f>
        <v>4</v>
      </c>
      <c r="L36" s="3" t="s">
        <v>3</v>
      </c>
      <c r="M36" s="3" t="s">
        <v>12</v>
      </c>
      <c r="N36" s="3">
        <f t="array" ref="N36">xlookup(M36,Sheet2!A:A,Sheet2!B:B)</f>
        <v>41</v>
      </c>
      <c r="O36" s="3" t="s">
        <v>3</v>
      </c>
      <c r="P36" s="4" t="str">
        <f t="shared" si="1"/>
        <v>34 : [27,4,41],</v>
      </c>
      <c r="Q36" s="4" t="str">
        <f t="shared" si="2"/>
        <v>34 : 0,</v>
      </c>
    </row>
    <row r="37">
      <c r="A37" s="3" t="s">
        <v>77</v>
      </c>
      <c r="B37" s="5">
        <v>164480.0</v>
      </c>
      <c r="C37" s="10">
        <v>35.0</v>
      </c>
      <c r="D37" s="3" t="s">
        <v>60</v>
      </c>
      <c r="E37" s="3">
        <f t="array" ref="E37">xlookup(D37,Sheet3!A:A,Sheet3!B:B)</f>
        <v>4</v>
      </c>
      <c r="F37" s="3" t="s">
        <v>18</v>
      </c>
      <c r="G37" s="3">
        <f t="array" ref="G37">xlookup(F37,Sheet2!A:A,Sheet2!B:B)</f>
        <v>22</v>
      </c>
      <c r="H37" s="3" t="s">
        <v>78</v>
      </c>
      <c r="I37" s="3" t="str">
        <f t="array" ref="I37">JOIN("", SORT(MID(LOWER(H37), SEQUENCE(LEN(H37)), 1)))</f>
        <v>   ,aaaaaaghhiikkknnnnrrsw</v>
      </c>
      <c r="J37" s="3" t="s">
        <v>26</v>
      </c>
      <c r="K37" s="3">
        <f t="array" ref="K37">xlookup(J37,Sheet2!A:A,Sheet2!B:B)</f>
        <v>7</v>
      </c>
      <c r="L37" s="3" t="s">
        <v>78</v>
      </c>
      <c r="M37" s="3" t="s">
        <v>21</v>
      </c>
      <c r="N37" s="3">
        <f t="array" ref="N37">xlookup(M37,Sheet2!A:A,Sheet2!B:B)</f>
        <v>10</v>
      </c>
      <c r="O37" s="3" t="s">
        <v>78</v>
      </c>
      <c r="P37" s="4" t="str">
        <f t="shared" si="1"/>
        <v>35 : [22,7,10],</v>
      </c>
      <c r="Q37" s="4" t="str">
        <f t="shared" si="2"/>
        <v>35 : 4,</v>
      </c>
    </row>
    <row r="38">
      <c r="A38" s="3" t="s">
        <v>464</v>
      </c>
      <c r="B38" s="5">
        <v>206031.0</v>
      </c>
      <c r="C38" s="10">
        <v>36.0</v>
      </c>
      <c r="D38" s="3" t="s">
        <v>459</v>
      </c>
      <c r="E38" s="3">
        <f t="array" ref="E38">xlookup(D38,Sheet3!A:A,Sheet3!B:B)</f>
        <v>0</v>
      </c>
      <c r="F38" s="3" t="s">
        <v>401</v>
      </c>
      <c r="G38" s="3">
        <f t="array" ref="G38">xlookup(F38,Sheet2!A:A,Sheet2!B:B)</f>
        <v>38</v>
      </c>
      <c r="H38" s="3" t="s">
        <v>3</v>
      </c>
      <c r="I38" s="3" t="str">
        <f t="array" ref="I38">JOIN("", SORT(MID(LOWER(H38), SEQUENCE(LEN(H38)), 1)))</f>
        <v>an</v>
      </c>
      <c r="J38" s="3" t="s">
        <v>238</v>
      </c>
      <c r="K38" s="3">
        <f t="array" ref="K38">xlookup(J38,Sheet2!A:A,Sheet2!B:B)</f>
        <v>37</v>
      </c>
      <c r="L38" s="3" t="s">
        <v>3</v>
      </c>
      <c r="M38" s="3" t="s">
        <v>465</v>
      </c>
      <c r="N38" s="3">
        <f t="array" ref="N38">xlookup(M38,Sheet2!A:A,Sheet2!B:B)</f>
        <v>36</v>
      </c>
      <c r="O38" s="3" t="s">
        <v>3</v>
      </c>
      <c r="P38" s="4" t="str">
        <f t="shared" si="1"/>
        <v>36 : [38,37,36],</v>
      </c>
      <c r="Q38" s="4" t="str">
        <f t="shared" si="2"/>
        <v>36 : 0,</v>
      </c>
    </row>
    <row r="39">
      <c r="A39" s="3" t="s">
        <v>177</v>
      </c>
      <c r="B39" s="5">
        <v>184175.0</v>
      </c>
      <c r="C39" s="10">
        <v>37.0</v>
      </c>
      <c r="D39" s="3" t="s">
        <v>153</v>
      </c>
      <c r="E39" s="3">
        <f t="array" ref="E39">xlookup(D39,Sheet3!A:A,Sheet3!B:B)</f>
        <v>2</v>
      </c>
      <c r="F39" s="3" t="s">
        <v>64</v>
      </c>
      <c r="G39" s="3">
        <f t="array" ref="G39">xlookup(F39,Sheet2!A:A,Sheet2!B:B)</f>
        <v>30</v>
      </c>
      <c r="H39" s="3" t="s">
        <v>178</v>
      </c>
      <c r="I39" s="3" t="str">
        <f t="array" ref="I39">JOIN("", SORT(MID(LOWER(H39), SEQUENCE(LEN(H39)), 1)))</f>
        <v>   ,aaaaaaeghiknnnprsttuuy</v>
      </c>
      <c r="J39" s="3" t="s">
        <v>63</v>
      </c>
      <c r="K39" s="3">
        <f t="array" ref="K39">xlookup(J39,Sheet2!A:A,Sheet2!B:B)</f>
        <v>29</v>
      </c>
      <c r="L39" s="3" t="s">
        <v>178</v>
      </c>
      <c r="M39" s="3" t="s">
        <v>61</v>
      </c>
      <c r="N39" s="3">
        <f t="array" ref="N39">xlookup(M39,Sheet2!A:A,Sheet2!B:B)</f>
        <v>31</v>
      </c>
      <c r="O39" s="3" t="s">
        <v>178</v>
      </c>
      <c r="P39" s="4" t="str">
        <f t="shared" si="1"/>
        <v>37 : [30,29,31],</v>
      </c>
      <c r="Q39" s="4" t="str">
        <f t="shared" si="2"/>
        <v>37 : 2,</v>
      </c>
    </row>
    <row r="40">
      <c r="A40" s="3" t="s">
        <v>291</v>
      </c>
      <c r="B40" s="5">
        <v>137864.0</v>
      </c>
      <c r="C40" s="10">
        <v>38.0</v>
      </c>
      <c r="D40" s="3" t="s">
        <v>282</v>
      </c>
      <c r="E40" s="3">
        <f t="array" ref="E40">xlookup(D40,Sheet3!A:A,Sheet3!B:B)</f>
        <v>1</v>
      </c>
      <c r="F40" s="3" t="s">
        <v>74</v>
      </c>
      <c r="G40" s="3">
        <f t="array" ref="G40">xlookup(F40,Sheet2!A:A,Sheet2!B:B)</f>
        <v>50</v>
      </c>
      <c r="H40" s="3" t="s">
        <v>292</v>
      </c>
      <c r="I40" s="3" t="str">
        <f t="array" ref="I40">JOIN("", SORT(MID(LOWER(H40), SEQUENCE(LEN(H40)), 1)))</f>
        <v>   ,aaaaaeghhiknnnnrsstuuvvv</v>
      </c>
      <c r="J40" s="3" t="s">
        <v>10</v>
      </c>
      <c r="K40" s="3">
        <f t="array" ref="K40">xlookup(J40,Sheet2!A:A,Sheet2!B:B)</f>
        <v>9</v>
      </c>
      <c r="L40" s="3" t="s">
        <v>292</v>
      </c>
      <c r="M40" s="3" t="s">
        <v>125</v>
      </c>
      <c r="N40" s="3">
        <f t="array" ref="N40">xlookup(M40,Sheet2!A:A,Sheet2!B:B)</f>
        <v>19</v>
      </c>
      <c r="O40" s="3" t="s">
        <v>292</v>
      </c>
      <c r="P40" s="4" t="str">
        <f t="shared" si="1"/>
        <v>38 : [50,9,19],</v>
      </c>
      <c r="Q40" s="4" t="str">
        <f t="shared" si="2"/>
        <v>38 : 1,</v>
      </c>
    </row>
    <row r="41">
      <c r="A41" s="3" t="s">
        <v>179</v>
      </c>
      <c r="B41" s="5">
        <v>302489.0</v>
      </c>
      <c r="C41" s="10">
        <v>39.0</v>
      </c>
      <c r="D41" s="3" t="s">
        <v>153</v>
      </c>
      <c r="E41" s="3">
        <f t="array" ref="E41">xlookup(D41,Sheet3!A:A,Sheet3!B:B)</f>
        <v>2</v>
      </c>
      <c r="F41" s="3" t="s">
        <v>64</v>
      </c>
      <c r="G41" s="3">
        <f t="array" ref="G41">xlookup(F41,Sheet2!A:A,Sheet2!B:B)</f>
        <v>30</v>
      </c>
      <c r="H41" s="3" t="s">
        <v>180</v>
      </c>
      <c r="I41" s="3" t="str">
        <f t="array" ref="I41">JOIN("", SORT(MID(LOWER(H41), SEQUENCE(LEN(H41)), 1)))</f>
        <v>   ,aaaaaaeghiknnnprsttuuy</v>
      </c>
      <c r="J41" s="3" t="s">
        <v>63</v>
      </c>
      <c r="K41" s="3">
        <f t="array" ref="K41">xlookup(J41,Sheet2!A:A,Sheet2!B:B)</f>
        <v>29</v>
      </c>
      <c r="L41" s="3" t="s">
        <v>180</v>
      </c>
      <c r="M41" s="3" t="s">
        <v>61</v>
      </c>
      <c r="N41" s="3">
        <f t="array" ref="N41">xlookup(M41,Sheet2!A:A,Sheet2!B:B)</f>
        <v>31</v>
      </c>
      <c r="O41" s="3" t="s">
        <v>180</v>
      </c>
      <c r="P41" s="4" t="str">
        <f t="shared" si="1"/>
        <v>39 : [30,29,31],</v>
      </c>
      <c r="Q41" s="4" t="str">
        <f t="shared" si="2"/>
        <v>39 : 2,</v>
      </c>
    </row>
    <row r="42">
      <c r="A42" s="3" t="s">
        <v>181</v>
      </c>
      <c r="B42" s="5">
        <v>151889.0</v>
      </c>
      <c r="C42" s="10">
        <v>40.0</v>
      </c>
      <c r="D42" s="3" t="s">
        <v>153</v>
      </c>
      <c r="E42" s="3">
        <f t="array" ref="E42">xlookup(D42,Sheet3!A:A,Sheet3!B:B)</f>
        <v>2</v>
      </c>
      <c r="F42" s="3" t="s">
        <v>124</v>
      </c>
      <c r="G42" s="3">
        <f t="array" ref="G42">xlookup(F42,Sheet2!A:A,Sheet2!B:B)</f>
        <v>46</v>
      </c>
      <c r="H42" s="3" t="s">
        <v>3</v>
      </c>
      <c r="I42" s="3" t="str">
        <f t="array" ref="I42">JOIN("", SORT(MID(LOWER(H42), SEQUENCE(LEN(H42)), 1)))</f>
        <v>an</v>
      </c>
      <c r="J42" s="3" t="s">
        <v>16</v>
      </c>
      <c r="K42" s="3">
        <f t="array" ref="K42">xlookup(J42,Sheet2!A:A,Sheet2!B:B)</f>
        <v>3</v>
      </c>
      <c r="L42" s="3" t="s">
        <v>3</v>
      </c>
      <c r="M42" s="3" t="s">
        <v>105</v>
      </c>
      <c r="N42" s="3">
        <f t="array" ref="N42">xlookup(M42,Sheet2!A:A,Sheet2!B:B)</f>
        <v>26</v>
      </c>
      <c r="O42" s="10" t="s">
        <v>3</v>
      </c>
      <c r="P42" s="4" t="str">
        <f t="shared" si="1"/>
        <v>40 : [46,3,26],</v>
      </c>
      <c r="Q42" s="4" t="str">
        <f t="shared" si="2"/>
        <v>40 : 2,</v>
      </c>
    </row>
    <row r="43">
      <c r="A43" s="3" t="s">
        <v>293</v>
      </c>
      <c r="B43" s="5">
        <v>136735.0</v>
      </c>
      <c r="C43" s="10">
        <v>41.0</v>
      </c>
      <c r="D43" s="3" t="s">
        <v>282</v>
      </c>
      <c r="E43" s="3">
        <f t="array" ref="E43">xlookup(D43,Sheet3!A:A,Sheet3!B:B)</f>
        <v>1</v>
      </c>
      <c r="F43" s="3" t="s">
        <v>74</v>
      </c>
      <c r="G43" s="3">
        <f t="array" ref="G43">xlookup(F43,Sheet2!A:A,Sheet2!B:B)</f>
        <v>50</v>
      </c>
      <c r="H43" s="3" t="s">
        <v>294</v>
      </c>
      <c r="I43" s="3" t="str">
        <f t="array" ref="I43">JOIN("", SORT(MID(LOWER(H43), SEQUENCE(LEN(H43)), 1)))</f>
        <v>   ,aaaaaeghhiknnnnrsstuuvvv</v>
      </c>
      <c r="J43" s="3" t="s">
        <v>10</v>
      </c>
      <c r="K43" s="3">
        <f t="array" ref="K43">xlookup(J43,Sheet2!A:A,Sheet2!B:B)</f>
        <v>9</v>
      </c>
      <c r="L43" s="3" t="s">
        <v>294</v>
      </c>
      <c r="M43" s="3" t="s">
        <v>125</v>
      </c>
      <c r="N43" s="3">
        <f t="array" ref="N43">xlookup(M43,Sheet2!A:A,Sheet2!B:B)</f>
        <v>19</v>
      </c>
      <c r="O43" s="3" t="s">
        <v>294</v>
      </c>
      <c r="P43" s="4" t="str">
        <f t="shared" si="1"/>
        <v>41 : [50,9,19],</v>
      </c>
      <c r="Q43" s="4" t="str">
        <f t="shared" si="2"/>
        <v>41 : 1,</v>
      </c>
    </row>
    <row r="44">
      <c r="A44" s="3" t="s">
        <v>466</v>
      </c>
      <c r="B44" s="5">
        <v>137345.0</v>
      </c>
      <c r="C44" s="10">
        <v>42.0</v>
      </c>
      <c r="D44" s="3" t="s">
        <v>459</v>
      </c>
      <c r="E44" s="3">
        <f t="array" ref="E44">xlookup(D44,Sheet3!A:A,Sheet3!B:B)</f>
        <v>0</v>
      </c>
      <c r="F44" s="3" t="s">
        <v>18</v>
      </c>
      <c r="G44" s="3">
        <f t="array" ref="G44">xlookup(F44,Sheet2!A:A,Sheet2!B:B)</f>
        <v>22</v>
      </c>
      <c r="H44" s="3" t="s">
        <v>467</v>
      </c>
      <c r="I44" s="3" t="str">
        <f t="array" ref="I44">JOIN("", SORT(MID(LOWER(H44), SEQUENCE(LEN(H44)), 1)))</f>
        <v>   ,aaaaaeghhhknnnnprrstuuy</v>
      </c>
      <c r="J44" s="3" t="s">
        <v>184</v>
      </c>
      <c r="K44" s="3">
        <f t="array" ref="K44">xlookup(J44,Sheet2!A:A,Sheet2!B:B)</f>
        <v>4</v>
      </c>
      <c r="L44" s="3" t="s">
        <v>467</v>
      </c>
      <c r="M44" s="3" t="s">
        <v>26</v>
      </c>
      <c r="N44" s="3">
        <f t="array" ref="N44">xlookup(M44,Sheet2!A:A,Sheet2!B:B)</f>
        <v>7</v>
      </c>
      <c r="O44" s="3" t="s">
        <v>467</v>
      </c>
      <c r="P44" s="4" t="str">
        <f t="shared" si="1"/>
        <v>42 : [22,4,7],</v>
      </c>
      <c r="Q44" s="4" t="str">
        <f t="shared" si="2"/>
        <v>42 : 0,</v>
      </c>
    </row>
    <row r="45">
      <c r="A45" s="3" t="s">
        <v>182</v>
      </c>
      <c r="B45" s="5">
        <v>138399.0</v>
      </c>
      <c r="C45" s="10">
        <v>43.0</v>
      </c>
      <c r="D45" s="3" t="s">
        <v>153</v>
      </c>
      <c r="E45" s="3">
        <f t="array" ref="E45">xlookup(D45,Sheet3!A:A,Sheet3!B:B)</f>
        <v>2</v>
      </c>
      <c r="F45" s="3" t="s">
        <v>18</v>
      </c>
      <c r="G45" s="3">
        <f t="array" ref="G45">xlookup(F45,Sheet2!A:A,Sheet2!B:B)</f>
        <v>22</v>
      </c>
      <c r="H45" s="3" t="s">
        <v>183</v>
      </c>
      <c r="I45" s="3" t="str">
        <f t="array" ref="I45">JOIN("", SORT(MID(LOWER(H45), SEQUENCE(LEN(H45)), 1)))</f>
        <v>   ,aaaaaeghhhknnnnprrstuuy</v>
      </c>
      <c r="J45" s="3" t="s">
        <v>184</v>
      </c>
      <c r="K45" s="3">
        <f t="array" ref="K45">xlookup(J45,Sheet2!A:A,Sheet2!B:B)</f>
        <v>4</v>
      </c>
      <c r="L45" s="3" t="s">
        <v>183</v>
      </c>
      <c r="M45" s="3" t="s">
        <v>26</v>
      </c>
      <c r="N45" s="3">
        <f t="array" ref="N45">xlookup(M45,Sheet2!A:A,Sheet2!B:B)</f>
        <v>7</v>
      </c>
      <c r="O45" s="3" t="s">
        <v>183</v>
      </c>
      <c r="P45" s="4" t="str">
        <f t="shared" si="1"/>
        <v>43 : [22,4,7],</v>
      </c>
      <c r="Q45" s="4" t="str">
        <f t="shared" si="2"/>
        <v>43 : 2,</v>
      </c>
    </row>
    <row r="46">
      <c r="A46" s="3" t="s">
        <v>185</v>
      </c>
      <c r="B46" s="5">
        <v>136292.0</v>
      </c>
      <c r="C46" s="10">
        <v>44.0</v>
      </c>
      <c r="D46" s="3" t="s">
        <v>153</v>
      </c>
      <c r="E46" s="3">
        <f t="array" ref="E46">xlookup(D46,Sheet3!A:A,Sheet3!B:B)</f>
        <v>2</v>
      </c>
      <c r="F46" s="3" t="s">
        <v>18</v>
      </c>
      <c r="G46" s="3">
        <f t="array" ref="G46">xlookup(F46,Sheet2!A:A,Sheet2!B:B)</f>
        <v>22</v>
      </c>
      <c r="H46" s="3" t="s">
        <v>186</v>
      </c>
      <c r="I46" s="3" t="str">
        <f t="array" ref="I46">JOIN("", SORT(MID(LOWER(H46), SEQUENCE(LEN(H46)), 1)))</f>
        <v>   ,'aadeghiiilnnnoosvwy</v>
      </c>
      <c r="J46" s="3" t="s">
        <v>26</v>
      </c>
      <c r="K46" s="3">
        <f t="array" ref="K46">xlookup(J46,Sheet2!A:A,Sheet2!B:B)</f>
        <v>7</v>
      </c>
      <c r="L46" s="3" t="s">
        <v>186</v>
      </c>
      <c r="M46" s="3" t="s">
        <v>170</v>
      </c>
      <c r="N46" s="3">
        <f t="array" ref="N46">xlookup(M46,Sheet2!A:A,Sheet2!B:B)</f>
        <v>16</v>
      </c>
      <c r="O46" s="3" t="s">
        <v>186</v>
      </c>
      <c r="P46" s="4" t="str">
        <f t="shared" si="1"/>
        <v>44 : [22,7,16],</v>
      </c>
      <c r="Q46" s="4" t="str">
        <f t="shared" si="2"/>
        <v>44 : 2,</v>
      </c>
    </row>
    <row r="47">
      <c r="A47" s="3" t="s">
        <v>295</v>
      </c>
      <c r="B47" s="5">
        <v>163774.0</v>
      </c>
      <c r="C47" s="10">
        <v>45.0</v>
      </c>
      <c r="D47" s="3" t="s">
        <v>282</v>
      </c>
      <c r="E47" s="3">
        <f t="array" ref="E47">xlookup(D47,Sheet3!A:A,Sheet3!B:B)</f>
        <v>1</v>
      </c>
      <c r="F47" s="3" t="s">
        <v>64</v>
      </c>
      <c r="G47" s="3">
        <f t="array" ref="G47">xlookup(F47,Sheet2!A:A,Sheet2!B:B)</f>
        <v>30</v>
      </c>
      <c r="H47" s="3" t="s">
        <v>3</v>
      </c>
      <c r="I47" s="3" t="str">
        <f t="array" ref="I47">JOIN("", SORT(MID(LOWER(H47), SEQUENCE(LEN(H47)), 1)))</f>
        <v>an</v>
      </c>
      <c r="J47" s="3" t="s">
        <v>63</v>
      </c>
      <c r="K47" s="3">
        <f t="array" ref="K47">xlookup(J47,Sheet2!A:A,Sheet2!B:B)</f>
        <v>29</v>
      </c>
      <c r="L47" s="3" t="s">
        <v>3</v>
      </c>
      <c r="M47" s="3" t="s">
        <v>61</v>
      </c>
      <c r="N47" s="3">
        <f t="array" ref="N47">xlookup(M47,Sheet2!A:A,Sheet2!B:B)</f>
        <v>31</v>
      </c>
      <c r="O47" s="3" t="s">
        <v>3</v>
      </c>
      <c r="P47" s="4" t="str">
        <f t="shared" si="1"/>
        <v>45 : [30,29,31],</v>
      </c>
      <c r="Q47" s="4" t="str">
        <f t="shared" si="2"/>
        <v>45 : 1,</v>
      </c>
    </row>
    <row r="48">
      <c r="A48" s="3" t="s">
        <v>296</v>
      </c>
      <c r="B48" s="5">
        <v>109687.0</v>
      </c>
      <c r="C48" s="10">
        <v>46.0</v>
      </c>
      <c r="D48" s="3" t="s">
        <v>282</v>
      </c>
      <c r="E48" s="3">
        <f t="array" ref="E48">xlookup(D48,Sheet3!A:A,Sheet3!B:B)</f>
        <v>1</v>
      </c>
      <c r="F48" s="3" t="s">
        <v>72</v>
      </c>
      <c r="G48" s="3">
        <f t="array" ref="G48">xlookup(F48,Sheet2!A:A,Sheet2!B:B)</f>
        <v>34</v>
      </c>
      <c r="H48" s="3" t="s">
        <v>297</v>
      </c>
      <c r="I48" s="3" t="str">
        <f t="array" ref="I48">JOIN("", SORT(MID(LOWER(H48), SEQUENCE(LEN(H48)), 1)))</f>
        <v>   ,aaccdeeeeeeeiillllmqrrssssy</v>
      </c>
      <c r="J48" s="3" t="s">
        <v>74</v>
      </c>
      <c r="K48" s="3">
        <f t="array" ref="K48">xlookup(J48,Sheet2!A:A,Sheet2!B:B)</f>
        <v>50</v>
      </c>
      <c r="L48" s="3" t="s">
        <v>298</v>
      </c>
      <c r="M48" s="3" t="s">
        <v>9</v>
      </c>
      <c r="N48" s="3">
        <f t="array" ref="N48">xlookup(M48,Sheet2!A:A,Sheet2!B:B)</f>
        <v>5</v>
      </c>
      <c r="O48" s="3" t="s">
        <v>298</v>
      </c>
      <c r="P48" s="4" t="str">
        <f t="shared" si="1"/>
        <v>46 : [34,50,5],</v>
      </c>
      <c r="Q48" s="4" t="str">
        <f t="shared" si="2"/>
        <v>46 : 1,</v>
      </c>
    </row>
    <row r="49">
      <c r="A49" s="3" t="s">
        <v>79</v>
      </c>
      <c r="B49" s="5">
        <v>152136.0</v>
      </c>
      <c r="C49" s="10">
        <v>47.0</v>
      </c>
      <c r="D49" s="3" t="s">
        <v>60</v>
      </c>
      <c r="E49" s="3">
        <f t="array" ref="E49">xlookup(D49,Sheet3!A:A,Sheet3!B:B)</f>
        <v>4</v>
      </c>
      <c r="F49" s="3" t="s">
        <v>34</v>
      </c>
      <c r="G49" s="3">
        <f t="array" ref="G49">xlookup(F49,Sheet2!A:A,Sheet2!B:B)</f>
        <v>8</v>
      </c>
      <c r="H49" s="3" t="s">
        <v>80</v>
      </c>
      <c r="I49" s="3" t="str">
        <f t="array" ref="I49">JOIN("", SORT(MID(LOWER(H49), SEQUENCE(LEN(H49)), 1)))</f>
        <v>    ,aaaaaceghhiiknnnorrrstvyyyy</v>
      </c>
      <c r="J49" s="3" t="s">
        <v>64</v>
      </c>
      <c r="K49" s="3">
        <f t="array" ref="K49">xlookup(J49,Sheet2!A:A,Sheet2!B:B)</f>
        <v>30</v>
      </c>
      <c r="L49" s="3" t="s">
        <v>80</v>
      </c>
      <c r="M49" s="3" t="s">
        <v>21</v>
      </c>
      <c r="N49" s="3">
        <f t="array" ref="N49">xlookup(M49,Sheet2!A:A,Sheet2!B:B)</f>
        <v>10</v>
      </c>
      <c r="O49" s="3" t="s">
        <v>80</v>
      </c>
      <c r="P49" s="4" t="str">
        <f t="shared" si="1"/>
        <v>47 : [8,30,10],</v>
      </c>
      <c r="Q49" s="4" t="str">
        <f t="shared" si="2"/>
        <v>47 : 4,</v>
      </c>
    </row>
    <row r="50">
      <c r="A50" s="3" t="s">
        <v>299</v>
      </c>
      <c r="B50" s="5">
        <v>111515.0</v>
      </c>
      <c r="C50" s="10">
        <v>48.0</v>
      </c>
      <c r="D50" s="3" t="s">
        <v>282</v>
      </c>
      <c r="E50" s="3">
        <f t="array" ref="E50">xlookup(D50,Sheet3!A:A,Sheet3!B:B)</f>
        <v>1</v>
      </c>
      <c r="F50" s="3" t="s">
        <v>74</v>
      </c>
      <c r="G50" s="3">
        <f t="array" ref="G50">xlookup(F50,Sheet2!A:A,Sheet2!B:B)</f>
        <v>50</v>
      </c>
      <c r="H50" s="3" t="s">
        <v>301</v>
      </c>
      <c r="I50" s="3" t="str">
        <f t="array" ref="I50">JOIN("", SORT(MID(LOWER(H50), SEQUENCE(LEN(H50)), 1)))</f>
        <v>     ,(())aaaaaadddeeeeehiikkmmmnnprrsttvy</v>
      </c>
      <c r="J50" s="3" t="s">
        <v>76</v>
      </c>
      <c r="K50" s="3">
        <f t="array" ref="K50">xlookup(J50,Sheet2!A:A,Sheet2!B:B)</f>
        <v>24</v>
      </c>
      <c r="L50" s="3" t="s">
        <v>301</v>
      </c>
      <c r="M50" s="3" t="s">
        <v>72</v>
      </c>
      <c r="N50" s="3">
        <f t="array" ref="N50">xlookup(M50,Sheet2!A:A,Sheet2!B:B)</f>
        <v>34</v>
      </c>
      <c r="O50" s="3" t="s">
        <v>301</v>
      </c>
      <c r="P50" s="4" t="str">
        <f t="shared" si="1"/>
        <v>48 : [50,24,34],</v>
      </c>
      <c r="Q50" s="4" t="str">
        <f t="shared" si="2"/>
        <v>48 : 1,</v>
      </c>
    </row>
    <row r="51">
      <c r="A51" s="3" t="s">
        <v>302</v>
      </c>
      <c r="B51" s="5">
        <v>125853.0</v>
      </c>
      <c r="C51" s="10">
        <v>49.0</v>
      </c>
      <c r="D51" s="3" t="s">
        <v>282</v>
      </c>
      <c r="E51" s="3">
        <f t="array" ref="E51">xlookup(D51,Sheet3!A:A,Sheet3!B:B)</f>
        <v>1</v>
      </c>
      <c r="F51" s="3" t="s">
        <v>18</v>
      </c>
      <c r="G51" s="3">
        <f t="array" ref="G51">xlookup(F51,Sheet2!A:A,Sheet2!B:B)</f>
        <v>22</v>
      </c>
      <c r="H51" s="3" t="s">
        <v>303</v>
      </c>
      <c r="I51" s="3" t="str">
        <f t="array" ref="I51">JOIN("", SORT(MID(LOWER(H51), SEQUENCE(LEN(H51)), 1)))</f>
        <v>   ,aaaaaaghhiikkknnnnrrsw</v>
      </c>
      <c r="J51" s="3" t="s">
        <v>26</v>
      </c>
      <c r="K51" s="3">
        <f t="array" ref="K51">xlookup(J51,Sheet2!A:A,Sheet2!B:B)</f>
        <v>7</v>
      </c>
      <c r="L51" s="3" t="s">
        <v>303</v>
      </c>
      <c r="M51" s="3" t="s">
        <v>21</v>
      </c>
      <c r="N51" s="3">
        <f t="array" ref="N51">xlookup(M51,Sheet2!A:A,Sheet2!B:B)</f>
        <v>10</v>
      </c>
      <c r="O51" s="3" t="s">
        <v>303</v>
      </c>
      <c r="P51" s="4" t="str">
        <f t="shared" si="1"/>
        <v>49 : [22,7,10],</v>
      </c>
      <c r="Q51" s="4" t="str">
        <f t="shared" si="2"/>
        <v>49 : 1,</v>
      </c>
    </row>
    <row r="52">
      <c r="A52" s="3" t="s">
        <v>14</v>
      </c>
      <c r="B52" s="5">
        <v>180776.0</v>
      </c>
      <c r="C52" s="10">
        <v>50.0</v>
      </c>
      <c r="D52" s="3" t="s">
        <v>1</v>
      </c>
      <c r="E52" s="3">
        <f t="array" ref="E52">xlookup(D52,Sheet3!A:A,Sheet3!B:B)</f>
        <v>5</v>
      </c>
      <c r="F52" s="3" t="s">
        <v>13</v>
      </c>
      <c r="G52" s="3">
        <f t="array" ref="G52">xlookup(F52,Sheet2!A:A,Sheet2!B:B)</f>
        <v>17</v>
      </c>
      <c r="H52" s="3" t="s">
        <v>3</v>
      </c>
      <c r="I52" s="3" t="str">
        <f t="array" ref="I52">JOIN("", SORT(MID(LOWER(H52), SEQUENCE(LEN(H52)), 1)))</f>
        <v>an</v>
      </c>
      <c r="J52" s="3" t="s">
        <v>15</v>
      </c>
      <c r="K52" s="3">
        <f t="array" ref="K52">xlookup(J52,Sheet2!A:A,Sheet2!B:B)</f>
        <v>0</v>
      </c>
      <c r="L52" s="3" t="s">
        <v>3</v>
      </c>
      <c r="M52" s="3" t="s">
        <v>16</v>
      </c>
      <c r="N52" s="3">
        <f t="array" ref="N52">xlookup(M52,Sheet2!A:A,Sheet2!B:B)</f>
        <v>3</v>
      </c>
      <c r="O52" s="3" t="s">
        <v>3</v>
      </c>
      <c r="P52" s="4" t="str">
        <f t="shared" si="1"/>
        <v>50 : [17,0,3],</v>
      </c>
      <c r="Q52" s="4" t="str">
        <f t="shared" si="2"/>
        <v>50 : 5,</v>
      </c>
    </row>
    <row r="53">
      <c r="A53" s="3" t="s">
        <v>468</v>
      </c>
      <c r="B53" s="5">
        <v>150581.0</v>
      </c>
      <c r="C53" s="10">
        <v>51.0</v>
      </c>
      <c r="D53" s="3" t="s">
        <v>459</v>
      </c>
      <c r="E53" s="3">
        <f t="array" ref="E53">xlookup(D53,Sheet3!A:A,Sheet3!B:B)</f>
        <v>0</v>
      </c>
      <c r="F53" s="3" t="s">
        <v>401</v>
      </c>
      <c r="G53" s="3">
        <f t="array" ref="G53">xlookup(F53,Sheet2!A:A,Sheet2!B:B)</f>
        <v>38</v>
      </c>
      <c r="H53" s="3" t="s">
        <v>3</v>
      </c>
      <c r="I53" s="3" t="str">
        <f t="array" ref="I53">JOIN("", SORT(MID(LOWER(H53), SEQUENCE(LEN(H53)), 1)))</f>
        <v>an</v>
      </c>
      <c r="J53" s="3" t="s">
        <v>465</v>
      </c>
      <c r="K53" s="3">
        <f t="array" ref="K53">xlookup(J53,Sheet2!A:A,Sheet2!B:B)</f>
        <v>36</v>
      </c>
      <c r="L53" s="3" t="s">
        <v>3</v>
      </c>
      <c r="M53" s="3" t="s">
        <v>16</v>
      </c>
      <c r="N53" s="3">
        <f t="array" ref="N53">xlookup(M53,Sheet2!A:A,Sheet2!B:B)</f>
        <v>3</v>
      </c>
      <c r="O53" s="3" t="s">
        <v>3</v>
      </c>
      <c r="P53" s="4" t="str">
        <f t="shared" si="1"/>
        <v>51 : [38,36,3],</v>
      </c>
      <c r="Q53" s="4" t="str">
        <f t="shared" si="2"/>
        <v>51 : 0,</v>
      </c>
    </row>
    <row r="54">
      <c r="A54" s="3" t="s">
        <v>469</v>
      </c>
      <c r="B54" s="5">
        <v>129064.0</v>
      </c>
      <c r="C54" s="10">
        <v>52.0</v>
      </c>
      <c r="D54" s="3" t="s">
        <v>459</v>
      </c>
      <c r="E54" s="3">
        <f t="array" ref="E54">xlookup(D54,Sheet3!A:A,Sheet3!B:B)</f>
        <v>0</v>
      </c>
      <c r="F54" s="3" t="s">
        <v>5</v>
      </c>
      <c r="G54" s="3">
        <f t="array" ref="G54">xlookup(F54,Sheet2!A:A,Sheet2!B:B)</f>
        <v>35</v>
      </c>
      <c r="H54" s="3" t="s">
        <v>3</v>
      </c>
      <c r="I54" s="3" t="str">
        <f t="array" ref="I54">JOIN("", SORT(MID(LOWER(H54), SEQUENCE(LEN(H54)), 1)))</f>
        <v>an</v>
      </c>
      <c r="J54" s="3" t="s">
        <v>15</v>
      </c>
      <c r="K54" s="3">
        <f t="array" ref="K54">xlookup(J54,Sheet2!A:A,Sheet2!B:B)</f>
        <v>0</v>
      </c>
      <c r="L54" s="3" t="s">
        <v>3</v>
      </c>
      <c r="M54" s="3" t="s">
        <v>13</v>
      </c>
      <c r="N54" s="3">
        <f t="array" ref="N54">xlookup(M54,Sheet2!A:A,Sheet2!B:B)</f>
        <v>17</v>
      </c>
      <c r="O54" s="3" t="s">
        <v>3</v>
      </c>
      <c r="P54" s="4" t="str">
        <f t="shared" si="1"/>
        <v>52 : [35,0,17],</v>
      </c>
      <c r="Q54" s="4" t="str">
        <f t="shared" si="2"/>
        <v>52 : 0,</v>
      </c>
    </row>
    <row r="55">
      <c r="A55" s="3" t="s">
        <v>123</v>
      </c>
      <c r="B55" s="5">
        <v>145700.0</v>
      </c>
      <c r="C55" s="10">
        <v>53.0</v>
      </c>
      <c r="D55" s="3" t="s">
        <v>118</v>
      </c>
      <c r="E55" s="3">
        <f t="array" ref="E55">xlookup(D55,Sheet3!A:A,Sheet3!B:B)</f>
        <v>3</v>
      </c>
      <c r="F55" s="3" t="s">
        <v>39</v>
      </c>
      <c r="G55" s="3">
        <f t="array" ref="G55">xlookup(F55,Sheet2!A:A,Sheet2!B:B)</f>
        <v>20</v>
      </c>
      <c r="H55" s="3" t="s">
        <v>3</v>
      </c>
      <c r="I55" s="3" t="str">
        <f t="array" ref="I55">JOIN("", SORT(MID(LOWER(H55), SEQUENCE(LEN(H55)), 1)))</f>
        <v>an</v>
      </c>
      <c r="J55" s="3" t="s">
        <v>124</v>
      </c>
      <c r="K55" s="3">
        <f t="array" ref="K55">xlookup(J55,Sheet2!A:A,Sheet2!B:B)</f>
        <v>46</v>
      </c>
      <c r="L55" s="3" t="s">
        <v>3</v>
      </c>
      <c r="M55" s="3" t="s">
        <v>125</v>
      </c>
      <c r="N55" s="3">
        <f t="array" ref="N55">xlookup(M55,Sheet2!A:A,Sheet2!B:B)</f>
        <v>19</v>
      </c>
      <c r="O55" s="3" t="s">
        <v>3</v>
      </c>
      <c r="P55" s="4" t="str">
        <f t="shared" si="1"/>
        <v>53 : [20,46,19],</v>
      </c>
      <c r="Q55" s="4" t="str">
        <f t="shared" si="2"/>
        <v>53 : 3,</v>
      </c>
    </row>
    <row r="56">
      <c r="A56" s="3" t="s">
        <v>470</v>
      </c>
      <c r="B56" s="5">
        <v>150826.0</v>
      </c>
      <c r="C56" s="10">
        <v>54.0</v>
      </c>
      <c r="D56" s="3" t="s">
        <v>459</v>
      </c>
      <c r="E56" s="3">
        <f t="array" ref="E56">xlookup(D56,Sheet3!A:A,Sheet3!B:B)</f>
        <v>0</v>
      </c>
      <c r="F56" s="3" t="s">
        <v>238</v>
      </c>
      <c r="G56" s="3">
        <f t="array" ref="G56">xlookup(F56,Sheet2!A:A,Sheet2!B:B)</f>
        <v>37</v>
      </c>
      <c r="H56" s="3" t="s">
        <v>3</v>
      </c>
      <c r="I56" s="3" t="str">
        <f t="array" ref="I56">JOIN("", SORT(MID(LOWER(H56), SEQUENCE(LEN(H56)), 1)))</f>
        <v>an</v>
      </c>
      <c r="J56" s="3" t="s">
        <v>105</v>
      </c>
      <c r="K56" s="3">
        <f t="array" ref="K56">xlookup(J56,Sheet2!A:A,Sheet2!B:B)</f>
        <v>26</v>
      </c>
      <c r="L56" s="3" t="s">
        <v>3</v>
      </c>
      <c r="M56" s="3" t="s">
        <v>39</v>
      </c>
      <c r="N56" s="3">
        <f t="array" ref="N56">xlookup(M56,Sheet2!A:A,Sheet2!B:B)</f>
        <v>20</v>
      </c>
      <c r="O56" s="3" t="s">
        <v>3</v>
      </c>
      <c r="P56" s="4" t="str">
        <f t="shared" si="1"/>
        <v>54 : [37,26,20],</v>
      </c>
      <c r="Q56" s="4" t="str">
        <f t="shared" si="2"/>
        <v>54 : 0,</v>
      </c>
    </row>
    <row r="57">
      <c r="A57" s="3" t="s">
        <v>81</v>
      </c>
      <c r="B57" s="5">
        <v>119554.0</v>
      </c>
      <c r="C57" s="10">
        <v>55.0</v>
      </c>
      <c r="D57" s="3" t="s">
        <v>60</v>
      </c>
      <c r="E57" s="3">
        <f t="array" ref="E57">xlookup(D57,Sheet3!A:A,Sheet3!B:B)</f>
        <v>4</v>
      </c>
      <c r="F57" s="3" t="s">
        <v>74</v>
      </c>
      <c r="G57" s="3">
        <f t="array" ref="G57">xlookup(F57,Sheet2!A:A,Sheet2!B:B)</f>
        <v>50</v>
      </c>
      <c r="H57" s="3" t="s">
        <v>82</v>
      </c>
      <c r="I57" s="3" t="str">
        <f t="array" ref="I57">JOIN("", SORT(MID(LOWER(H57), SEQUENCE(LEN(H57)), 1)))</f>
        <v>   ,aaaaaaaaghhhiikkklmnprrsssttu</v>
      </c>
      <c r="J57" s="3" t="s">
        <v>76</v>
      </c>
      <c r="K57" s="3">
        <f t="array" ref="K57">xlookup(J57,Sheet2!A:A,Sheet2!B:B)</f>
        <v>24</v>
      </c>
      <c r="L57" s="3" t="s">
        <v>82</v>
      </c>
      <c r="M57" s="3" t="s">
        <v>10</v>
      </c>
      <c r="N57" s="3">
        <f t="array" ref="N57">xlookup(M57,Sheet2!A:A,Sheet2!B:B)</f>
        <v>9</v>
      </c>
      <c r="O57" s="3" t="s">
        <v>82</v>
      </c>
      <c r="P57" s="4" t="str">
        <f t="shared" si="1"/>
        <v>55 : [50,24,9],</v>
      </c>
      <c r="Q57" s="4" t="str">
        <f t="shared" si="2"/>
        <v>55 : 4,</v>
      </c>
    </row>
    <row r="58">
      <c r="A58" s="3" t="s">
        <v>187</v>
      </c>
      <c r="B58" s="5">
        <v>127669.0</v>
      </c>
      <c r="C58" s="10">
        <v>56.0</v>
      </c>
      <c r="D58" s="3" t="s">
        <v>153</v>
      </c>
      <c r="E58" s="3">
        <f t="array" ref="E58">xlookup(D58,Sheet3!A:A,Sheet3!B:B)</f>
        <v>2</v>
      </c>
      <c r="F58" s="3" t="s">
        <v>74</v>
      </c>
      <c r="G58" s="3">
        <f t="array" ref="G58">xlookup(F58,Sheet2!A:A,Sheet2!B:B)</f>
        <v>50</v>
      </c>
      <c r="H58" s="3" t="s">
        <v>82</v>
      </c>
      <c r="I58" s="3" t="str">
        <f t="array" ref="I58">JOIN("", SORT(MID(LOWER(H58), SEQUENCE(LEN(H58)), 1)))</f>
        <v>   ,aaaaaaaaghhhiikkklmnprrsssttu</v>
      </c>
      <c r="J58" s="3" t="s">
        <v>76</v>
      </c>
      <c r="K58" s="3">
        <f t="array" ref="K58">xlookup(J58,Sheet2!A:A,Sheet2!B:B)</f>
        <v>24</v>
      </c>
      <c r="L58" s="3" t="s">
        <v>82</v>
      </c>
      <c r="M58" s="3" t="s">
        <v>10</v>
      </c>
      <c r="N58" s="3">
        <f t="array" ref="N58">xlookup(M58,Sheet2!A:A,Sheet2!B:B)</f>
        <v>9</v>
      </c>
      <c r="O58" s="3" t="s">
        <v>82</v>
      </c>
      <c r="P58" s="4" t="str">
        <f t="shared" si="1"/>
        <v>56 : [50,24,9],</v>
      </c>
      <c r="Q58" s="4" t="str">
        <f t="shared" si="2"/>
        <v>56 : 2,</v>
      </c>
    </row>
    <row r="59">
      <c r="A59" s="3" t="s">
        <v>471</v>
      </c>
      <c r="B59" s="5">
        <v>309150.0</v>
      </c>
      <c r="C59" s="10">
        <v>57.0</v>
      </c>
      <c r="D59" s="3" t="s">
        <v>459</v>
      </c>
      <c r="E59" s="3">
        <f t="array" ref="E59">xlookup(D59,Sheet3!A:A,Sheet3!B:B)</f>
        <v>0</v>
      </c>
      <c r="F59" s="3" t="s">
        <v>9</v>
      </c>
      <c r="G59" s="3">
        <f t="array" ref="G59">xlookup(F59,Sheet2!A:A,Sheet2!B:B)</f>
        <v>5</v>
      </c>
      <c r="H59" s="3" t="s">
        <v>472</v>
      </c>
      <c r="I59" s="3" t="str">
        <f t="array" ref="I59">JOIN("", SORT(MID(LOWER(H59), SEQUENCE(LEN(H59)), 1)))</f>
        <v>   ,aaaaghiijlnnnopruwx</v>
      </c>
      <c r="J59" s="3" t="s">
        <v>76</v>
      </c>
      <c r="K59" s="3">
        <f t="array" ref="K59">xlookup(J59,Sheet2!A:A,Sheet2!B:B)</f>
        <v>24</v>
      </c>
      <c r="L59" s="3" t="s">
        <v>472</v>
      </c>
      <c r="M59" s="3" t="s">
        <v>10</v>
      </c>
      <c r="N59" s="3">
        <f t="array" ref="N59">xlookup(M59,Sheet2!A:A,Sheet2!B:B)</f>
        <v>9</v>
      </c>
      <c r="O59" s="3" t="s">
        <v>472</v>
      </c>
      <c r="P59" s="4" t="str">
        <f t="shared" si="1"/>
        <v>57 : [5,24,9],</v>
      </c>
      <c r="Q59" s="4" t="str">
        <f t="shared" si="2"/>
        <v>57 : 0,</v>
      </c>
    </row>
    <row r="60">
      <c r="A60" s="3" t="s">
        <v>304</v>
      </c>
      <c r="B60" s="5">
        <v>325570.0</v>
      </c>
      <c r="C60" s="10">
        <v>58.0</v>
      </c>
      <c r="D60" s="3" t="s">
        <v>282</v>
      </c>
      <c r="E60" s="3">
        <f t="array" ref="E60">xlookup(D60,Sheet3!A:A,Sheet3!B:B)</f>
        <v>1</v>
      </c>
      <c r="F60" s="3" t="s">
        <v>9</v>
      </c>
      <c r="G60" s="3">
        <f t="array" ref="G60">xlookup(F60,Sheet2!A:A,Sheet2!B:B)</f>
        <v>5</v>
      </c>
      <c r="H60" s="3" t="s">
        <v>305</v>
      </c>
      <c r="I60" s="3" t="str">
        <f t="array" ref="I60">JOIN("", SORT(MID(LOWER(H60), SEQUENCE(LEN(H60)), 1)))</f>
        <v>   ,aaaaghiijlnnnopruwx</v>
      </c>
      <c r="J60" s="3" t="s">
        <v>76</v>
      </c>
      <c r="K60" s="3">
        <f t="array" ref="K60">xlookup(J60,Sheet2!A:A,Sheet2!B:B)</f>
        <v>24</v>
      </c>
      <c r="L60" s="3" t="s">
        <v>305</v>
      </c>
      <c r="M60" s="3" t="s">
        <v>10</v>
      </c>
      <c r="N60" s="3">
        <f t="array" ref="N60">xlookup(M60,Sheet2!A:A,Sheet2!B:B)</f>
        <v>9</v>
      </c>
      <c r="O60" s="3" t="s">
        <v>305</v>
      </c>
      <c r="P60" s="4" t="str">
        <f t="shared" si="1"/>
        <v>58 : [5,24,9],</v>
      </c>
      <c r="Q60" s="4" t="str">
        <f t="shared" si="2"/>
        <v>58 : 1,</v>
      </c>
    </row>
    <row r="61">
      <c r="A61" s="3" t="s">
        <v>473</v>
      </c>
      <c r="B61" s="5">
        <v>306633.0</v>
      </c>
      <c r="C61" s="10">
        <v>59.0</v>
      </c>
      <c r="D61" s="3" t="s">
        <v>459</v>
      </c>
      <c r="E61" s="3">
        <f t="array" ref="E61">xlookup(D61,Sheet3!A:A,Sheet3!B:B)</f>
        <v>0</v>
      </c>
      <c r="F61" s="3" t="s">
        <v>21</v>
      </c>
      <c r="G61" s="3">
        <f t="array" ref="G61">xlookup(F61,Sheet2!A:A,Sheet2!B:B)</f>
        <v>10</v>
      </c>
      <c r="H61" s="3" t="s">
        <v>474</v>
      </c>
      <c r="I61" s="3" t="str">
        <f t="array" ref="I61">JOIN("", SORT(MID(LOWER(H61), SEQUENCE(LEN(H61)), 1)))</f>
        <v>     ,,aaaaaaacdeegghiiilmnnnorrtvyy</v>
      </c>
      <c r="J61" s="3" t="s">
        <v>26</v>
      </c>
      <c r="K61" s="3">
        <f t="array" ref="K61">xlookup(J61,Sheet2!A:A,Sheet2!B:B)</f>
        <v>7</v>
      </c>
      <c r="L61" s="3" t="s">
        <v>474</v>
      </c>
      <c r="M61" s="3" t="s">
        <v>20</v>
      </c>
      <c r="N61" s="3">
        <f t="array" ref="N61">xlookup(M61,Sheet2!A:A,Sheet2!B:B)</f>
        <v>48</v>
      </c>
      <c r="O61" s="3" t="s">
        <v>474</v>
      </c>
      <c r="P61" s="4" t="str">
        <f t="shared" si="1"/>
        <v>59 : [10,7,48],</v>
      </c>
      <c r="Q61" s="4" t="str">
        <f t="shared" si="2"/>
        <v>59 : 0,</v>
      </c>
    </row>
    <row r="62">
      <c r="A62" s="3" t="s">
        <v>475</v>
      </c>
      <c r="B62" s="5">
        <v>301227.0</v>
      </c>
      <c r="C62" s="10">
        <v>60.0</v>
      </c>
      <c r="D62" s="3" t="s">
        <v>459</v>
      </c>
      <c r="E62" s="3">
        <f t="array" ref="E62">xlookup(D62,Sheet3!A:A,Sheet3!B:B)</f>
        <v>0</v>
      </c>
      <c r="F62" s="3" t="s">
        <v>191</v>
      </c>
      <c r="G62" s="3">
        <f t="array" ref="G62">xlookup(F62,Sheet2!A:A,Sheet2!B:B)</f>
        <v>39</v>
      </c>
      <c r="H62" s="3" t="s">
        <v>3</v>
      </c>
      <c r="I62" s="3" t="str">
        <f t="array" ref="I62">JOIN("", SORT(MID(LOWER(H62), SEQUENCE(LEN(H62)), 1)))</f>
        <v>an</v>
      </c>
      <c r="J62" s="3" t="s">
        <v>309</v>
      </c>
      <c r="K62" s="3">
        <f t="array" ref="K62">xlookup(J62,Sheet2!A:A,Sheet2!B:B)</f>
        <v>40</v>
      </c>
      <c r="L62" s="3" t="s">
        <v>3</v>
      </c>
      <c r="M62" s="3" t="s">
        <v>465</v>
      </c>
      <c r="N62" s="3">
        <f t="array" ref="N62">xlookup(M62,Sheet2!A:A,Sheet2!B:B)</f>
        <v>36</v>
      </c>
      <c r="O62" s="3" t="s">
        <v>3</v>
      </c>
      <c r="P62" s="4" t="str">
        <f t="shared" si="1"/>
        <v>60 : [39,40,36],</v>
      </c>
      <c r="Q62" s="4" t="str">
        <f t="shared" si="2"/>
        <v>60 : 0,</v>
      </c>
    </row>
    <row r="63">
      <c r="A63" s="3" t="s">
        <v>306</v>
      </c>
      <c r="B63" s="5">
        <v>303237.0</v>
      </c>
      <c r="C63" s="10">
        <v>61.0</v>
      </c>
      <c r="D63" s="3" t="s">
        <v>282</v>
      </c>
      <c r="E63" s="3">
        <f t="array" ref="E63">xlookup(D63,Sheet3!A:A,Sheet3!B:B)</f>
        <v>1</v>
      </c>
      <c r="F63" s="3" t="s">
        <v>167</v>
      </c>
      <c r="G63" s="3">
        <f t="array" ref="G63">xlookup(F63,Sheet2!A:A,Sheet2!B:B)</f>
        <v>33</v>
      </c>
      <c r="H63" s="3" t="s">
        <v>3</v>
      </c>
      <c r="I63" s="3" t="str">
        <f t="array" ref="I63">JOIN("", SORT(MID(LOWER(H63), SEQUENCE(LEN(H63)), 1)))</f>
        <v>an</v>
      </c>
      <c r="J63" s="3" t="s">
        <v>120</v>
      </c>
      <c r="K63" s="3">
        <f t="array" ref="K63">xlookup(J63,Sheet2!A:A,Sheet2!B:B)</f>
        <v>42</v>
      </c>
      <c r="L63" s="3" t="s">
        <v>3</v>
      </c>
      <c r="M63" s="3" t="s">
        <v>13</v>
      </c>
      <c r="N63" s="3">
        <f t="array" ref="N63">xlookup(M63,Sheet2!A:A,Sheet2!B:B)</f>
        <v>17</v>
      </c>
      <c r="O63" s="3" t="s">
        <v>3</v>
      </c>
      <c r="P63" s="4" t="str">
        <f t="shared" si="1"/>
        <v>61 : [33,42,17],</v>
      </c>
      <c r="Q63" s="4" t="str">
        <f t="shared" si="2"/>
        <v>61 : 1,</v>
      </c>
    </row>
    <row r="64">
      <c r="A64" s="3" t="s">
        <v>476</v>
      </c>
      <c r="B64" s="5">
        <v>137947.0</v>
      </c>
      <c r="C64" s="10">
        <v>62.0</v>
      </c>
      <c r="D64" s="3" t="s">
        <v>459</v>
      </c>
      <c r="E64" s="3">
        <f t="array" ref="E64">xlookup(D64,Sheet3!A:A,Sheet3!B:B)</f>
        <v>0</v>
      </c>
      <c r="F64" s="3" t="s">
        <v>26</v>
      </c>
      <c r="G64" s="3">
        <f t="array" ref="G64">xlookup(F64,Sheet2!A:A,Sheet2!B:B)</f>
        <v>7</v>
      </c>
      <c r="H64" s="3" t="s">
        <v>3</v>
      </c>
      <c r="I64" s="3" t="str">
        <f t="array" ref="I64">JOIN("", SORT(MID(LOWER(H64), SEQUENCE(LEN(H64)), 1)))</f>
        <v>an</v>
      </c>
      <c r="J64" s="3" t="s">
        <v>20</v>
      </c>
      <c r="K64" s="3">
        <f t="array" ref="K64">xlookup(J64,Sheet2!A:A,Sheet2!B:B)</f>
        <v>48</v>
      </c>
      <c r="L64" s="3" t="s">
        <v>3</v>
      </c>
      <c r="M64" s="3" t="s">
        <v>18</v>
      </c>
      <c r="N64" s="3">
        <f t="array" ref="N64">xlookup(M64,Sheet2!A:A,Sheet2!B:B)</f>
        <v>22</v>
      </c>
      <c r="O64" s="3" t="s">
        <v>3</v>
      </c>
      <c r="P64" s="4" t="str">
        <f t="shared" si="1"/>
        <v>62 : [7,48,22],</v>
      </c>
      <c r="Q64" s="4" t="str">
        <f t="shared" si="2"/>
        <v>62 : 0,</v>
      </c>
    </row>
    <row r="65">
      <c r="A65" s="3" t="s">
        <v>477</v>
      </c>
      <c r="B65" s="5">
        <v>301743.0</v>
      </c>
      <c r="C65" s="10">
        <v>63.0</v>
      </c>
      <c r="D65" s="3" t="s">
        <v>459</v>
      </c>
      <c r="E65" s="3">
        <f t="array" ref="E65">xlookup(D65,Sheet3!A:A,Sheet3!B:B)</f>
        <v>0</v>
      </c>
      <c r="F65" s="3" t="s">
        <v>10</v>
      </c>
      <c r="G65" s="3">
        <f t="array" ref="G65">xlookup(F65,Sheet2!A:A,Sheet2!B:B)</f>
        <v>9</v>
      </c>
      <c r="H65" s="3" t="s">
        <v>478</v>
      </c>
      <c r="I65" s="3" t="str">
        <f t="array" ref="I65">JOIN("", SORT(MID(LOWER(H65), SEQUENCE(LEN(H65)), 1)))</f>
        <v>   ,aaaaegghiiijklnprstuuy</v>
      </c>
      <c r="J65" s="3" t="s">
        <v>96</v>
      </c>
      <c r="K65" s="3">
        <f t="array" ref="K65">xlookup(J65,Sheet2!A:A,Sheet2!B:B)</f>
        <v>47</v>
      </c>
      <c r="L65" s="3" t="s">
        <v>478</v>
      </c>
      <c r="M65" s="3" t="s">
        <v>191</v>
      </c>
      <c r="N65" s="3">
        <f t="array" ref="N65">xlookup(M65,Sheet2!A:A,Sheet2!B:B)</f>
        <v>39</v>
      </c>
      <c r="O65" s="3" t="s">
        <v>478</v>
      </c>
      <c r="P65" s="4" t="str">
        <f t="shared" si="1"/>
        <v>63 : [9,47,39],</v>
      </c>
      <c r="Q65" s="4" t="str">
        <f t="shared" si="2"/>
        <v>63 : 0,</v>
      </c>
    </row>
    <row r="66">
      <c r="A66" s="3" t="s">
        <v>126</v>
      </c>
      <c r="B66" s="5">
        <v>136758.0</v>
      </c>
      <c r="C66" s="10">
        <v>64.0</v>
      </c>
      <c r="D66" s="3" t="s">
        <v>118</v>
      </c>
      <c r="E66" s="3">
        <f t="array" ref="E66">xlookup(D66,Sheet3!A:A,Sheet3!B:B)</f>
        <v>3</v>
      </c>
      <c r="F66" s="3" t="s">
        <v>12</v>
      </c>
      <c r="G66" s="3">
        <f t="array" ref="G66">xlookup(F66,Sheet2!A:A,Sheet2!B:B)</f>
        <v>41</v>
      </c>
      <c r="H66" s="3" t="s">
        <v>3</v>
      </c>
      <c r="I66" s="3" t="str">
        <f t="array" ref="I66">JOIN("", SORT(MID(LOWER(H66), SEQUENCE(LEN(H66)), 1)))</f>
        <v>an</v>
      </c>
      <c r="J66" s="3" t="s">
        <v>4</v>
      </c>
      <c r="K66" s="3">
        <f t="array" ref="K66">xlookup(J66,Sheet2!A:A,Sheet2!B:B)</f>
        <v>23</v>
      </c>
      <c r="L66" s="3" t="s">
        <v>3</v>
      </c>
      <c r="M66" s="3" t="s">
        <v>13</v>
      </c>
      <c r="N66" s="3">
        <f t="array" ref="N66">xlookup(M66,Sheet2!A:A,Sheet2!B:B)</f>
        <v>17</v>
      </c>
      <c r="O66" s="3" t="s">
        <v>3</v>
      </c>
      <c r="P66" s="4" t="str">
        <f t="shared" si="1"/>
        <v>64 : [41,23,17],</v>
      </c>
      <c r="Q66" s="4" t="str">
        <f t="shared" si="2"/>
        <v>64 : 3,</v>
      </c>
    </row>
    <row r="67">
      <c r="A67" s="3" t="s">
        <v>83</v>
      </c>
      <c r="B67" s="5">
        <v>118526.0</v>
      </c>
      <c r="C67" s="10">
        <v>65.0</v>
      </c>
      <c r="D67" s="3" t="s">
        <v>60</v>
      </c>
      <c r="E67" s="3">
        <f t="array" ref="E67">xlookup(D67,Sheet3!A:A,Sheet3!B:B)</f>
        <v>4</v>
      </c>
      <c r="F67" s="3" t="s">
        <v>64</v>
      </c>
      <c r="G67" s="3">
        <f t="array" ref="G67">xlookup(F67,Sheet2!A:A,Sheet2!B:B)</f>
        <v>30</v>
      </c>
      <c r="H67" s="3" t="s">
        <v>3</v>
      </c>
      <c r="I67" s="3" t="str">
        <f t="array" ref="I67">JOIN("", SORT(MID(LOWER(H67), SEQUENCE(LEN(H67)), 1)))</f>
        <v>an</v>
      </c>
      <c r="J67" s="3" t="s">
        <v>61</v>
      </c>
      <c r="K67" s="3">
        <f t="array" ref="K67">xlookup(J67,Sheet2!A:A,Sheet2!B:B)</f>
        <v>31</v>
      </c>
      <c r="L67" s="3" t="s">
        <v>3</v>
      </c>
      <c r="M67" s="3" t="s">
        <v>63</v>
      </c>
      <c r="N67" s="3">
        <f t="array" ref="N67">xlookup(M67,Sheet2!A:A,Sheet2!B:B)</f>
        <v>29</v>
      </c>
      <c r="O67" s="3" t="s">
        <v>3</v>
      </c>
      <c r="P67" s="4" t="str">
        <f t="shared" si="1"/>
        <v>65 : [30,31,29],</v>
      </c>
      <c r="Q67" s="4" t="str">
        <f t="shared" si="2"/>
        <v>65 : 4,</v>
      </c>
    </row>
    <row r="68">
      <c r="A68" s="3" t="s">
        <v>188</v>
      </c>
      <c r="B68" s="5">
        <v>119887.0</v>
      </c>
      <c r="C68" s="10">
        <v>66.0</v>
      </c>
      <c r="D68" s="3" t="s">
        <v>153</v>
      </c>
      <c r="E68" s="3">
        <f t="array" ref="E68">xlookup(D68,Sheet3!A:A,Sheet3!B:B)</f>
        <v>2</v>
      </c>
      <c r="F68" s="3" t="s">
        <v>9</v>
      </c>
      <c r="G68" s="3">
        <f t="array" ref="G68">xlookup(F68,Sheet2!A:A,Sheet2!B:B)</f>
        <v>5</v>
      </c>
      <c r="H68" s="3" t="s">
        <v>189</v>
      </c>
      <c r="I68" s="3" t="str">
        <f t="array" ref="I68">JOIN("", SORT(MID(LOWER(H68), SEQUENCE(LEN(H68)), 1)))</f>
        <v>   ,aaeehhllnooruwwy</v>
      </c>
      <c r="J68" s="3" t="s">
        <v>74</v>
      </c>
      <c r="K68" s="3">
        <f t="array" ref="K68">xlookup(J68,Sheet2!A:A,Sheet2!B:B)</f>
        <v>50</v>
      </c>
      <c r="L68" s="3" t="s">
        <v>189</v>
      </c>
      <c r="M68" s="3" t="s">
        <v>72</v>
      </c>
      <c r="N68" s="3">
        <f t="array" ref="N68">xlookup(M68,Sheet2!A:A,Sheet2!B:B)</f>
        <v>34</v>
      </c>
      <c r="O68" s="3" t="s">
        <v>189</v>
      </c>
      <c r="P68" s="4" t="str">
        <f t="shared" si="1"/>
        <v>66 : [5,50,34],</v>
      </c>
      <c r="Q68" s="4" t="str">
        <f t="shared" si="2"/>
        <v>66 : 2,</v>
      </c>
    </row>
    <row r="69">
      <c r="A69" s="3" t="s">
        <v>307</v>
      </c>
      <c r="B69" s="5">
        <v>188447.0</v>
      </c>
      <c r="C69" s="10">
        <v>67.0</v>
      </c>
      <c r="D69" s="3" t="s">
        <v>282</v>
      </c>
      <c r="E69" s="3">
        <f t="array" ref="E69">xlookup(D69,Sheet3!A:A,Sheet3!B:B)</f>
        <v>1</v>
      </c>
      <c r="F69" s="3" t="s">
        <v>12</v>
      </c>
      <c r="G69" s="3">
        <f t="array" ref="G69">xlookup(F69,Sheet2!A:A,Sheet2!B:B)</f>
        <v>41</v>
      </c>
      <c r="H69" s="3" t="s">
        <v>3</v>
      </c>
      <c r="I69" s="3" t="str">
        <f t="array" ref="I69">JOIN("", SORT(MID(LOWER(H69), SEQUENCE(LEN(H69)), 1)))</f>
        <v>an</v>
      </c>
      <c r="J69" s="3" t="s">
        <v>309</v>
      </c>
      <c r="K69" s="3">
        <f t="array" ref="K69">xlookup(J69,Sheet2!A:A,Sheet2!B:B)</f>
        <v>40</v>
      </c>
      <c r="L69" s="3" t="s">
        <v>3</v>
      </c>
      <c r="M69" s="3" t="s">
        <v>38</v>
      </c>
      <c r="N69" s="3">
        <f t="array" ref="N69">xlookup(M69,Sheet2!A:A,Sheet2!B:B)</f>
        <v>6</v>
      </c>
      <c r="O69" s="3" t="s">
        <v>3</v>
      </c>
      <c r="P69" s="4" t="str">
        <f t="shared" si="1"/>
        <v>67 : [41,40,6],</v>
      </c>
      <c r="Q69" s="4" t="str">
        <f t="shared" si="2"/>
        <v>67 : 1,</v>
      </c>
    </row>
    <row r="70">
      <c r="A70" s="3" t="s">
        <v>190</v>
      </c>
      <c r="B70" s="5">
        <v>180335.0</v>
      </c>
      <c r="C70" s="10">
        <v>68.0</v>
      </c>
      <c r="D70" s="3" t="s">
        <v>153</v>
      </c>
      <c r="E70" s="3">
        <f t="array" ref="E70">xlookup(D70,Sheet3!A:A,Sheet3!B:B)</f>
        <v>2</v>
      </c>
      <c r="F70" s="3" t="s">
        <v>76</v>
      </c>
      <c r="G70" s="3">
        <f t="array" ref="G70">xlookup(F70,Sheet2!A:A,Sheet2!B:B)</f>
        <v>24</v>
      </c>
      <c r="H70" s="10" t="s">
        <v>3</v>
      </c>
      <c r="I70" s="3" t="str">
        <f t="array" ref="I70">JOIN("", SORT(MID(LOWER(H70), SEQUENCE(LEN(H70)), 1)))</f>
        <v>an</v>
      </c>
      <c r="J70" s="3" t="s">
        <v>96</v>
      </c>
      <c r="K70" s="3">
        <f t="array" ref="K70">xlookup(J70,Sheet2!A:A,Sheet2!B:B)</f>
        <v>47</v>
      </c>
      <c r="L70" s="10" t="s">
        <v>3</v>
      </c>
      <c r="M70" s="3" t="s">
        <v>191</v>
      </c>
      <c r="N70" s="3">
        <f t="array" ref="N70">xlookup(M70,Sheet2!A:A,Sheet2!B:B)</f>
        <v>39</v>
      </c>
      <c r="O70" s="10" t="s">
        <v>3</v>
      </c>
      <c r="P70" s="4" t="str">
        <f t="shared" si="1"/>
        <v>68 : [24,47,39],</v>
      </c>
      <c r="Q70" s="4" t="str">
        <f t="shared" si="2"/>
        <v>68 : 2,</v>
      </c>
    </row>
    <row r="71">
      <c r="A71" s="3" t="s">
        <v>479</v>
      </c>
      <c r="B71" s="5">
        <v>204995.0</v>
      </c>
      <c r="C71" s="10">
        <v>69.0</v>
      </c>
      <c r="D71" s="3" t="s">
        <v>459</v>
      </c>
      <c r="E71" s="3">
        <f t="array" ref="E71">xlookup(D71,Sheet3!A:A,Sheet3!B:B)</f>
        <v>0</v>
      </c>
      <c r="F71" s="3" t="s">
        <v>401</v>
      </c>
      <c r="G71" s="3">
        <f t="array" ref="G71">xlookup(F71,Sheet2!A:A,Sheet2!B:B)</f>
        <v>38</v>
      </c>
      <c r="H71" s="3" t="s">
        <v>3</v>
      </c>
      <c r="I71" s="3" t="str">
        <f t="array" ref="I71">JOIN("", SORT(MID(LOWER(H71), SEQUENCE(LEN(H71)), 1)))</f>
        <v>an</v>
      </c>
      <c r="J71" s="3" t="s">
        <v>13</v>
      </c>
      <c r="K71" s="3">
        <f t="array" ref="K71">xlookup(J71,Sheet2!A:A,Sheet2!B:B)</f>
        <v>17</v>
      </c>
      <c r="L71" s="3" t="s">
        <v>3</v>
      </c>
      <c r="M71" s="3" t="s">
        <v>125</v>
      </c>
      <c r="N71" s="3">
        <f t="array" ref="N71">xlookup(M71,Sheet2!A:A,Sheet2!B:B)</f>
        <v>19</v>
      </c>
      <c r="O71" s="3" t="s">
        <v>3</v>
      </c>
      <c r="P71" s="4" t="str">
        <f t="shared" si="1"/>
        <v>69 : [38,17,19],</v>
      </c>
      <c r="Q71" s="4" t="str">
        <f t="shared" si="2"/>
        <v>69 : 0,</v>
      </c>
    </row>
    <row r="72">
      <c r="A72" s="3" t="s">
        <v>480</v>
      </c>
      <c r="B72" s="5">
        <v>151669.0</v>
      </c>
      <c r="C72" s="10">
        <v>70.0</v>
      </c>
      <c r="D72" s="3" t="s">
        <v>459</v>
      </c>
      <c r="E72" s="3">
        <f t="array" ref="E72">xlookup(D72,Sheet3!A:A,Sheet3!B:B)</f>
        <v>0</v>
      </c>
      <c r="F72" s="3" t="s">
        <v>21</v>
      </c>
      <c r="G72" s="3">
        <f t="array" ref="G72">xlookup(F72,Sheet2!A:A,Sheet2!B:B)</f>
        <v>10</v>
      </c>
      <c r="H72" s="3" t="s">
        <v>481</v>
      </c>
      <c r="I72" s="3" t="str">
        <f t="array" ref="I72">JOIN("", SORT(MID(LOWER(H72), SEQUENCE(LEN(H72)), 1)))</f>
        <v>      ,,aaaaaaaadghhikklmmnnnoprrrrsttuyy</v>
      </c>
      <c r="J72" s="3" t="s">
        <v>26</v>
      </c>
      <c r="K72" s="3">
        <f t="array" ref="K72">xlookup(J72,Sheet2!A:A,Sheet2!B:B)</f>
        <v>7</v>
      </c>
      <c r="L72" s="3" t="s">
        <v>481</v>
      </c>
      <c r="M72" s="3" t="s">
        <v>10</v>
      </c>
      <c r="N72" s="3">
        <f t="array" ref="N72">xlookup(M72,Sheet2!A:A,Sheet2!B:B)</f>
        <v>9</v>
      </c>
      <c r="O72" s="3" t="s">
        <v>482</v>
      </c>
      <c r="P72" s="4" t="str">
        <f t="shared" si="1"/>
        <v>70 : [10,7,9],</v>
      </c>
      <c r="Q72" s="4" t="str">
        <f t="shared" si="2"/>
        <v>70 : 0,</v>
      </c>
    </row>
    <row r="73">
      <c r="A73" s="3" t="s">
        <v>483</v>
      </c>
      <c r="B73" s="5">
        <v>145116.0</v>
      </c>
      <c r="C73" s="10">
        <v>71.0</v>
      </c>
      <c r="D73" s="3" t="s">
        <v>459</v>
      </c>
      <c r="E73" s="3">
        <f t="array" ref="E73">xlookup(D73,Sheet3!A:A,Sheet3!B:B)</f>
        <v>0</v>
      </c>
      <c r="F73" s="3" t="s">
        <v>21</v>
      </c>
      <c r="G73" s="3">
        <f t="array" ref="G73">xlookup(F73,Sheet2!A:A,Sheet2!B:B)</f>
        <v>10</v>
      </c>
      <c r="H73" s="3" t="s">
        <v>484</v>
      </c>
      <c r="I73" s="3" t="str">
        <f t="array" ref="I73">JOIN("", SORT(MID(LOWER(H73), SEQUENCE(LEN(H73)), 1)))</f>
        <v>     ,,aaaaaaaadghhikklmmnnnoprrrrsttuyy</v>
      </c>
      <c r="J73" s="3" t="s">
        <v>26</v>
      </c>
      <c r="K73" s="3">
        <f t="array" ref="K73">xlookup(J73,Sheet2!A:A,Sheet2!B:B)</f>
        <v>7</v>
      </c>
      <c r="L73" s="3" t="s">
        <v>484</v>
      </c>
      <c r="M73" s="3" t="s">
        <v>10</v>
      </c>
      <c r="N73" s="3">
        <f t="array" ref="N73">xlookup(M73,Sheet2!A:A,Sheet2!B:B)</f>
        <v>9</v>
      </c>
      <c r="O73" s="3" t="s">
        <v>485</v>
      </c>
      <c r="P73" s="4" t="str">
        <f t="shared" si="1"/>
        <v>71 : [10,7,9],</v>
      </c>
      <c r="Q73" s="4" t="str">
        <f t="shared" si="2"/>
        <v>71 : 0,</v>
      </c>
    </row>
    <row r="74">
      <c r="A74" s="3" t="s">
        <v>310</v>
      </c>
      <c r="B74" s="5">
        <v>127679.0</v>
      </c>
      <c r="C74" s="10">
        <v>72.0</v>
      </c>
      <c r="D74" s="3" t="s">
        <v>282</v>
      </c>
      <c r="E74" s="3">
        <f t="array" ref="E74">xlookup(D74,Sheet3!A:A,Sheet3!B:B)</f>
        <v>1</v>
      </c>
      <c r="F74" s="3" t="s">
        <v>25</v>
      </c>
      <c r="G74" s="3">
        <f t="array" ref="G74">xlookup(F74,Sheet2!A:A,Sheet2!B:B)</f>
        <v>18</v>
      </c>
      <c r="H74" s="3" t="s">
        <v>311</v>
      </c>
      <c r="I74" s="3" t="str">
        <f t="array" ref="I74">JOIN("", SORT(MID(LOWER(H74), SEQUENCE(LEN(H74)), 1)))</f>
        <v>      ,,aaaaaaaadeehiiiiiknnnppprrrsssuuvv</v>
      </c>
      <c r="J74" s="3" t="s">
        <v>114</v>
      </c>
      <c r="K74" s="3">
        <f t="array" ref="K74">xlookup(J74,Sheet2!A:A,Sheet2!B:B)</f>
        <v>12</v>
      </c>
      <c r="L74" s="3" t="s">
        <v>312</v>
      </c>
      <c r="M74" s="3" t="s">
        <v>18</v>
      </c>
      <c r="N74" s="3">
        <f t="array" ref="N74">xlookup(M74,Sheet2!A:A,Sheet2!B:B)</f>
        <v>22</v>
      </c>
      <c r="O74" s="3" t="s">
        <v>312</v>
      </c>
      <c r="P74" s="4" t="str">
        <f t="shared" si="1"/>
        <v>72 : [18,12,22],</v>
      </c>
      <c r="Q74" s="4" t="str">
        <f t="shared" si="2"/>
        <v>72 : 1,</v>
      </c>
    </row>
    <row r="75">
      <c r="A75" s="3" t="s">
        <v>313</v>
      </c>
      <c r="B75" s="5">
        <v>187126.0</v>
      </c>
      <c r="C75" s="10">
        <v>73.0</v>
      </c>
      <c r="D75" s="3" t="s">
        <v>282</v>
      </c>
      <c r="E75" s="3">
        <f t="array" ref="E75">xlookup(D75,Sheet3!A:A,Sheet3!B:B)</f>
        <v>1</v>
      </c>
      <c r="F75" s="3" t="s">
        <v>25</v>
      </c>
      <c r="G75" s="3">
        <f t="array" ref="G75">xlookup(F75,Sheet2!A:A,Sheet2!B:B)</f>
        <v>18</v>
      </c>
      <c r="H75" s="3" t="s">
        <v>314</v>
      </c>
      <c r="I75" s="3" t="str">
        <f t="array" ref="I75">JOIN("", SORT(MID(LOWER(H75), SEQUENCE(LEN(H75)), 1)))</f>
        <v>     ,,aaaaaaaadeehiiiiiknnnppprrrsssuuvv</v>
      </c>
      <c r="J75" s="3" t="s">
        <v>114</v>
      </c>
      <c r="K75" s="3">
        <f t="array" ref="K75">xlookup(J75,Sheet2!A:A,Sheet2!B:B)</f>
        <v>12</v>
      </c>
      <c r="L75" s="3" t="s">
        <v>314</v>
      </c>
      <c r="M75" s="3" t="s">
        <v>18</v>
      </c>
      <c r="N75" s="3">
        <f t="array" ref="N75">xlookup(M75,Sheet2!A:A,Sheet2!B:B)</f>
        <v>22</v>
      </c>
      <c r="O75" s="3" t="s">
        <v>314</v>
      </c>
      <c r="P75" s="4" t="str">
        <f t="shared" si="1"/>
        <v>73 : [18,12,22],</v>
      </c>
      <c r="Q75" s="4" t="str">
        <f t="shared" si="2"/>
        <v>73 : 1,</v>
      </c>
    </row>
    <row r="76">
      <c r="A76" s="3" t="s">
        <v>486</v>
      </c>
      <c r="B76" s="5">
        <v>203537.0</v>
      </c>
      <c r="C76" s="10">
        <v>74.0</v>
      </c>
      <c r="D76" s="3" t="s">
        <v>459</v>
      </c>
      <c r="E76" s="3">
        <f t="array" ref="E76">xlookup(D76,Sheet3!A:A,Sheet3!B:B)</f>
        <v>0</v>
      </c>
      <c r="F76" s="3" t="s">
        <v>25</v>
      </c>
      <c r="G76" s="3">
        <f t="array" ref="G76">xlookup(F76,Sheet2!A:A,Sheet2!B:B)</f>
        <v>18</v>
      </c>
      <c r="H76" s="3" t="s">
        <v>312</v>
      </c>
      <c r="I76" s="3" t="str">
        <f t="array" ref="I76">JOIN("", SORT(MID(LOWER(H76), SEQUENCE(LEN(H76)), 1)))</f>
        <v>     ,,aaaaaaaadeehiiiiiknnnppprrrsssuuvv</v>
      </c>
      <c r="J76" s="3" t="s">
        <v>114</v>
      </c>
      <c r="K76" s="3">
        <f t="array" ref="K76">xlookup(J76,Sheet2!A:A,Sheet2!B:B)</f>
        <v>12</v>
      </c>
      <c r="L76" s="3" t="s">
        <v>312</v>
      </c>
      <c r="M76" s="3" t="s">
        <v>18</v>
      </c>
      <c r="N76" s="3">
        <f t="array" ref="N76">xlookup(M76,Sheet2!A:A,Sheet2!B:B)</f>
        <v>22</v>
      </c>
      <c r="O76" s="3" t="s">
        <v>312</v>
      </c>
      <c r="P76" s="4" t="str">
        <f t="shared" si="1"/>
        <v>74 : [18,12,22],</v>
      </c>
      <c r="Q76" s="4" t="str">
        <f t="shared" si="2"/>
        <v>74 : 0,</v>
      </c>
    </row>
    <row r="77">
      <c r="A77" s="3" t="s">
        <v>127</v>
      </c>
      <c r="B77" s="5">
        <v>153984.0</v>
      </c>
      <c r="C77" s="10">
        <v>75.0</v>
      </c>
      <c r="D77" s="3" t="s">
        <v>118</v>
      </c>
      <c r="E77" s="3">
        <f t="array" ref="E77">xlookup(D77,Sheet3!A:A,Sheet3!B:B)</f>
        <v>3</v>
      </c>
      <c r="F77" s="3" t="s">
        <v>9</v>
      </c>
      <c r="G77" s="3">
        <f t="array" ref="G77">xlookup(F77,Sheet2!A:A,Sheet2!B:B)</f>
        <v>5</v>
      </c>
      <c r="H77" s="3" t="s">
        <v>128</v>
      </c>
      <c r="I77" s="3" t="str">
        <f t="array" ref="I77">JOIN("", SORT(MID(LOWER(H77), SEQUENCE(LEN(H77)), 1)))</f>
        <v>   ,aaeehhllnooruwwy</v>
      </c>
      <c r="J77" s="3" t="s">
        <v>74</v>
      </c>
      <c r="K77" s="3">
        <f t="array" ref="K77">xlookup(J77,Sheet2!A:A,Sheet2!B:B)</f>
        <v>50</v>
      </c>
      <c r="L77" s="3" t="s">
        <v>128</v>
      </c>
      <c r="M77" s="3" t="s">
        <v>72</v>
      </c>
      <c r="N77" s="3">
        <f t="array" ref="N77">xlookup(M77,Sheet2!A:A,Sheet2!B:B)</f>
        <v>34</v>
      </c>
      <c r="O77" s="3" t="s">
        <v>128</v>
      </c>
      <c r="P77" s="4" t="str">
        <f t="shared" si="1"/>
        <v>75 : [5,50,34],</v>
      </c>
      <c r="Q77" s="4" t="str">
        <f t="shared" si="2"/>
        <v>75 : 3,</v>
      </c>
    </row>
    <row r="78">
      <c r="A78" s="3" t="s">
        <v>487</v>
      </c>
      <c r="B78" s="5">
        <v>151041.0</v>
      </c>
      <c r="C78" s="10">
        <v>76.0</v>
      </c>
      <c r="D78" s="3" t="s">
        <v>459</v>
      </c>
      <c r="E78" s="3">
        <f t="array" ref="E78">xlookup(D78,Sheet3!A:A,Sheet3!B:B)</f>
        <v>0</v>
      </c>
      <c r="F78" s="3" t="s">
        <v>21</v>
      </c>
      <c r="G78" s="3">
        <f t="array" ref="G78">xlookup(F78,Sheet2!A:A,Sheet2!B:B)</f>
        <v>10</v>
      </c>
      <c r="H78" s="3" t="s">
        <v>488</v>
      </c>
      <c r="I78" s="3" t="str">
        <f t="array" ref="I78">JOIN("", SORT(MID(LOWER(H78), SEQUENCE(LEN(H78)), 1)))</f>
        <v>       ,,aaaaaaaaaddghhikklmmnnnnoprrrrsttuyy</v>
      </c>
      <c r="J78" s="3" t="s">
        <v>26</v>
      </c>
      <c r="K78" s="3">
        <f t="array" ref="K78">xlookup(J78,Sheet2!A:A,Sheet2!B:B)</f>
        <v>7</v>
      </c>
      <c r="L78" s="3" t="s">
        <v>488</v>
      </c>
      <c r="M78" s="3" t="s">
        <v>12</v>
      </c>
      <c r="N78" s="3">
        <f t="array" ref="N78">xlookup(M78,Sheet2!A:A,Sheet2!B:B)</f>
        <v>41</v>
      </c>
      <c r="O78" s="3" t="s">
        <v>3</v>
      </c>
      <c r="P78" s="4" t="str">
        <f t="shared" si="1"/>
        <v>76 : [10,7,41],</v>
      </c>
      <c r="Q78" s="4" t="str">
        <f t="shared" si="2"/>
        <v>76 : 0,</v>
      </c>
    </row>
    <row r="79">
      <c r="A79" s="3" t="s">
        <v>315</v>
      </c>
      <c r="B79" s="5">
        <v>315002.0</v>
      </c>
      <c r="C79" s="10">
        <v>77.0</v>
      </c>
      <c r="D79" s="3" t="s">
        <v>282</v>
      </c>
      <c r="E79" s="3">
        <f t="array" ref="E79">xlookup(D79,Sheet3!A:A,Sheet3!B:B)</f>
        <v>1</v>
      </c>
      <c r="F79" s="3" t="s">
        <v>76</v>
      </c>
      <c r="G79" s="3">
        <f t="array" ref="G79">xlookup(F79,Sheet2!A:A,Sheet2!B:B)</f>
        <v>24</v>
      </c>
      <c r="H79" s="3" t="s">
        <v>316</v>
      </c>
      <c r="I79" s="3" t="str">
        <f t="array" ref="I79">JOIN("", SORT(MID(LOWER(H79), SEQUENCE(LEN(H79)), 1)))</f>
        <v>    ,aaaaaeefghiillnnnnoooopprrstty</v>
      </c>
      <c r="J79" s="3" t="s">
        <v>74</v>
      </c>
      <c r="K79" s="3">
        <f t="array" ref="K79">xlookup(J79,Sheet2!A:A,Sheet2!B:B)</f>
        <v>50</v>
      </c>
      <c r="L79" s="3" t="s">
        <v>316</v>
      </c>
      <c r="M79" s="3" t="s">
        <v>125</v>
      </c>
      <c r="N79" s="3">
        <f t="array" ref="N79">xlookup(M79,Sheet2!A:A,Sheet2!B:B)</f>
        <v>19</v>
      </c>
      <c r="O79" s="3" t="s">
        <v>316</v>
      </c>
      <c r="P79" s="4" t="str">
        <f t="shared" si="1"/>
        <v>77 : [24,50,19],</v>
      </c>
      <c r="Q79" s="4" t="str">
        <f t="shared" si="2"/>
        <v>77 : 1,</v>
      </c>
    </row>
    <row r="80">
      <c r="A80" s="3" t="s">
        <v>489</v>
      </c>
      <c r="B80" s="5">
        <v>150673.0</v>
      </c>
      <c r="C80" s="10">
        <v>78.0</v>
      </c>
      <c r="D80" s="3" t="s">
        <v>459</v>
      </c>
      <c r="E80" s="3">
        <f t="array" ref="E80">xlookup(D80,Sheet3!A:A,Sheet3!B:B)</f>
        <v>0</v>
      </c>
      <c r="F80" s="3" t="s">
        <v>34</v>
      </c>
      <c r="G80" s="3">
        <f t="array" ref="G80">xlookup(F80,Sheet2!A:A,Sheet2!B:B)</f>
        <v>8</v>
      </c>
      <c r="H80" s="3" t="s">
        <v>490</v>
      </c>
      <c r="I80" s="3" t="str">
        <f t="array" ref="I80">JOIN("", SORT(MID(LOWER(H80), SEQUENCE(LEN(H80)), 1)))</f>
        <v>     ,,aabdeeeeegiiillllnnnoprsuw</v>
      </c>
      <c r="J80" s="3" t="s">
        <v>109</v>
      </c>
      <c r="K80" s="3">
        <f t="array" ref="K80">xlookup(J80,Sheet2!A:A,Sheet2!B:B)</f>
        <v>49</v>
      </c>
      <c r="L80" s="3" t="s">
        <v>490</v>
      </c>
      <c r="M80" s="3" t="s">
        <v>47</v>
      </c>
      <c r="N80" s="3">
        <f t="array" ref="N80">xlookup(M80,Sheet2!A:A,Sheet2!B:B)</f>
        <v>27</v>
      </c>
      <c r="O80" s="3" t="s">
        <v>490</v>
      </c>
      <c r="P80" s="4" t="str">
        <f t="shared" si="1"/>
        <v>78 : [8,49,27],</v>
      </c>
      <c r="Q80" s="4" t="str">
        <f t="shared" si="2"/>
        <v>78 : 0,</v>
      </c>
    </row>
    <row r="81">
      <c r="A81" s="3" t="s">
        <v>491</v>
      </c>
      <c r="B81" s="5">
        <v>150405.0</v>
      </c>
      <c r="C81" s="10">
        <v>79.0</v>
      </c>
      <c r="D81" s="3" t="s">
        <v>459</v>
      </c>
      <c r="E81" s="3">
        <f t="array" ref="E81">xlookup(D81,Sheet3!A:A,Sheet3!B:B)</f>
        <v>0</v>
      </c>
      <c r="F81" s="3" t="s">
        <v>34</v>
      </c>
      <c r="G81" s="3">
        <f t="array" ref="G81">xlookup(F81,Sheet2!A:A,Sheet2!B:B)</f>
        <v>8</v>
      </c>
      <c r="H81" s="3" t="s">
        <v>492</v>
      </c>
      <c r="I81" s="3" t="str">
        <f t="array" ref="I81">JOIN("", SORT(MID(LOWER(H81), SEQUENCE(LEN(H81)), 1)))</f>
        <v>     ,,aabdeeeeegiiillllnnnoprsuw</v>
      </c>
      <c r="J81" s="3" t="s">
        <v>109</v>
      </c>
      <c r="K81" s="3">
        <f t="array" ref="K81">xlookup(J81,Sheet2!A:A,Sheet2!B:B)</f>
        <v>49</v>
      </c>
      <c r="L81" s="3" t="s">
        <v>492</v>
      </c>
      <c r="M81" s="3" t="s">
        <v>47</v>
      </c>
      <c r="N81" s="3">
        <f t="array" ref="N81">xlookup(M81,Sheet2!A:A,Sheet2!B:B)</f>
        <v>27</v>
      </c>
      <c r="O81" s="3" t="s">
        <v>492</v>
      </c>
      <c r="P81" s="4" t="str">
        <f t="shared" si="1"/>
        <v>79 : [8,49,27],</v>
      </c>
      <c r="Q81" s="4" t="str">
        <f t="shared" si="2"/>
        <v>79 : 0,</v>
      </c>
    </row>
    <row r="82">
      <c r="A82" s="3" t="s">
        <v>317</v>
      </c>
      <c r="B82" s="5">
        <v>159212.0</v>
      </c>
      <c r="C82" s="10">
        <v>80.0</v>
      </c>
      <c r="D82" s="3" t="s">
        <v>282</v>
      </c>
      <c r="E82" s="3">
        <f t="array" ref="E82">xlookup(D82,Sheet3!A:A,Sheet3!B:B)</f>
        <v>1</v>
      </c>
      <c r="F82" s="3" t="s">
        <v>21</v>
      </c>
      <c r="G82" s="3">
        <f t="array" ref="G82">xlookup(F82,Sheet2!A:A,Sheet2!B:B)</f>
        <v>10</v>
      </c>
      <c r="H82" s="3" t="s">
        <v>318</v>
      </c>
      <c r="I82" s="3" t="str">
        <f t="array" ref="I82">JOIN("", SORT(MID(LOWER(H82), SEQUENCE(LEN(H82)), 1)))</f>
        <v>      ,,aaaaaaddeeeehhhhhhiilmmnnnprrrrssstuvy</v>
      </c>
      <c r="J82" s="3" t="s">
        <v>20</v>
      </c>
      <c r="K82" s="3">
        <f t="array" ref="K82">xlookup(J82,Sheet2!A:A,Sheet2!B:B)</f>
        <v>48</v>
      </c>
      <c r="L82" s="3" t="s">
        <v>318</v>
      </c>
      <c r="M82" s="3" t="s">
        <v>18</v>
      </c>
      <c r="N82" s="3">
        <f t="array" ref="N82">xlookup(M82,Sheet2!A:A,Sheet2!B:B)</f>
        <v>22</v>
      </c>
      <c r="O82" s="3" t="s">
        <v>318</v>
      </c>
      <c r="P82" s="4" t="str">
        <f t="shared" si="1"/>
        <v>80 : [10,48,22],</v>
      </c>
      <c r="Q82" s="4" t="str">
        <f t="shared" si="2"/>
        <v>80 : 1,</v>
      </c>
    </row>
    <row r="83">
      <c r="A83" s="3" t="s">
        <v>84</v>
      </c>
      <c r="B83" s="5">
        <v>177495.0</v>
      </c>
      <c r="C83" s="10">
        <v>81.0</v>
      </c>
      <c r="D83" s="3" t="s">
        <v>60</v>
      </c>
      <c r="E83" s="3">
        <f t="array" ref="E83">xlookup(D83,Sheet3!A:A,Sheet3!B:B)</f>
        <v>4</v>
      </c>
      <c r="F83" s="3" t="s">
        <v>21</v>
      </c>
      <c r="G83" s="3">
        <f t="array" ref="G83">xlookup(F83,Sheet2!A:A,Sheet2!B:B)</f>
        <v>10</v>
      </c>
      <c r="H83" s="3" t="s">
        <v>85</v>
      </c>
      <c r="I83" s="3" t="str">
        <f t="array" ref="I83">JOIN("", SORT(MID(LOWER(H83), SEQUENCE(LEN(H83)), 1)))</f>
        <v>       ,aaaaaaadddeeeehhhhhhiilmmnnnnprrrrssstuvy</v>
      </c>
      <c r="J83" s="3" t="s">
        <v>20</v>
      </c>
      <c r="K83" s="3">
        <f t="array" ref="K83">xlookup(J83,Sheet2!A:A,Sheet2!B:B)</f>
        <v>48</v>
      </c>
      <c r="L83" s="3" t="s">
        <v>86</v>
      </c>
      <c r="M83" s="3" t="s">
        <v>18</v>
      </c>
      <c r="N83" s="3">
        <f t="array" ref="N83">xlookup(M83,Sheet2!A:A,Sheet2!B:B)</f>
        <v>22</v>
      </c>
      <c r="O83" s="3" t="s">
        <v>85</v>
      </c>
      <c r="P83" s="4" t="str">
        <f t="shared" si="1"/>
        <v>81 : [10,48,22],</v>
      </c>
      <c r="Q83" s="4" t="str">
        <f t="shared" si="2"/>
        <v>81 : 4,</v>
      </c>
    </row>
    <row r="84">
      <c r="A84" s="3" t="s">
        <v>319</v>
      </c>
      <c r="B84" s="5">
        <v>124121.0</v>
      </c>
      <c r="C84" s="10">
        <v>82.0</v>
      </c>
      <c r="D84" s="3" t="s">
        <v>282</v>
      </c>
      <c r="E84" s="3">
        <f t="array" ref="E84">xlookup(D84,Sheet3!A:A,Sheet3!B:B)</f>
        <v>1</v>
      </c>
      <c r="F84" s="3" t="s">
        <v>21</v>
      </c>
      <c r="G84" s="3">
        <f t="array" ref="G84">xlookup(F84,Sheet2!A:A,Sheet2!B:B)</f>
        <v>10</v>
      </c>
      <c r="H84" s="3" t="s">
        <v>320</v>
      </c>
      <c r="I84" s="3" t="str">
        <f t="array" ref="I84">JOIN("", SORT(MID(LOWER(H84), SEQUENCE(LEN(H84)), 1)))</f>
        <v>      ,,aaaaaaddeeeehhhhhhiilmmnnnprrrrssstuvy</v>
      </c>
      <c r="J84" s="3" t="s">
        <v>20</v>
      </c>
      <c r="K84" s="3">
        <f t="array" ref="K84">xlookup(J84,Sheet2!A:A,Sheet2!B:B)</f>
        <v>48</v>
      </c>
      <c r="L84" s="3" t="s">
        <v>320</v>
      </c>
      <c r="M84" s="3" t="s">
        <v>18</v>
      </c>
      <c r="N84" s="3">
        <f t="array" ref="N84">xlookup(M84,Sheet2!A:A,Sheet2!B:B)</f>
        <v>22</v>
      </c>
      <c r="O84" s="3" t="s">
        <v>320</v>
      </c>
      <c r="P84" s="4" t="str">
        <f t="shared" si="1"/>
        <v>82 : [10,48,22],</v>
      </c>
      <c r="Q84" s="4" t="str">
        <f t="shared" si="2"/>
        <v>82 : 1,</v>
      </c>
    </row>
    <row r="85">
      <c r="A85" s="3" t="s">
        <v>493</v>
      </c>
      <c r="B85" s="5">
        <v>137993.0</v>
      </c>
      <c r="C85" s="10">
        <v>83.0</v>
      </c>
      <c r="D85" s="3" t="s">
        <v>459</v>
      </c>
      <c r="E85" s="3">
        <f t="array" ref="E85">xlookup(D85,Sheet3!A:A,Sheet3!B:B)</f>
        <v>0</v>
      </c>
      <c r="F85" s="3" t="s">
        <v>111</v>
      </c>
      <c r="G85" s="3">
        <f t="array" ref="G85">xlookup(F85,Sheet2!A:A,Sheet2!B:B)</f>
        <v>28</v>
      </c>
      <c r="H85" s="3" t="s">
        <v>494</v>
      </c>
      <c r="I85" s="3" t="str">
        <f t="array" ref="I85">JOIN("", SORT(MID(LOWER(H85), SEQUENCE(LEN(H85)), 1)))</f>
        <v>     ,,aaaaaaaaddeeeehhhhikkmmnnnpprsssttuvvyyz</v>
      </c>
      <c r="J85" s="3" t="s">
        <v>34</v>
      </c>
      <c r="K85" s="3">
        <f t="array" ref="K85">xlookup(J85,Sheet2!A:A,Sheet2!B:B)</f>
        <v>8</v>
      </c>
      <c r="L85" s="3" t="s">
        <v>494</v>
      </c>
      <c r="M85" s="3" t="s">
        <v>109</v>
      </c>
      <c r="N85" s="3">
        <f t="array" ref="N85">xlookup(M85,Sheet2!A:A,Sheet2!B:B)</f>
        <v>49</v>
      </c>
      <c r="O85" s="3" t="s">
        <v>494</v>
      </c>
      <c r="P85" s="4" t="str">
        <f t="shared" si="1"/>
        <v>83 : [28,8,49],</v>
      </c>
      <c r="Q85" s="4" t="str">
        <f t="shared" si="2"/>
        <v>83 : 0,</v>
      </c>
    </row>
    <row r="86">
      <c r="A86" s="3" t="s">
        <v>495</v>
      </c>
      <c r="B86" s="5">
        <v>151881.0</v>
      </c>
      <c r="C86" s="10">
        <v>84.0</v>
      </c>
      <c r="D86" s="3" t="s">
        <v>459</v>
      </c>
      <c r="E86" s="3">
        <f t="array" ref="E86">xlookup(D86,Sheet3!A:A,Sheet3!B:B)</f>
        <v>0</v>
      </c>
      <c r="F86" s="3" t="s">
        <v>20</v>
      </c>
      <c r="G86" s="3">
        <f t="array" ref="G86">xlookup(F86,Sheet2!A:A,Sheet2!B:B)</f>
        <v>48</v>
      </c>
      <c r="H86" s="3" t="s">
        <v>496</v>
      </c>
      <c r="I86" s="3" t="str">
        <f t="array" ref="I86">JOIN("", SORT(MID(LOWER(H86), SEQUENCE(LEN(H86)), 1)))</f>
        <v>       ,aaaaaaabbcdeeefhhhiiiiikkllllnnnnrrrssssstvv</v>
      </c>
      <c r="J86" s="3" t="s">
        <v>18</v>
      </c>
      <c r="K86" s="3">
        <f t="array" ref="K86">xlookup(J86,Sheet2!A:A,Sheet2!B:B)</f>
        <v>22</v>
      </c>
      <c r="L86" s="3" t="s">
        <v>496</v>
      </c>
      <c r="M86" s="3" t="s">
        <v>114</v>
      </c>
      <c r="N86" s="3">
        <f t="array" ref="N86">xlookup(M86,Sheet2!A:A,Sheet2!B:B)</f>
        <v>12</v>
      </c>
      <c r="O86" s="3" t="s">
        <v>496</v>
      </c>
      <c r="P86" s="4" t="str">
        <f t="shared" si="1"/>
        <v>84 : [48,22,12],</v>
      </c>
      <c r="Q86" s="4" t="str">
        <f t="shared" si="2"/>
        <v>84 : 0,</v>
      </c>
    </row>
    <row r="87">
      <c r="A87" s="3" t="s">
        <v>497</v>
      </c>
      <c r="B87" s="5">
        <v>151883.0</v>
      </c>
      <c r="C87" s="10">
        <v>85.0</v>
      </c>
      <c r="D87" s="3" t="s">
        <v>459</v>
      </c>
      <c r="E87" s="3">
        <f t="array" ref="E87">xlookup(D87,Sheet3!A:A,Sheet3!B:B)</f>
        <v>0</v>
      </c>
      <c r="F87" s="3" t="s">
        <v>20</v>
      </c>
      <c r="G87" s="3">
        <f t="array" ref="G87">xlookup(F87,Sheet2!A:A,Sheet2!B:B)</f>
        <v>48</v>
      </c>
      <c r="H87" s="3" t="s">
        <v>498</v>
      </c>
      <c r="I87" s="3" t="str">
        <f t="array" ref="I87">JOIN("", SORT(MID(LOWER(H87), SEQUENCE(LEN(H87)), 1)))</f>
        <v>              ---,,aaaaaaabbbbbbcceeeeeeeeefhhhiiiiikkllllmmmmmmnnnrrrrrrssssstvv</v>
      </c>
      <c r="J87" s="3" t="s">
        <v>18</v>
      </c>
      <c r="K87" s="3">
        <f t="array" ref="K87">xlookup(J87,Sheet2!A:A,Sheet2!B:B)</f>
        <v>22</v>
      </c>
      <c r="L87" s="3" t="s">
        <v>498</v>
      </c>
      <c r="M87" s="3" t="s">
        <v>114</v>
      </c>
      <c r="N87" s="3">
        <f t="array" ref="N87">xlookup(M87,Sheet2!A:A,Sheet2!B:B)</f>
        <v>12</v>
      </c>
      <c r="O87" s="3" t="s">
        <v>498</v>
      </c>
      <c r="P87" s="4" t="str">
        <f t="shared" si="1"/>
        <v>85 : [48,22,12],</v>
      </c>
      <c r="Q87" s="4" t="str">
        <f t="shared" si="2"/>
        <v>85 : 0,</v>
      </c>
    </row>
    <row r="88">
      <c r="A88" s="3" t="s">
        <v>499</v>
      </c>
      <c r="B88" s="5">
        <v>150825.0</v>
      </c>
      <c r="C88" s="10">
        <v>86.0</v>
      </c>
      <c r="D88" s="3" t="s">
        <v>459</v>
      </c>
      <c r="E88" s="3">
        <f t="array" ref="E88">xlookup(D88,Sheet3!A:A,Sheet3!B:B)</f>
        <v>0</v>
      </c>
      <c r="F88" s="3" t="s">
        <v>20</v>
      </c>
      <c r="G88" s="3">
        <f t="array" ref="G88">xlookup(F88,Sheet2!A:A,Sheet2!B:B)</f>
        <v>48</v>
      </c>
      <c r="H88" s="3" t="s">
        <v>500</v>
      </c>
      <c r="I88" s="3" t="str">
        <f t="array" ref="I88">JOIN("", SORT(MID(LOWER(H88), SEQUENCE(LEN(H88)), 1)))</f>
        <v>     ,,aaaaaabbceeefhhhiiiiikkllllnnnrrrssssstvv</v>
      </c>
      <c r="J88" s="3" t="s">
        <v>18</v>
      </c>
      <c r="K88" s="3">
        <f t="array" ref="K88">xlookup(J88,Sheet2!A:A,Sheet2!B:B)</f>
        <v>22</v>
      </c>
      <c r="L88" s="3" t="s">
        <v>500</v>
      </c>
      <c r="M88" s="3" t="s">
        <v>114</v>
      </c>
      <c r="N88" s="3">
        <f t="array" ref="N88">xlookup(M88,Sheet2!A:A,Sheet2!B:B)</f>
        <v>12</v>
      </c>
      <c r="O88" s="3" t="s">
        <v>500</v>
      </c>
      <c r="P88" s="4" t="str">
        <f t="shared" si="1"/>
        <v>86 : [48,22,12],</v>
      </c>
      <c r="Q88" s="4" t="str">
        <f t="shared" si="2"/>
        <v>86 : 0,</v>
      </c>
    </row>
    <row r="89">
      <c r="A89" s="3" t="s">
        <v>501</v>
      </c>
      <c r="B89" s="5">
        <v>110434.0</v>
      </c>
      <c r="C89" s="10">
        <v>87.0</v>
      </c>
      <c r="D89" s="3" t="s">
        <v>459</v>
      </c>
      <c r="E89" s="3">
        <f t="array" ref="E89">xlookup(D89,Sheet3!A:A,Sheet3!B:B)</f>
        <v>0</v>
      </c>
      <c r="F89" s="3" t="s">
        <v>111</v>
      </c>
      <c r="G89" s="3">
        <f t="array" ref="G89">xlookup(F89,Sheet2!A:A,Sheet2!B:B)</f>
        <v>28</v>
      </c>
      <c r="H89" s="3" t="s">
        <v>502</v>
      </c>
      <c r="I89" s="3" t="str">
        <f t="array" ref="I89">JOIN("", SORT(MID(LOWER(H89), SEQUENCE(LEN(H89)), 1)))</f>
        <v>     ,,aaaaaaaaddeeeehhhhikkmmnnnpprsssttuvvyyz</v>
      </c>
      <c r="J89" s="3" t="s">
        <v>34</v>
      </c>
      <c r="K89" s="3">
        <f t="array" ref="K89">xlookup(J89,Sheet2!A:A,Sheet2!B:B)</f>
        <v>8</v>
      </c>
      <c r="L89" s="3" t="s">
        <v>502</v>
      </c>
      <c r="M89" s="3" t="s">
        <v>109</v>
      </c>
      <c r="N89" s="3">
        <f t="array" ref="N89">xlookup(M89,Sheet2!A:A,Sheet2!B:B)</f>
        <v>49</v>
      </c>
      <c r="O89" s="3" t="s">
        <v>502</v>
      </c>
      <c r="P89" s="4" t="str">
        <f t="shared" si="1"/>
        <v>87 : [28,8,49],</v>
      </c>
      <c r="Q89" s="4" t="str">
        <f t="shared" si="2"/>
        <v>87 : 0,</v>
      </c>
    </row>
    <row r="90">
      <c r="A90" s="3" t="s">
        <v>503</v>
      </c>
      <c r="B90" s="5">
        <v>150633.0</v>
      </c>
      <c r="C90" s="10">
        <v>88.0</v>
      </c>
      <c r="D90" s="3" t="s">
        <v>459</v>
      </c>
      <c r="E90" s="3">
        <f t="array" ref="E90">xlookup(D90,Sheet3!A:A,Sheet3!B:B)</f>
        <v>0</v>
      </c>
      <c r="F90" s="3" t="s">
        <v>34</v>
      </c>
      <c r="G90" s="3">
        <f t="array" ref="G90">xlookup(F90,Sheet2!A:A,Sheet2!B:B)</f>
        <v>8</v>
      </c>
      <c r="H90" s="3" t="s">
        <v>504</v>
      </c>
      <c r="I90" s="3" t="str">
        <f t="array" ref="I90">JOIN("", SORT(MID(LOWER(H90), SEQUENCE(LEN(H90)), 1)))</f>
        <v>     ,,aabdeeeeegiiillllnnnoprsuw</v>
      </c>
      <c r="J90" s="3" t="s">
        <v>109</v>
      </c>
      <c r="K90" s="3">
        <f t="array" ref="K90">xlookup(J90,Sheet2!A:A,Sheet2!B:B)</f>
        <v>49</v>
      </c>
      <c r="L90" s="3" t="s">
        <v>504</v>
      </c>
      <c r="M90" s="3" t="s">
        <v>47</v>
      </c>
      <c r="N90" s="3">
        <f t="array" ref="N90">xlookup(M90,Sheet2!A:A,Sheet2!B:B)</f>
        <v>27</v>
      </c>
      <c r="O90" s="3" t="s">
        <v>504</v>
      </c>
      <c r="P90" s="4" t="str">
        <f t="shared" si="1"/>
        <v>88 : [8,49,27],</v>
      </c>
      <c r="Q90" s="4" t="str">
        <f t="shared" si="2"/>
        <v>88 : 0,</v>
      </c>
    </row>
    <row r="91">
      <c r="A91" s="3" t="s">
        <v>505</v>
      </c>
      <c r="B91" s="5">
        <v>137990.0</v>
      </c>
      <c r="C91" s="10">
        <v>89.0</v>
      </c>
      <c r="D91" s="3" t="s">
        <v>459</v>
      </c>
      <c r="E91" s="3">
        <f t="array" ref="E91">xlookup(D91,Sheet3!A:A,Sheet3!B:B)</f>
        <v>0</v>
      </c>
      <c r="F91" s="3" t="s">
        <v>74</v>
      </c>
      <c r="G91" s="3">
        <f t="array" ref="G91">xlookup(F91,Sheet2!A:A,Sheet2!B:B)</f>
        <v>50</v>
      </c>
      <c r="H91" s="3" t="s">
        <v>215</v>
      </c>
      <c r="I91" s="3" t="str">
        <f t="array" ref="I91">JOIN("", SORT(MID(LOWER(H91), SEQUENCE(LEN(H91)), 1)))</f>
        <v>   ,aaaacdehhhilnnnnoortuwyyz</v>
      </c>
      <c r="J91" s="3" t="s">
        <v>207</v>
      </c>
      <c r="K91" s="3">
        <f t="array" ref="K91">xlookup(J91,Sheet2!A:A,Sheet2!B:B)</f>
        <v>1</v>
      </c>
      <c r="L91" s="3" t="s">
        <v>3</v>
      </c>
      <c r="M91" s="3" t="s">
        <v>191</v>
      </c>
      <c r="N91" s="3">
        <f t="array" ref="N91">xlookup(M91,Sheet2!A:A,Sheet2!B:B)</f>
        <v>39</v>
      </c>
      <c r="O91" s="3" t="s">
        <v>3</v>
      </c>
      <c r="P91" s="4" t="str">
        <f t="shared" si="1"/>
        <v>89 : [50,1,39],</v>
      </c>
      <c r="Q91" s="4" t="str">
        <f t="shared" si="2"/>
        <v>89 : 0,</v>
      </c>
    </row>
    <row r="92">
      <c r="A92" s="3" t="s">
        <v>321</v>
      </c>
      <c r="B92" s="5">
        <v>138771.0</v>
      </c>
      <c r="C92" s="10">
        <v>90.0</v>
      </c>
      <c r="D92" s="3" t="s">
        <v>282</v>
      </c>
      <c r="E92" s="3">
        <f t="array" ref="E92">xlookup(D92,Sheet3!A:A,Sheet3!B:B)</f>
        <v>1</v>
      </c>
      <c r="F92" s="3" t="s">
        <v>111</v>
      </c>
      <c r="G92" s="3">
        <f t="array" ref="G92">xlookup(F92,Sheet2!A:A,Sheet2!B:B)</f>
        <v>28</v>
      </c>
      <c r="H92" s="3" t="s">
        <v>322</v>
      </c>
      <c r="I92" s="3" t="str">
        <f t="array" ref="I92">JOIN("", SORT(MID(LOWER(H92), SEQUENCE(LEN(H92)), 1)))</f>
        <v>     ,,aaaaaaaaaaaddeiiiillmmmnprrrrsstvyy</v>
      </c>
      <c r="J92" s="3" t="s">
        <v>109</v>
      </c>
      <c r="K92" s="3">
        <f t="array" ref="K92">xlookup(J92,Sheet2!A:A,Sheet2!B:B)</f>
        <v>49</v>
      </c>
      <c r="L92" s="3" t="s">
        <v>322</v>
      </c>
      <c r="M92" s="3" t="s">
        <v>184</v>
      </c>
      <c r="N92" s="3">
        <f t="array" ref="N92">xlookup(M92,Sheet2!A:A,Sheet2!B:B)</f>
        <v>4</v>
      </c>
      <c r="O92" s="3" t="s">
        <v>322</v>
      </c>
      <c r="P92" s="4" t="str">
        <f t="shared" si="1"/>
        <v>90 : [28,49,4],</v>
      </c>
      <c r="Q92" s="4" t="str">
        <f t="shared" si="2"/>
        <v>90 : 1,</v>
      </c>
    </row>
    <row r="93">
      <c r="A93" s="3" t="s">
        <v>192</v>
      </c>
      <c r="B93" s="5">
        <v>154787.0</v>
      </c>
      <c r="C93" s="10">
        <v>91.0</v>
      </c>
      <c r="D93" s="3" t="s">
        <v>153</v>
      </c>
      <c r="E93" s="3">
        <f t="array" ref="E93">xlookup(D93,Sheet3!A:A,Sheet3!B:B)</f>
        <v>2</v>
      </c>
      <c r="F93" s="3" t="s">
        <v>111</v>
      </c>
      <c r="G93" s="3">
        <f t="array" ref="G93">xlookup(F93,Sheet2!A:A,Sheet2!B:B)</f>
        <v>28</v>
      </c>
      <c r="H93" s="3" t="s">
        <v>193</v>
      </c>
      <c r="I93" s="3" t="str">
        <f t="array" ref="I93">JOIN("", SORT(MID(LOWER(H93), SEQUENCE(LEN(H93)), 1)))</f>
        <v>     ,,aaaaaaaaaaaddeiiiillmmmnprrrrsstvyy</v>
      </c>
      <c r="J93" s="3" t="s">
        <v>109</v>
      </c>
      <c r="K93" s="3">
        <f t="array" ref="K93">xlookup(J93,Sheet2!A:A,Sheet2!B:B)</f>
        <v>49</v>
      </c>
      <c r="L93" s="3" t="s">
        <v>193</v>
      </c>
      <c r="M93" s="3" t="s">
        <v>184</v>
      </c>
      <c r="N93" s="3">
        <f t="array" ref="N93">xlookup(M93,Sheet2!A:A,Sheet2!B:B)</f>
        <v>4</v>
      </c>
      <c r="O93" s="3" t="s">
        <v>193</v>
      </c>
      <c r="P93" s="4" t="str">
        <f t="shared" si="1"/>
        <v>91 : [28,49,4],</v>
      </c>
      <c r="Q93" s="4" t="str">
        <f t="shared" si="2"/>
        <v>91 : 2,</v>
      </c>
    </row>
    <row r="94">
      <c r="A94" s="3" t="s">
        <v>323</v>
      </c>
      <c r="B94" s="5">
        <v>306981.0</v>
      </c>
      <c r="C94" s="10">
        <v>92.0</v>
      </c>
      <c r="D94" s="3" t="s">
        <v>282</v>
      </c>
      <c r="E94" s="3">
        <f t="array" ref="E94">xlookup(D94,Sheet3!A:A,Sheet3!B:B)</f>
        <v>1</v>
      </c>
      <c r="F94" s="3" t="s">
        <v>111</v>
      </c>
      <c r="G94" s="3">
        <f t="array" ref="G94">xlookup(F94,Sheet2!A:A,Sheet2!B:B)</f>
        <v>28</v>
      </c>
      <c r="H94" s="3" t="s">
        <v>324</v>
      </c>
      <c r="I94" s="3" t="str">
        <f t="array" ref="I94">JOIN("", SORT(MID(LOWER(H94), SEQUENCE(LEN(H94)), 1)))</f>
        <v>     ,,aaaaaaaaaaaddeiiiillmmmnprrrrsstvyy</v>
      </c>
      <c r="J94" s="3" t="s">
        <v>109</v>
      </c>
      <c r="K94" s="3">
        <f t="array" ref="K94">xlookup(J94,Sheet2!A:A,Sheet2!B:B)</f>
        <v>49</v>
      </c>
      <c r="L94" s="3" t="s">
        <v>324</v>
      </c>
      <c r="M94" s="3" t="s">
        <v>184</v>
      </c>
      <c r="N94" s="3">
        <f t="array" ref="N94">xlookup(M94,Sheet2!A:A,Sheet2!B:B)</f>
        <v>4</v>
      </c>
      <c r="O94" s="3" t="s">
        <v>324</v>
      </c>
      <c r="P94" s="4" t="str">
        <f t="shared" si="1"/>
        <v>92 : [28,49,4],</v>
      </c>
      <c r="Q94" s="4" t="str">
        <f t="shared" si="2"/>
        <v>92 : 1,</v>
      </c>
    </row>
    <row r="95">
      <c r="A95" s="3" t="s">
        <v>17</v>
      </c>
      <c r="B95" s="5">
        <v>162647.0</v>
      </c>
      <c r="C95" s="10">
        <v>93.0</v>
      </c>
      <c r="D95" s="3" t="s">
        <v>1</v>
      </c>
      <c r="E95" s="3">
        <f t="array" ref="E95">xlookup(D95,Sheet3!A:A,Sheet3!B:B)</f>
        <v>5</v>
      </c>
      <c r="F95" s="3" t="s">
        <v>18</v>
      </c>
      <c r="G95" s="3">
        <f t="array" ref="G95">xlookup(F95,Sheet2!A:A,Sheet2!B:B)</f>
        <v>22</v>
      </c>
      <c r="H95" s="3" t="s">
        <v>19</v>
      </c>
      <c r="I95" s="3" t="str">
        <f t="array" ref="I95">JOIN("", SORT(MID(LOWER(H95), SEQUENCE(LEN(H95)), 1)))</f>
        <v>     ,,aaaaaaabdeghhhhhhiiiiijjklmnnnnorsssttuuvyz</v>
      </c>
      <c r="J95" s="3" t="s">
        <v>20</v>
      </c>
      <c r="K95" s="3">
        <f t="array" ref="K95">xlookup(J95,Sheet2!A:A,Sheet2!B:B)</f>
        <v>48</v>
      </c>
      <c r="L95" s="3" t="s">
        <v>19</v>
      </c>
      <c r="M95" s="3" t="s">
        <v>21</v>
      </c>
      <c r="N95" s="3">
        <f t="array" ref="N95">xlookup(M95,Sheet2!A:A,Sheet2!B:B)</f>
        <v>10</v>
      </c>
      <c r="O95" s="3" t="s">
        <v>19</v>
      </c>
      <c r="P95" s="4" t="str">
        <f t="shared" si="1"/>
        <v>93 : [22,48,10],</v>
      </c>
      <c r="Q95" s="4" t="str">
        <f t="shared" si="2"/>
        <v>93 : 5,</v>
      </c>
    </row>
    <row r="96">
      <c r="A96" s="3" t="s">
        <v>22</v>
      </c>
      <c r="B96" s="5">
        <v>110673.0</v>
      </c>
      <c r="C96" s="10">
        <v>94.0</v>
      </c>
      <c r="D96" s="3" t="s">
        <v>1</v>
      </c>
      <c r="E96" s="3">
        <f t="array" ref="E96">xlookup(D96,Sheet3!A:A,Sheet3!B:B)</f>
        <v>5</v>
      </c>
      <c r="F96" s="3" t="s">
        <v>18</v>
      </c>
      <c r="G96" s="3">
        <f t="array" ref="G96">xlookup(F96,Sheet2!A:A,Sheet2!B:B)</f>
        <v>22</v>
      </c>
      <c r="H96" s="3" t="s">
        <v>23</v>
      </c>
      <c r="I96" s="3" t="str">
        <f t="array" ref="I96">JOIN("", SORT(MID(LOWER(H96), SEQUENCE(LEN(H96)), 1)))</f>
        <v>     ,,aaaaaaabdeghhhhhhiiiiijjklmnnnnorsssttuuvyz</v>
      </c>
      <c r="J96" s="3" t="s">
        <v>20</v>
      </c>
      <c r="K96" s="3">
        <f t="array" ref="K96">xlookup(J96,Sheet2!A:A,Sheet2!B:B)</f>
        <v>48</v>
      </c>
      <c r="L96" s="3" t="s">
        <v>23</v>
      </c>
      <c r="M96" s="3" t="s">
        <v>21</v>
      </c>
      <c r="N96" s="3">
        <f t="array" ref="N96">xlookup(M96,Sheet2!A:A,Sheet2!B:B)</f>
        <v>10</v>
      </c>
      <c r="O96" s="3" t="s">
        <v>23</v>
      </c>
      <c r="P96" s="4" t="str">
        <f t="shared" si="1"/>
        <v>94 : [22,48,10],</v>
      </c>
      <c r="Q96" s="4" t="str">
        <f t="shared" si="2"/>
        <v>94 : 5,</v>
      </c>
    </row>
    <row r="97">
      <c r="A97" s="3" t="s">
        <v>24</v>
      </c>
      <c r="B97" s="5">
        <v>154764.0</v>
      </c>
      <c r="C97" s="10">
        <v>95.0</v>
      </c>
      <c r="D97" s="3" t="s">
        <v>1</v>
      </c>
      <c r="E97" s="3">
        <f t="array" ref="E97">xlookup(D97,Sheet3!A:A,Sheet3!B:B)</f>
        <v>5</v>
      </c>
      <c r="F97" s="3" t="s">
        <v>13</v>
      </c>
      <c r="G97" s="3">
        <f t="array" ref="G97">xlookup(F97,Sheet2!A:A,Sheet2!B:B)</f>
        <v>17</v>
      </c>
      <c r="H97" s="3" t="s">
        <v>3</v>
      </c>
      <c r="I97" s="3" t="str">
        <f t="array" ref="I97">JOIN("", SORT(MID(LOWER(H97), SEQUENCE(LEN(H97)), 1)))</f>
        <v>an</v>
      </c>
      <c r="J97" s="3" t="s">
        <v>25</v>
      </c>
      <c r="K97" s="3">
        <f t="array" ref="K97">xlookup(J97,Sheet2!A:A,Sheet2!B:B)</f>
        <v>18</v>
      </c>
      <c r="L97" s="3" t="s">
        <v>3</v>
      </c>
      <c r="M97" s="3" t="s">
        <v>26</v>
      </c>
      <c r="N97" s="3">
        <f t="array" ref="N97">xlookup(M97,Sheet2!A:A,Sheet2!B:B)</f>
        <v>7</v>
      </c>
      <c r="O97" s="3" t="s">
        <v>3</v>
      </c>
      <c r="P97" s="4" t="str">
        <f t="shared" si="1"/>
        <v>95 : [17,18,7],</v>
      </c>
      <c r="Q97" s="4" t="str">
        <f t="shared" si="2"/>
        <v>95 : 5,</v>
      </c>
    </row>
    <row r="98">
      <c r="A98" s="3" t="s">
        <v>506</v>
      </c>
      <c r="B98" s="5">
        <v>119320.0</v>
      </c>
      <c r="C98" s="10">
        <v>96.0</v>
      </c>
      <c r="D98" s="3" t="s">
        <v>459</v>
      </c>
      <c r="E98" s="3">
        <f t="array" ref="E98">xlookup(D98,Sheet3!A:A,Sheet3!B:B)</f>
        <v>0</v>
      </c>
      <c r="F98" s="3" t="s">
        <v>207</v>
      </c>
      <c r="G98" s="3">
        <f t="array" ref="G98">xlookup(F98,Sheet2!A:A,Sheet2!B:B)</f>
        <v>1</v>
      </c>
      <c r="H98" s="3" t="s">
        <v>3</v>
      </c>
      <c r="I98" s="3" t="str">
        <f t="array" ref="I98">JOIN("", SORT(MID(LOWER(H98), SEQUENCE(LEN(H98)), 1)))</f>
        <v>an</v>
      </c>
      <c r="J98" s="3" t="s">
        <v>105</v>
      </c>
      <c r="K98" s="3">
        <f t="array" ref="K98">xlookup(J98,Sheet2!A:A,Sheet2!B:B)</f>
        <v>26</v>
      </c>
      <c r="L98" s="3" t="s">
        <v>3</v>
      </c>
      <c r="M98" s="3" t="s">
        <v>64</v>
      </c>
      <c r="N98" s="3">
        <f t="array" ref="N98">xlookup(M98,Sheet2!A:A,Sheet2!B:B)</f>
        <v>30</v>
      </c>
      <c r="O98" s="3" t="s">
        <v>3</v>
      </c>
      <c r="P98" s="4" t="str">
        <f t="shared" si="1"/>
        <v>96 : [1,26,30],</v>
      </c>
      <c r="Q98" s="4" t="str">
        <f t="shared" si="2"/>
        <v>96 : 0,</v>
      </c>
    </row>
    <row r="99">
      <c r="A99" s="3" t="s">
        <v>325</v>
      </c>
      <c r="B99" s="5">
        <v>136592.0</v>
      </c>
      <c r="C99" s="10">
        <v>97.0</v>
      </c>
      <c r="D99" s="3" t="s">
        <v>282</v>
      </c>
      <c r="E99" s="3">
        <f t="array" ref="E99">xlookup(D99,Sheet3!A:A,Sheet3!B:B)</f>
        <v>1</v>
      </c>
      <c r="F99" s="3" t="s">
        <v>125</v>
      </c>
      <c r="G99" s="3">
        <f t="array" ref="G99">xlookup(F99,Sheet2!A:A,Sheet2!B:B)</f>
        <v>19</v>
      </c>
      <c r="H99" s="3" t="s">
        <v>326</v>
      </c>
      <c r="I99" s="3" t="str">
        <f t="array" ref="I99">JOIN("", SORT(MID(LOWER(H99), SEQUENCE(LEN(H99)), 1)))</f>
        <v>     aaaadeeegghhiijlmnnnntwyz</v>
      </c>
      <c r="J99" s="3" t="s">
        <v>7</v>
      </c>
      <c r="K99" s="3">
        <f t="array" ref="K99">xlookup(J99,Sheet2!A:A,Sheet2!B:B)</f>
        <v>15</v>
      </c>
      <c r="L99" s="3" t="s">
        <v>326</v>
      </c>
      <c r="M99" s="3" t="s">
        <v>76</v>
      </c>
      <c r="N99" s="3">
        <f t="array" ref="N99">xlookup(M99,Sheet2!A:A,Sheet2!B:B)</f>
        <v>24</v>
      </c>
      <c r="O99" s="3" t="s">
        <v>326</v>
      </c>
      <c r="P99" s="4" t="str">
        <f t="shared" si="1"/>
        <v>97 : [19,15,24],</v>
      </c>
      <c r="Q99" s="4" t="str">
        <f t="shared" si="2"/>
        <v>97 : 1,</v>
      </c>
    </row>
    <row r="100">
      <c r="A100" s="3" t="s">
        <v>327</v>
      </c>
      <c r="B100" s="5">
        <v>314880.0</v>
      </c>
      <c r="C100" s="10">
        <v>98.0</v>
      </c>
      <c r="D100" s="3" t="s">
        <v>282</v>
      </c>
      <c r="E100" s="3">
        <f t="array" ref="E100">xlookup(D100,Sheet3!A:A,Sheet3!B:B)</f>
        <v>1</v>
      </c>
      <c r="F100" s="3" t="s">
        <v>125</v>
      </c>
      <c r="G100" s="3">
        <f t="array" ref="G100">xlookup(F100,Sheet2!A:A,Sheet2!B:B)</f>
        <v>19</v>
      </c>
      <c r="H100" s="3" t="s">
        <v>328</v>
      </c>
      <c r="I100" s="3" t="str">
        <f t="array" ref="I100">JOIN("", SORT(MID(LOWER(H100), SEQUENCE(LEN(H100)), 1)))</f>
        <v>    aaaadeeegghhiijlmnnnntwyz</v>
      </c>
      <c r="J100" s="3" t="s">
        <v>7</v>
      </c>
      <c r="K100" s="3">
        <f t="array" ref="K100">xlookup(J100,Sheet2!A:A,Sheet2!B:B)</f>
        <v>15</v>
      </c>
      <c r="L100" s="3" t="s">
        <v>328</v>
      </c>
      <c r="M100" s="3" t="s">
        <v>76</v>
      </c>
      <c r="N100" s="3">
        <f t="array" ref="N100">xlookup(M100,Sheet2!A:A,Sheet2!B:B)</f>
        <v>24</v>
      </c>
      <c r="O100" s="3" t="s">
        <v>328</v>
      </c>
      <c r="P100" s="4" t="str">
        <f t="shared" si="1"/>
        <v>98 : [19,15,24],</v>
      </c>
      <c r="Q100" s="4" t="str">
        <f t="shared" si="2"/>
        <v>98 : 1,</v>
      </c>
    </row>
    <row r="101">
      <c r="A101" s="3" t="s">
        <v>507</v>
      </c>
      <c r="B101" s="5">
        <v>150693.0</v>
      </c>
      <c r="C101" s="10">
        <v>99.0</v>
      </c>
      <c r="D101" s="3" t="s">
        <v>459</v>
      </c>
      <c r="E101" s="3">
        <f t="array" ref="E101">xlookup(D101,Sheet3!A:A,Sheet3!B:B)</f>
        <v>0</v>
      </c>
      <c r="F101" s="3" t="s">
        <v>28</v>
      </c>
      <c r="G101" s="3">
        <f t="array" ref="G101">xlookup(F101,Sheet2!A:A,Sheet2!B:B)</f>
        <v>32</v>
      </c>
      <c r="H101" s="3" t="s">
        <v>508</v>
      </c>
      <c r="I101" s="3" t="str">
        <f t="array" ref="I101">JOIN("", SORT(MID(LOWER(H101), SEQUENCE(LEN(H101)), 1)))</f>
        <v>     ,,aaacdeeehhhhiiiiiiiikkmnnnorrrrrrsstttuuw</v>
      </c>
      <c r="J101" s="3" t="s">
        <v>47</v>
      </c>
      <c r="K101" s="3">
        <f t="array" ref="K101">xlookup(J101,Sheet2!A:A,Sheet2!B:B)</f>
        <v>27</v>
      </c>
      <c r="L101" s="3" t="s">
        <v>508</v>
      </c>
      <c r="M101" s="3" t="s">
        <v>109</v>
      </c>
      <c r="N101" s="3">
        <f t="array" ref="N101">xlookup(M101,Sheet2!A:A,Sheet2!B:B)</f>
        <v>49</v>
      </c>
      <c r="O101" s="3" t="s">
        <v>508</v>
      </c>
      <c r="P101" s="4" t="str">
        <f t="shared" si="1"/>
        <v>99 : [32,27,49],</v>
      </c>
      <c r="Q101" s="4" t="str">
        <f t="shared" si="2"/>
        <v>99 : 0,</v>
      </c>
    </row>
    <row r="102">
      <c r="A102" s="3" t="s">
        <v>27</v>
      </c>
      <c r="B102" s="5">
        <v>110139.0</v>
      </c>
      <c r="C102" s="10">
        <v>100.0</v>
      </c>
      <c r="D102" s="3" t="s">
        <v>1</v>
      </c>
      <c r="E102" s="3">
        <f t="array" ref="E102">xlookup(D102,Sheet3!A:A,Sheet3!B:B)</f>
        <v>5</v>
      </c>
      <c r="F102" s="3" t="s">
        <v>28</v>
      </c>
      <c r="G102" s="3">
        <f t="array" ref="G102">xlookup(F102,Sheet2!A:A,Sheet2!B:B)</f>
        <v>32</v>
      </c>
      <c r="H102" s="3" t="s">
        <v>29</v>
      </c>
      <c r="I102" s="3" t="str">
        <f t="array" ref="I102">JOIN("", SORT(MID(LOWER(H102), SEQUENCE(LEN(H102)), 1)))</f>
        <v>     ,,aaaaacdefhhiiiiiiiklmnnprrrrtvyz</v>
      </c>
      <c r="J102" s="3" t="s">
        <v>30</v>
      </c>
      <c r="K102" s="3">
        <f t="array" ref="K102">xlookup(J102,Sheet2!A:A,Sheet2!B:B)</f>
        <v>13</v>
      </c>
      <c r="L102" s="3" t="s">
        <v>3</v>
      </c>
      <c r="M102" s="3" t="s">
        <v>2</v>
      </c>
      <c r="N102" s="3">
        <f t="array" ref="N102">xlookup(M102,Sheet2!A:A,Sheet2!B:B)</f>
        <v>25</v>
      </c>
      <c r="O102" s="3" t="s">
        <v>3</v>
      </c>
      <c r="P102" s="4" t="str">
        <f t="shared" si="1"/>
        <v>100 : [32,13,25],</v>
      </c>
      <c r="Q102" s="4" t="str">
        <f t="shared" si="2"/>
        <v>100 : 5,</v>
      </c>
    </row>
    <row r="103">
      <c r="A103" s="3" t="s">
        <v>509</v>
      </c>
      <c r="B103" s="5">
        <v>206209.0</v>
      </c>
      <c r="C103" s="10">
        <v>101.0</v>
      </c>
      <c r="D103" s="3" t="s">
        <v>459</v>
      </c>
      <c r="E103" s="3">
        <f t="array" ref="E103">xlookup(D103,Sheet3!A:A,Sheet3!B:B)</f>
        <v>0</v>
      </c>
      <c r="F103" s="3" t="s">
        <v>401</v>
      </c>
      <c r="G103" s="3">
        <f t="array" ref="G103">xlookup(F103,Sheet2!A:A,Sheet2!B:B)</f>
        <v>38</v>
      </c>
      <c r="H103" s="3" t="s">
        <v>3</v>
      </c>
      <c r="I103" s="3" t="str">
        <f t="array" ref="I103">JOIN("", SORT(MID(LOWER(H103), SEQUENCE(LEN(H103)), 1)))</f>
        <v>an</v>
      </c>
      <c r="J103" s="3" t="s">
        <v>309</v>
      </c>
      <c r="K103" s="3">
        <f t="array" ref="K103">xlookup(J103,Sheet2!A:A,Sheet2!B:B)</f>
        <v>40</v>
      </c>
      <c r="L103" s="3" t="s">
        <v>3</v>
      </c>
      <c r="M103" s="3" t="s">
        <v>238</v>
      </c>
      <c r="N103" s="3">
        <f t="array" ref="N103">xlookup(M103,Sheet2!A:A,Sheet2!B:B)</f>
        <v>37</v>
      </c>
      <c r="O103" s="3" t="s">
        <v>3</v>
      </c>
      <c r="P103" s="4" t="str">
        <f t="shared" si="1"/>
        <v>101 : [38,40,37],</v>
      </c>
      <c r="Q103" s="4" t="str">
        <f t="shared" si="2"/>
        <v>101 : 0,</v>
      </c>
    </row>
    <row r="104">
      <c r="A104" s="3" t="s">
        <v>510</v>
      </c>
      <c r="B104" s="5">
        <v>205403.0</v>
      </c>
      <c r="C104" s="10">
        <v>102.0</v>
      </c>
      <c r="D104" s="3" t="s">
        <v>459</v>
      </c>
      <c r="E104" s="3">
        <f t="array" ref="E104">xlookup(D104,Sheet3!A:A,Sheet3!B:B)</f>
        <v>0</v>
      </c>
      <c r="F104" s="3" t="s">
        <v>9</v>
      </c>
      <c r="G104" s="3">
        <f t="array" ref="G104">xlookup(F104,Sheet2!A:A,Sheet2!B:B)</f>
        <v>5</v>
      </c>
      <c r="H104" s="3" t="s">
        <v>511</v>
      </c>
      <c r="I104" s="3" t="str">
        <f t="array" ref="I104">JOIN("", SORT(MID(LOWER(H104), SEQUENCE(LEN(H104)), 1)))</f>
        <v>   ,aaaaaaahhiikknnprrssttuvw</v>
      </c>
      <c r="J104" s="3" t="s">
        <v>125</v>
      </c>
      <c r="K104" s="3">
        <f t="array" ref="K104">xlookup(J104,Sheet2!A:A,Sheet2!B:B)</f>
        <v>19</v>
      </c>
      <c r="L104" s="3" t="s">
        <v>511</v>
      </c>
      <c r="M104" s="3" t="s">
        <v>5</v>
      </c>
      <c r="N104" s="3">
        <f t="array" ref="N104">xlookup(M104,Sheet2!A:A,Sheet2!B:B)</f>
        <v>35</v>
      </c>
      <c r="O104" s="3" t="s">
        <v>511</v>
      </c>
      <c r="P104" s="4" t="str">
        <f t="shared" si="1"/>
        <v>102 : [5,19,35],</v>
      </c>
      <c r="Q104" s="4" t="str">
        <f t="shared" si="2"/>
        <v>102 : 0,</v>
      </c>
    </row>
    <row r="105">
      <c r="A105" s="3" t="s">
        <v>512</v>
      </c>
      <c r="B105" s="5">
        <v>206992.0</v>
      </c>
      <c r="C105" s="10">
        <v>103.0</v>
      </c>
      <c r="D105" s="3" t="s">
        <v>459</v>
      </c>
      <c r="E105" s="3">
        <f t="array" ref="E105">xlookup(D105,Sheet3!A:A,Sheet3!B:B)</f>
        <v>0</v>
      </c>
      <c r="F105" s="3" t="s">
        <v>9</v>
      </c>
      <c r="G105" s="3">
        <f t="array" ref="G105">xlookup(F105,Sheet2!A:A,Sheet2!B:B)</f>
        <v>5</v>
      </c>
      <c r="H105" s="3" t="s">
        <v>513</v>
      </c>
      <c r="I105" s="3" t="str">
        <f t="array" ref="I105">JOIN("", SORT(MID(LOWER(H105), SEQUENCE(LEN(H105)), 1)))</f>
        <v>   ,aaaaaaahhiikknnprrssttuvw</v>
      </c>
      <c r="J105" s="3" t="s">
        <v>125</v>
      </c>
      <c r="K105" s="3">
        <f t="array" ref="K105">xlookup(J105,Sheet2!A:A,Sheet2!B:B)</f>
        <v>19</v>
      </c>
      <c r="L105" s="3" t="s">
        <v>513</v>
      </c>
      <c r="M105" s="3" t="s">
        <v>5</v>
      </c>
      <c r="N105" s="3">
        <f t="array" ref="N105">xlookup(M105,Sheet2!A:A,Sheet2!B:B)</f>
        <v>35</v>
      </c>
      <c r="O105" s="3" t="s">
        <v>513</v>
      </c>
      <c r="P105" s="4" t="str">
        <f t="shared" si="1"/>
        <v>103 : [5,19,35],</v>
      </c>
      <c r="Q105" s="4" t="str">
        <f t="shared" si="2"/>
        <v>103 : 0,</v>
      </c>
    </row>
    <row r="106">
      <c r="A106" s="3" t="s">
        <v>514</v>
      </c>
      <c r="B106" s="5">
        <v>178859.0</v>
      </c>
      <c r="C106" s="10">
        <v>104.0</v>
      </c>
      <c r="D106" s="3" t="s">
        <v>459</v>
      </c>
      <c r="E106" s="3">
        <f t="array" ref="E106">xlookup(D106,Sheet3!A:A,Sheet3!B:B)</f>
        <v>0</v>
      </c>
      <c r="F106" s="3" t="s">
        <v>28</v>
      </c>
      <c r="G106" s="3">
        <f t="array" ref="G106">xlookup(F106,Sheet2!A:A,Sheet2!B:B)</f>
        <v>32</v>
      </c>
      <c r="H106" s="3" t="s">
        <v>515</v>
      </c>
      <c r="I106" s="3" t="str">
        <f t="array" ref="I106">JOIN("", SORT(MID(LOWER(H106), SEQUENCE(LEN(H106)), 1)))</f>
        <v>     ,,aaacdeeehhhhiiiiiiiikkmnnnorrrrrrsstttuuw</v>
      </c>
      <c r="J106" s="3" t="s">
        <v>47</v>
      </c>
      <c r="K106" s="3">
        <f t="array" ref="K106">xlookup(J106,Sheet2!A:A,Sheet2!B:B)</f>
        <v>27</v>
      </c>
      <c r="L106" s="3" t="s">
        <v>515</v>
      </c>
      <c r="M106" s="3" t="s">
        <v>109</v>
      </c>
      <c r="N106" s="3">
        <f t="array" ref="N106">xlookup(M106,Sheet2!A:A,Sheet2!B:B)</f>
        <v>49</v>
      </c>
      <c r="O106" s="3" t="s">
        <v>515</v>
      </c>
      <c r="P106" s="4" t="str">
        <f t="shared" si="1"/>
        <v>104 : [32,27,49],</v>
      </c>
      <c r="Q106" s="4" t="str">
        <f t="shared" si="2"/>
        <v>104 : 0,</v>
      </c>
    </row>
    <row r="107">
      <c r="A107" s="3" t="s">
        <v>516</v>
      </c>
      <c r="B107" s="5">
        <v>313866.0</v>
      </c>
      <c r="C107" s="10">
        <v>105.0</v>
      </c>
      <c r="D107" s="3" t="s">
        <v>459</v>
      </c>
      <c r="E107" s="3">
        <f t="array" ref="E107">xlookup(D107,Sheet3!A:A,Sheet3!B:B)</f>
        <v>0</v>
      </c>
      <c r="F107" s="3" t="s">
        <v>111</v>
      </c>
      <c r="G107" s="3">
        <f t="array" ref="G107">xlookup(F107,Sheet2!A:A,Sheet2!B:B)</f>
        <v>28</v>
      </c>
      <c r="H107" s="3" t="s">
        <v>517</v>
      </c>
      <c r="I107" s="3" t="str">
        <f t="array" ref="I107">JOIN("", SORT(MID(LOWER(H107), SEQUENCE(LEN(H107)), 1)))</f>
        <v>    aaaaaabddeeffiiiikklnnnnorssw</v>
      </c>
      <c r="J107" s="3" t="s">
        <v>30</v>
      </c>
      <c r="K107" s="3">
        <f t="array" ref="K107">xlookup(J107,Sheet2!A:A,Sheet2!B:B)</f>
        <v>13</v>
      </c>
      <c r="L107" s="3" t="s">
        <v>517</v>
      </c>
      <c r="M107" s="3" t="s">
        <v>114</v>
      </c>
      <c r="N107" s="3">
        <f t="array" ref="N107">xlookup(M107,Sheet2!A:A,Sheet2!B:B)</f>
        <v>12</v>
      </c>
      <c r="O107" s="3" t="s">
        <v>517</v>
      </c>
      <c r="P107" s="4" t="str">
        <f t="shared" si="1"/>
        <v>105 : [28,13,12],</v>
      </c>
      <c r="Q107" s="4" t="str">
        <f t="shared" si="2"/>
        <v>105 : 0,</v>
      </c>
    </row>
    <row r="108">
      <c r="A108" s="3" t="s">
        <v>518</v>
      </c>
      <c r="B108" s="5">
        <v>162277.0</v>
      </c>
      <c r="C108" s="10">
        <v>106.0</v>
      </c>
      <c r="D108" s="3" t="s">
        <v>459</v>
      </c>
      <c r="E108" s="3">
        <f t="array" ref="E108">xlookup(D108,Sheet3!A:A,Sheet3!B:B)</f>
        <v>0</v>
      </c>
      <c r="F108" s="3" t="s">
        <v>111</v>
      </c>
      <c r="G108" s="3">
        <f t="array" ref="G108">xlookup(F108,Sheet2!A:A,Sheet2!B:B)</f>
        <v>28</v>
      </c>
      <c r="H108" s="3" t="s">
        <v>519</v>
      </c>
      <c r="I108" s="3" t="str">
        <f t="array" ref="I108">JOIN("", SORT(MID(LOWER(H108), SEQUENCE(LEN(H108)), 1)))</f>
        <v>   ,aaaaabdeeffiiiikklnnnorssw</v>
      </c>
      <c r="J108" s="3" t="s">
        <v>30</v>
      </c>
      <c r="K108" s="3">
        <f t="array" ref="K108">xlookup(J108,Sheet2!A:A,Sheet2!B:B)</f>
        <v>13</v>
      </c>
      <c r="L108" s="3" t="s">
        <v>519</v>
      </c>
      <c r="M108" s="3" t="s">
        <v>114</v>
      </c>
      <c r="N108" s="3">
        <f t="array" ref="N108">xlookup(M108,Sheet2!A:A,Sheet2!B:B)</f>
        <v>12</v>
      </c>
      <c r="O108" s="3" t="s">
        <v>519</v>
      </c>
      <c r="P108" s="4" t="str">
        <f t="shared" si="1"/>
        <v>106 : [28,13,12],</v>
      </c>
      <c r="Q108" s="4" t="str">
        <f t="shared" si="2"/>
        <v>106 : 0,</v>
      </c>
    </row>
    <row r="109">
      <c r="A109" s="3" t="s">
        <v>520</v>
      </c>
      <c r="B109" s="5">
        <v>150818.0</v>
      </c>
      <c r="C109" s="10">
        <v>107.0</v>
      </c>
      <c r="D109" s="3" t="s">
        <v>459</v>
      </c>
      <c r="E109" s="3">
        <f t="array" ref="E109">xlookup(D109,Sheet3!A:A,Sheet3!B:B)</f>
        <v>0</v>
      </c>
      <c r="F109" s="3" t="s">
        <v>74</v>
      </c>
      <c r="G109" s="3">
        <f t="array" ref="G109">xlookup(F109,Sheet2!A:A,Sheet2!B:B)</f>
        <v>50</v>
      </c>
      <c r="H109" s="3" t="s">
        <v>521</v>
      </c>
      <c r="I109" s="3" t="str">
        <f t="array" ref="I109">JOIN("", SORT(MID(LOWER(H109), SEQUENCE(LEN(H109)), 1)))</f>
        <v>        ,,,aaaabbbeeeeghiillllmmmmnoprrryy</v>
      </c>
      <c r="J109" s="3" t="s">
        <v>96</v>
      </c>
      <c r="K109" s="3">
        <f t="array" ref="K109">xlookup(J109,Sheet2!A:A,Sheet2!B:B)</f>
        <v>47</v>
      </c>
      <c r="L109" s="3" t="s">
        <v>521</v>
      </c>
      <c r="M109" s="3" t="s">
        <v>76</v>
      </c>
      <c r="N109" s="3">
        <f t="array" ref="N109">xlookup(M109,Sheet2!A:A,Sheet2!B:B)</f>
        <v>24</v>
      </c>
      <c r="O109" s="3" t="s">
        <v>521</v>
      </c>
      <c r="P109" s="4" t="str">
        <f t="shared" si="1"/>
        <v>107 : [50,47,24],</v>
      </c>
      <c r="Q109" s="4" t="str">
        <f t="shared" si="2"/>
        <v>107 : 0,</v>
      </c>
    </row>
    <row r="110">
      <c r="A110" s="3" t="s">
        <v>522</v>
      </c>
      <c r="B110" s="5">
        <v>326504.0</v>
      </c>
      <c r="C110" s="10">
        <v>108.0</v>
      </c>
      <c r="D110" s="3" t="s">
        <v>459</v>
      </c>
      <c r="E110" s="3">
        <f t="array" ref="E110">xlookup(D110,Sheet3!A:A,Sheet3!B:B)</f>
        <v>0</v>
      </c>
      <c r="F110" s="3" t="s">
        <v>74</v>
      </c>
      <c r="G110" s="3">
        <f t="array" ref="G110">xlookup(F110,Sheet2!A:A,Sheet2!B:B)</f>
        <v>50</v>
      </c>
      <c r="H110" s="3" t="s">
        <v>523</v>
      </c>
      <c r="I110" s="3" t="str">
        <f t="array" ref="I110">JOIN("", SORT(MID(LOWER(H110), SEQUENCE(LEN(H110)), 1)))</f>
        <v>       ,,,aaaabbbeeeeghiillllmmmmnoprrryy</v>
      </c>
      <c r="J110" s="3" t="s">
        <v>96</v>
      </c>
      <c r="K110" s="3">
        <f t="array" ref="K110">xlookup(J110,Sheet2!A:A,Sheet2!B:B)</f>
        <v>47</v>
      </c>
      <c r="L110" s="3" t="s">
        <v>523</v>
      </c>
      <c r="M110" s="3" t="s">
        <v>76</v>
      </c>
      <c r="N110" s="3">
        <f t="array" ref="N110">xlookup(M110,Sheet2!A:A,Sheet2!B:B)</f>
        <v>24</v>
      </c>
      <c r="O110" s="3" t="s">
        <v>523</v>
      </c>
      <c r="P110" s="4" t="str">
        <f t="shared" si="1"/>
        <v>108 : [50,47,24],</v>
      </c>
      <c r="Q110" s="4" t="str">
        <f t="shared" si="2"/>
        <v>108 : 0,</v>
      </c>
    </row>
    <row r="111">
      <c r="A111" s="3" t="s">
        <v>329</v>
      </c>
      <c r="B111" s="5">
        <v>318895.0</v>
      </c>
      <c r="C111" s="10">
        <v>109.0</v>
      </c>
      <c r="D111" s="3" t="s">
        <v>282</v>
      </c>
      <c r="E111" s="3">
        <f t="array" ref="E111">xlookup(D111,Sheet3!A:A,Sheet3!B:B)</f>
        <v>1</v>
      </c>
      <c r="F111" s="3" t="s">
        <v>2</v>
      </c>
      <c r="G111" s="3">
        <f t="array" ref="G111">xlookup(F111,Sheet2!A:A,Sheet2!B:B)</f>
        <v>25</v>
      </c>
      <c r="H111" s="3" t="s">
        <v>3</v>
      </c>
      <c r="I111" s="3" t="str">
        <f t="array" ref="I111">JOIN("", SORT(MID(LOWER(H111), SEQUENCE(LEN(H111)), 1)))</f>
        <v>an</v>
      </c>
      <c r="J111" s="3" t="s">
        <v>15</v>
      </c>
      <c r="K111" s="3">
        <f t="array" ref="K111">xlookup(J111,Sheet2!A:A,Sheet2!B:B)</f>
        <v>0</v>
      </c>
      <c r="L111" s="3" t="s">
        <v>3</v>
      </c>
      <c r="M111" s="3" t="s">
        <v>207</v>
      </c>
      <c r="N111" s="3">
        <f t="array" ref="N111">xlookup(M111,Sheet2!A:A,Sheet2!B:B)</f>
        <v>1</v>
      </c>
      <c r="O111" s="3" t="s">
        <v>3</v>
      </c>
      <c r="P111" s="4" t="str">
        <f t="shared" si="1"/>
        <v>109 : [25,0,1],</v>
      </c>
      <c r="Q111" s="4" t="str">
        <f t="shared" si="2"/>
        <v>109 : 1,</v>
      </c>
    </row>
    <row r="112">
      <c r="A112" s="3" t="s">
        <v>194</v>
      </c>
      <c r="B112" s="5">
        <v>110300.0</v>
      </c>
      <c r="C112" s="10">
        <v>110.0</v>
      </c>
      <c r="D112" s="3" t="s">
        <v>153</v>
      </c>
      <c r="E112" s="3">
        <f t="array" ref="E112">xlookup(D112,Sheet3!A:A,Sheet3!B:B)</f>
        <v>2</v>
      </c>
      <c r="F112" s="3" t="s">
        <v>109</v>
      </c>
      <c r="G112" s="3">
        <f t="array" ref="G112">xlookup(F112,Sheet2!A:A,Sheet2!B:B)</f>
        <v>49</v>
      </c>
      <c r="H112" s="3" t="s">
        <v>110</v>
      </c>
      <c r="I112" s="3" t="str">
        <f t="array" ref="I112">JOIN("", SORT(MID(LOWER(H112), SEQUENCE(LEN(H112)), 1)))</f>
        <v>     ,,aaaaaaaaabdehhhhiiiiillmmnnnprrrrsstuwyyy</v>
      </c>
      <c r="J112" s="3" t="s">
        <v>47</v>
      </c>
      <c r="K112" s="3">
        <f t="array" ref="K112">xlookup(J112,Sheet2!A:A,Sheet2!B:B)</f>
        <v>27</v>
      </c>
      <c r="L112" s="3" t="s">
        <v>110</v>
      </c>
      <c r="M112" s="3" t="s">
        <v>111</v>
      </c>
      <c r="N112" s="3">
        <f t="array" ref="N112">xlookup(M112,Sheet2!A:A,Sheet2!B:B)</f>
        <v>28</v>
      </c>
      <c r="O112" s="3" t="s">
        <v>110</v>
      </c>
      <c r="P112" s="4" t="str">
        <f t="shared" si="1"/>
        <v>110 : [49,27,28],</v>
      </c>
      <c r="Q112" s="4" t="str">
        <f t="shared" si="2"/>
        <v>110 : 2,</v>
      </c>
    </row>
    <row r="113">
      <c r="A113" s="3" t="s">
        <v>524</v>
      </c>
      <c r="B113" s="5">
        <v>164534.0</v>
      </c>
      <c r="C113" s="10">
        <v>111.0</v>
      </c>
      <c r="D113" s="3" t="s">
        <v>459</v>
      </c>
      <c r="E113" s="3">
        <f t="array" ref="E113">xlookup(D113,Sheet3!A:A,Sheet3!B:B)</f>
        <v>0</v>
      </c>
      <c r="F113" s="3" t="s">
        <v>18</v>
      </c>
      <c r="G113" s="3">
        <f t="array" ref="G113">xlookup(F113,Sheet2!A:A,Sheet2!B:B)</f>
        <v>22</v>
      </c>
      <c r="H113" s="3" t="s">
        <v>525</v>
      </c>
      <c r="I113" s="3" t="str">
        <f t="array" ref="I113">JOIN("", SORT(MID(LOWER(H113), SEQUENCE(LEN(H113)), 1)))</f>
        <v>     ,,aaaaaaaaefhhhiimnnnorrsssssttttuuuy</v>
      </c>
      <c r="J113" s="3" t="s">
        <v>39</v>
      </c>
      <c r="K113" s="3">
        <f t="array" ref="K113">xlookup(J113,Sheet2!A:A,Sheet2!B:B)</f>
        <v>20</v>
      </c>
      <c r="L113" s="3" t="s">
        <v>525</v>
      </c>
      <c r="M113" s="3" t="s">
        <v>74</v>
      </c>
      <c r="N113" s="3">
        <f t="array" ref="N113">xlookup(M113,Sheet2!A:A,Sheet2!B:B)</f>
        <v>50</v>
      </c>
      <c r="O113" s="3" t="s">
        <v>525</v>
      </c>
      <c r="P113" s="4" t="str">
        <f t="shared" si="1"/>
        <v>111 : [22,20,50],</v>
      </c>
      <c r="Q113" s="4" t="str">
        <f t="shared" si="2"/>
        <v>111 : 0,</v>
      </c>
    </row>
    <row r="114">
      <c r="A114" s="3" t="s">
        <v>195</v>
      </c>
      <c r="B114" s="5">
        <v>119330.0</v>
      </c>
      <c r="C114" s="10">
        <v>112.0</v>
      </c>
      <c r="D114" s="3" t="s">
        <v>153</v>
      </c>
      <c r="E114" s="3">
        <f t="array" ref="E114">xlookup(D114,Sheet3!A:A,Sheet3!B:B)</f>
        <v>2</v>
      </c>
      <c r="F114" s="3" t="s">
        <v>64</v>
      </c>
      <c r="G114" s="3">
        <f t="array" ref="G114">xlookup(F114,Sheet2!A:A,Sheet2!B:B)</f>
        <v>30</v>
      </c>
      <c r="H114" s="3" t="s">
        <v>196</v>
      </c>
      <c r="I114" s="3" t="str">
        <f t="array" ref="I114">JOIN("", SORT(MID(LOWER(H114), SEQUENCE(LEN(H114)), 1)))</f>
        <v>    ,aaaaadddeeeeeehiimnnnnprrrstttuvyy</v>
      </c>
      <c r="J114" s="3" t="s">
        <v>63</v>
      </c>
      <c r="K114" s="3">
        <f t="array" ref="K114">xlookup(J114,Sheet2!A:A,Sheet2!B:B)</f>
        <v>29</v>
      </c>
      <c r="L114" s="3" t="s">
        <v>196</v>
      </c>
      <c r="M114" s="3" t="s">
        <v>61</v>
      </c>
      <c r="N114" s="3">
        <f t="array" ref="N114">xlookup(M114,Sheet2!A:A,Sheet2!B:B)</f>
        <v>31</v>
      </c>
      <c r="O114" s="3" t="s">
        <v>196</v>
      </c>
      <c r="P114" s="4" t="str">
        <f t="shared" si="1"/>
        <v>112 : [30,29,31],</v>
      </c>
      <c r="Q114" s="4" t="str">
        <f t="shared" si="2"/>
        <v>112 : 2,</v>
      </c>
    </row>
    <row r="115">
      <c r="A115" s="3" t="s">
        <v>526</v>
      </c>
      <c r="B115" s="5">
        <v>136204.0</v>
      </c>
      <c r="C115" s="10">
        <v>113.0</v>
      </c>
      <c r="D115" s="3" t="s">
        <v>459</v>
      </c>
      <c r="E115" s="3">
        <f t="array" ref="E115">xlookup(D115,Sheet3!A:A,Sheet3!B:B)</f>
        <v>0</v>
      </c>
      <c r="F115" s="3" t="s">
        <v>309</v>
      </c>
      <c r="G115" s="3">
        <f t="array" ref="G115">xlookup(F115,Sheet2!A:A,Sheet2!B:B)</f>
        <v>40</v>
      </c>
      <c r="H115" s="3" t="s">
        <v>3</v>
      </c>
      <c r="I115" s="3" t="str">
        <f t="array" ref="I115">JOIN("", SORT(MID(LOWER(H115), SEQUENCE(LEN(H115)), 1)))</f>
        <v>an</v>
      </c>
      <c r="J115" s="3" t="s">
        <v>124</v>
      </c>
      <c r="K115" s="3">
        <f t="array" ref="K115">xlookup(J115,Sheet2!A:A,Sheet2!B:B)</f>
        <v>46</v>
      </c>
      <c r="L115" s="3" t="s">
        <v>3</v>
      </c>
      <c r="M115" s="3" t="s">
        <v>238</v>
      </c>
      <c r="N115" s="3">
        <f t="array" ref="N115">xlookup(M115,Sheet2!A:A,Sheet2!B:B)</f>
        <v>37</v>
      </c>
      <c r="O115" s="3" t="s">
        <v>3</v>
      </c>
      <c r="P115" s="4" t="str">
        <f t="shared" si="1"/>
        <v>113 : [40,46,37],</v>
      </c>
      <c r="Q115" s="4" t="str">
        <f t="shared" si="2"/>
        <v>113 : 0,</v>
      </c>
    </row>
    <row r="116">
      <c r="A116" s="3" t="s">
        <v>527</v>
      </c>
      <c r="B116" s="5">
        <v>151342.0</v>
      </c>
      <c r="C116" s="10">
        <v>114.0</v>
      </c>
      <c r="D116" s="3" t="s">
        <v>459</v>
      </c>
      <c r="E116" s="3">
        <f t="array" ref="E116">xlookup(D116,Sheet3!A:A,Sheet3!B:B)</f>
        <v>0</v>
      </c>
      <c r="F116" s="3" t="s">
        <v>25</v>
      </c>
      <c r="G116" s="3">
        <f t="array" ref="G116">xlookup(F116,Sheet2!A:A,Sheet2!B:B)</f>
        <v>18</v>
      </c>
      <c r="H116" s="3" t="s">
        <v>527</v>
      </c>
      <c r="I116" s="3" t="str">
        <f t="array" ref="I116">JOIN("", SORT(MID(LOWER(H116), SEQUENCE(LEN(H116)), 1)))</f>
        <v> aaahijnnpprrtu</v>
      </c>
      <c r="J116" s="3" t="s">
        <v>207</v>
      </c>
      <c r="K116" s="3">
        <f t="array" ref="K116">xlookup(J116,Sheet2!A:A,Sheet2!B:B)</f>
        <v>1</v>
      </c>
      <c r="L116" s="3" t="s">
        <v>527</v>
      </c>
      <c r="M116" s="3" t="s">
        <v>309</v>
      </c>
      <c r="N116" s="3">
        <f t="array" ref="N116">xlookup(M116,Sheet2!A:A,Sheet2!B:B)</f>
        <v>40</v>
      </c>
      <c r="O116" s="3" t="s">
        <v>527</v>
      </c>
      <c r="P116" s="4" t="str">
        <f t="shared" si="1"/>
        <v>114 : [18,1,40],</v>
      </c>
      <c r="Q116" s="4" t="str">
        <f t="shared" si="2"/>
        <v>114 : 0,</v>
      </c>
    </row>
    <row r="117">
      <c r="A117" s="3" t="s">
        <v>197</v>
      </c>
      <c r="B117" s="5">
        <v>190651.0</v>
      </c>
      <c r="C117" s="10">
        <v>115.0</v>
      </c>
      <c r="D117" s="3" t="s">
        <v>153</v>
      </c>
      <c r="E117" s="3">
        <f t="array" ref="E117">xlookup(D117,Sheet3!A:A,Sheet3!B:B)</f>
        <v>2</v>
      </c>
      <c r="F117" s="3" t="s">
        <v>64</v>
      </c>
      <c r="G117" s="3">
        <f t="array" ref="G117">xlookup(F117,Sheet2!A:A,Sheet2!B:B)</f>
        <v>30</v>
      </c>
      <c r="H117" s="3" t="s">
        <v>198</v>
      </c>
      <c r="I117" s="3" t="str">
        <f t="array" ref="I117">JOIN("", SORT(MID(LOWER(H117), SEQUENCE(LEN(H117)), 1)))</f>
        <v>   ,aaaaadeeeeehiimnnnnprrstttuvy</v>
      </c>
      <c r="J117" s="3" t="s">
        <v>63</v>
      </c>
      <c r="K117" s="3">
        <f t="array" ref="K117">xlookup(J117,Sheet2!A:A,Sheet2!B:B)</f>
        <v>29</v>
      </c>
      <c r="L117" s="3" t="s">
        <v>198</v>
      </c>
      <c r="M117" s="3" t="s">
        <v>61</v>
      </c>
      <c r="N117" s="3">
        <f t="array" ref="N117">xlookup(M117,Sheet2!A:A,Sheet2!B:B)</f>
        <v>31</v>
      </c>
      <c r="O117" s="3" t="s">
        <v>198</v>
      </c>
      <c r="P117" s="4" t="str">
        <f t="shared" si="1"/>
        <v>115 : [30,29,31],</v>
      </c>
      <c r="Q117" s="4" t="str">
        <f t="shared" si="2"/>
        <v>115 : 2,</v>
      </c>
    </row>
    <row r="118">
      <c r="A118" s="3" t="s">
        <v>528</v>
      </c>
      <c r="B118" s="5">
        <v>302513.0</v>
      </c>
      <c r="C118" s="10">
        <v>116.0</v>
      </c>
      <c r="D118" s="3" t="s">
        <v>459</v>
      </c>
      <c r="E118" s="3">
        <f t="array" ref="E118">xlookup(D118,Sheet3!A:A,Sheet3!B:B)</f>
        <v>0</v>
      </c>
      <c r="F118" s="3" t="s">
        <v>28</v>
      </c>
      <c r="G118" s="3">
        <f t="array" ref="G118">xlookup(F118,Sheet2!A:A,Sheet2!B:B)</f>
        <v>32</v>
      </c>
      <c r="H118" s="3" t="s">
        <v>529</v>
      </c>
      <c r="I118" s="3" t="str">
        <f t="array" ref="I118">JOIN("", SORT(MID(LOWER(H118), SEQUENCE(LEN(H118)), 1)))</f>
        <v>     ,,aaacdeeehhhhiiiiiiiikkmnnnorrrrrrsstttuuw</v>
      </c>
      <c r="J118" s="3" t="s">
        <v>47</v>
      </c>
      <c r="K118" s="3">
        <f t="array" ref="K118">xlookup(J118,Sheet2!A:A,Sheet2!B:B)</f>
        <v>27</v>
      </c>
      <c r="L118" s="3" t="s">
        <v>529</v>
      </c>
      <c r="M118" s="3" t="s">
        <v>109</v>
      </c>
      <c r="N118" s="3">
        <f t="array" ref="N118">xlookup(M118,Sheet2!A:A,Sheet2!B:B)</f>
        <v>49</v>
      </c>
      <c r="O118" s="3" t="s">
        <v>529</v>
      </c>
      <c r="P118" s="4" t="str">
        <f t="shared" si="1"/>
        <v>116 : [32,27,49],</v>
      </c>
      <c r="Q118" s="4" t="str">
        <f t="shared" si="2"/>
        <v>116 : 0,</v>
      </c>
    </row>
    <row r="119">
      <c r="A119" s="3" t="s">
        <v>31</v>
      </c>
      <c r="B119" s="5">
        <v>115831.0</v>
      </c>
      <c r="C119" s="10">
        <v>117.0</v>
      </c>
      <c r="D119" s="3" t="s">
        <v>1</v>
      </c>
      <c r="E119" s="3">
        <f t="array" ref="E119">xlookup(D119,Sheet3!A:A,Sheet3!B:B)</f>
        <v>5</v>
      </c>
      <c r="F119" s="3" t="s">
        <v>32</v>
      </c>
      <c r="G119" s="3">
        <f t="array" ref="G119">xlookup(F119,Sheet2!A:A,Sheet2!B:B)</f>
        <v>11</v>
      </c>
      <c r="H119" s="3" t="s">
        <v>33</v>
      </c>
      <c r="I119" s="3" t="str">
        <f t="array" ref="I119">JOIN("", SORT(MID(LOWER(H119), SEQUENCE(LEN(H119)), 1)))</f>
        <v>     ,,aaaabcdeeeghhiijkllllnnoooossuwy</v>
      </c>
      <c r="J119" s="3" t="s">
        <v>34</v>
      </c>
      <c r="K119" s="3">
        <f t="array" ref="K119">xlookup(J119,Sheet2!A:A,Sheet2!B:B)</f>
        <v>8</v>
      </c>
      <c r="L119" s="3" t="s">
        <v>33</v>
      </c>
      <c r="M119" s="3" t="s">
        <v>35</v>
      </c>
      <c r="N119" s="3">
        <f t="array" ref="N119">xlookup(M119,Sheet2!A:A,Sheet2!B:B)</f>
        <v>45</v>
      </c>
      <c r="O119" s="3" t="s">
        <v>33</v>
      </c>
      <c r="P119" s="4" t="str">
        <f t="shared" si="1"/>
        <v>117 : [11,8,45],</v>
      </c>
      <c r="Q119" s="4" t="str">
        <f t="shared" si="2"/>
        <v>117 : 5,</v>
      </c>
    </row>
    <row r="120">
      <c r="A120" s="3" t="s">
        <v>36</v>
      </c>
      <c r="B120" s="5">
        <v>182440.0</v>
      </c>
      <c r="C120" s="10">
        <v>118.0</v>
      </c>
      <c r="D120" s="3" t="s">
        <v>1</v>
      </c>
      <c r="E120" s="3">
        <f t="array" ref="E120">xlookup(D120,Sheet3!A:A,Sheet3!B:B)</f>
        <v>5</v>
      </c>
      <c r="F120" s="3" t="s">
        <v>32</v>
      </c>
      <c r="G120" s="3">
        <f t="array" ref="G120">xlookup(F120,Sheet2!A:A,Sheet2!B:B)</f>
        <v>11</v>
      </c>
      <c r="H120" s="3" t="s">
        <v>33</v>
      </c>
      <c r="I120" s="3" t="str">
        <f t="array" ref="I120">JOIN("", SORT(MID(LOWER(H120), SEQUENCE(LEN(H120)), 1)))</f>
        <v>     ,,aaaabcdeeeghhiijkllllnnoooossuwy</v>
      </c>
      <c r="J120" s="3" t="s">
        <v>34</v>
      </c>
      <c r="K120" s="3">
        <f t="array" ref="K120">xlookup(J120,Sheet2!A:A,Sheet2!B:B)</f>
        <v>8</v>
      </c>
      <c r="L120" s="3" t="s">
        <v>33</v>
      </c>
      <c r="M120" s="3" t="s">
        <v>35</v>
      </c>
      <c r="N120" s="3">
        <f t="array" ref="N120">xlookup(M120,Sheet2!A:A,Sheet2!B:B)</f>
        <v>45</v>
      </c>
      <c r="O120" s="3" t="s">
        <v>33</v>
      </c>
      <c r="P120" s="4" t="str">
        <f t="shared" si="1"/>
        <v>118 : [11,8,45],</v>
      </c>
      <c r="Q120" s="4" t="str">
        <f t="shared" si="2"/>
        <v>118 : 5,</v>
      </c>
    </row>
    <row r="121">
      <c r="A121" s="3" t="s">
        <v>330</v>
      </c>
      <c r="B121" s="5">
        <v>148048.0</v>
      </c>
      <c r="C121" s="10">
        <v>119.0</v>
      </c>
      <c r="D121" s="3" t="s">
        <v>282</v>
      </c>
      <c r="E121" s="3">
        <f t="array" ref="E121">xlookup(D121,Sheet3!A:A,Sheet3!B:B)</f>
        <v>1</v>
      </c>
      <c r="F121" s="3" t="s">
        <v>207</v>
      </c>
      <c r="G121" s="3">
        <f t="array" ref="G121">xlookup(F121,Sheet2!A:A,Sheet2!B:B)</f>
        <v>1</v>
      </c>
      <c r="H121" s="3" t="s">
        <v>3</v>
      </c>
      <c r="I121" s="3" t="str">
        <f t="array" ref="I121">JOIN("", SORT(MID(LOWER(H121), SEQUENCE(LEN(H121)), 1)))</f>
        <v>an</v>
      </c>
      <c r="J121" s="3" t="s">
        <v>38</v>
      </c>
      <c r="K121" s="3">
        <f t="array" ref="K121">xlookup(J121,Sheet2!A:A,Sheet2!B:B)</f>
        <v>6</v>
      </c>
      <c r="L121" s="3" t="s">
        <v>3</v>
      </c>
      <c r="M121" s="3" t="s">
        <v>40</v>
      </c>
      <c r="N121" s="3">
        <f t="array" ref="N121">xlookup(M121,Sheet2!A:A,Sheet2!B:B)</f>
        <v>44</v>
      </c>
      <c r="O121" s="3" t="s">
        <v>3</v>
      </c>
      <c r="P121" s="4" t="str">
        <f t="shared" si="1"/>
        <v>119 : [1,6,44],</v>
      </c>
      <c r="Q121" s="4" t="str">
        <f t="shared" si="2"/>
        <v>119 : 1,</v>
      </c>
    </row>
    <row r="122">
      <c r="A122" s="3" t="s">
        <v>530</v>
      </c>
      <c r="B122" s="5">
        <v>150689.0</v>
      </c>
      <c r="C122" s="10">
        <v>120.0</v>
      </c>
      <c r="D122" s="3" t="s">
        <v>459</v>
      </c>
      <c r="E122" s="3">
        <f t="array" ref="E122">xlookup(D122,Sheet3!A:A,Sheet3!B:B)</f>
        <v>0</v>
      </c>
      <c r="F122" s="3" t="s">
        <v>7</v>
      </c>
      <c r="G122" s="3">
        <f t="array" ref="G122">xlookup(F122,Sheet2!A:A,Sheet2!B:B)</f>
        <v>15</v>
      </c>
      <c r="H122" s="3" t="s">
        <v>531</v>
      </c>
      <c r="I122" s="3" t="str">
        <f t="array" ref="I122">JOIN("", SORT(MID(LOWER(H122), SEQUENCE(LEN(H122)), 1)))</f>
        <v>   ,aaaaaaabdeeghijklmmmnnrrssuuuy</v>
      </c>
      <c r="J122" s="3" t="s">
        <v>72</v>
      </c>
      <c r="K122" s="3">
        <f t="array" ref="K122">xlookup(J122,Sheet2!A:A,Sheet2!B:B)</f>
        <v>34</v>
      </c>
      <c r="L122" s="3" t="s">
        <v>531</v>
      </c>
      <c r="M122" s="3" t="s">
        <v>96</v>
      </c>
      <c r="N122" s="3">
        <f t="array" ref="N122">xlookup(M122,Sheet2!A:A,Sheet2!B:B)</f>
        <v>47</v>
      </c>
      <c r="O122" s="3" t="s">
        <v>531</v>
      </c>
      <c r="P122" s="4" t="str">
        <f t="shared" si="1"/>
        <v>120 : [15,34,47],</v>
      </c>
      <c r="Q122" s="4" t="str">
        <f t="shared" si="2"/>
        <v>120 : 0,</v>
      </c>
    </row>
    <row r="123">
      <c r="A123" s="3" t="s">
        <v>532</v>
      </c>
      <c r="B123" s="5">
        <v>150600.0</v>
      </c>
      <c r="C123" s="10">
        <v>121.0</v>
      </c>
      <c r="D123" s="3" t="s">
        <v>459</v>
      </c>
      <c r="E123" s="3">
        <f t="array" ref="E123">xlookup(D123,Sheet3!A:A,Sheet3!B:B)</f>
        <v>0</v>
      </c>
      <c r="F123" s="3" t="s">
        <v>7</v>
      </c>
      <c r="G123" s="3">
        <f t="array" ref="G123">xlookup(F123,Sheet2!A:A,Sheet2!B:B)</f>
        <v>15</v>
      </c>
      <c r="H123" s="3" t="s">
        <v>531</v>
      </c>
      <c r="I123" s="3" t="str">
        <f t="array" ref="I123">JOIN("", SORT(MID(LOWER(H123), SEQUENCE(LEN(H123)), 1)))</f>
        <v>   ,aaaaaaabdeeghijklmmmnnrrssuuuy</v>
      </c>
      <c r="J123" s="3" t="s">
        <v>72</v>
      </c>
      <c r="K123" s="3">
        <f t="array" ref="K123">xlookup(J123,Sheet2!A:A,Sheet2!B:B)</f>
        <v>34</v>
      </c>
      <c r="L123" s="3" t="s">
        <v>531</v>
      </c>
      <c r="M123" s="3" t="s">
        <v>96</v>
      </c>
      <c r="N123" s="3">
        <f t="array" ref="N123">xlookup(M123,Sheet2!A:A,Sheet2!B:B)</f>
        <v>47</v>
      </c>
      <c r="O123" s="3" t="s">
        <v>531</v>
      </c>
      <c r="P123" s="4" t="str">
        <f t="shared" si="1"/>
        <v>121 : [15,34,47],</v>
      </c>
      <c r="Q123" s="4" t="str">
        <f t="shared" si="2"/>
        <v>121 : 0,</v>
      </c>
    </row>
    <row r="124">
      <c r="A124" s="3" t="s">
        <v>87</v>
      </c>
      <c r="B124" s="5">
        <v>110099.0</v>
      </c>
      <c r="C124" s="10">
        <v>122.0</v>
      </c>
      <c r="D124" s="3" t="s">
        <v>60</v>
      </c>
      <c r="E124" s="3">
        <f t="array" ref="E124">xlookup(D124,Sheet3!A:A,Sheet3!B:B)</f>
        <v>4</v>
      </c>
      <c r="F124" s="3" t="s">
        <v>13</v>
      </c>
      <c r="G124" s="3">
        <f t="array" ref="G124">xlookup(F124,Sheet2!A:A,Sheet2!B:B)</f>
        <v>17</v>
      </c>
      <c r="H124" s="3" t="s">
        <v>3</v>
      </c>
      <c r="I124" s="3" t="str">
        <f t="array" ref="I124">JOIN("", SORT(MID(LOWER(H124), SEQUENCE(LEN(H124)), 1)))</f>
        <v>an</v>
      </c>
      <c r="J124" s="3" t="s">
        <v>12</v>
      </c>
      <c r="K124" s="3">
        <f t="array" ref="K124">xlookup(J124,Sheet2!A:A,Sheet2!B:B)</f>
        <v>41</v>
      </c>
      <c r="L124" s="3" t="s">
        <v>3</v>
      </c>
      <c r="M124" s="3" t="s">
        <v>47</v>
      </c>
      <c r="N124" s="3">
        <f t="array" ref="N124">xlookup(M124,Sheet2!A:A,Sheet2!B:B)</f>
        <v>27</v>
      </c>
      <c r="O124" s="3" t="s">
        <v>3</v>
      </c>
      <c r="P124" s="4" t="str">
        <f t="shared" si="1"/>
        <v>122 : [17,41,27],</v>
      </c>
      <c r="Q124" s="4" t="str">
        <f t="shared" si="2"/>
        <v>122 : 4,</v>
      </c>
    </row>
    <row r="125">
      <c r="A125" s="3" t="s">
        <v>533</v>
      </c>
      <c r="B125" s="5">
        <v>119432.0</v>
      </c>
      <c r="C125" s="10">
        <v>123.0</v>
      </c>
      <c r="D125" s="3" t="s">
        <v>459</v>
      </c>
      <c r="E125" s="3">
        <f t="array" ref="E125">xlookup(D125,Sheet3!A:A,Sheet3!B:B)</f>
        <v>0</v>
      </c>
      <c r="F125" s="3" t="s">
        <v>72</v>
      </c>
      <c r="G125" s="3">
        <f t="array" ref="G125">xlookup(F125,Sheet2!A:A,Sheet2!B:B)</f>
        <v>34</v>
      </c>
      <c r="H125" s="3" t="s">
        <v>534</v>
      </c>
      <c r="I125" s="3" t="str">
        <f t="array" ref="I125">JOIN("", SORT(MID(LOWER(H125), SEQUENCE(LEN(H125)), 1)))</f>
        <v>    ,aaaaaddeegghiillnnnrstuyy</v>
      </c>
      <c r="J125" s="3" t="s">
        <v>96</v>
      </c>
      <c r="K125" s="3">
        <f t="array" ref="K125">xlookup(J125,Sheet2!A:A,Sheet2!B:B)</f>
        <v>47</v>
      </c>
      <c r="L125" s="3" t="s">
        <v>534</v>
      </c>
      <c r="M125" s="3" t="s">
        <v>42</v>
      </c>
      <c r="N125" s="3">
        <f t="array" ref="N125">xlookup(M125,Sheet2!A:A,Sheet2!B:B)</f>
        <v>14</v>
      </c>
      <c r="O125" s="3" t="s">
        <v>534</v>
      </c>
      <c r="P125" s="4" t="str">
        <f t="shared" si="1"/>
        <v>123 : [34,47,14],</v>
      </c>
      <c r="Q125" s="4" t="str">
        <f t="shared" si="2"/>
        <v>123 : 0,</v>
      </c>
    </row>
    <row r="126">
      <c r="A126" s="3" t="s">
        <v>535</v>
      </c>
      <c r="B126" s="5">
        <v>119441.0</v>
      </c>
      <c r="C126" s="10">
        <v>124.0</v>
      </c>
      <c r="D126" s="3" t="s">
        <v>459</v>
      </c>
      <c r="E126" s="3">
        <f t="array" ref="E126">xlookup(D126,Sheet3!A:A,Sheet3!B:B)</f>
        <v>0</v>
      </c>
      <c r="F126" s="3" t="s">
        <v>72</v>
      </c>
      <c r="G126" s="3">
        <f t="array" ref="G126">xlookup(F126,Sheet2!A:A,Sheet2!B:B)</f>
        <v>34</v>
      </c>
      <c r="H126" s="3" t="s">
        <v>536</v>
      </c>
      <c r="I126" s="3" t="str">
        <f t="array" ref="I126">JOIN("", SORT(MID(LOWER(H126), SEQUENCE(LEN(H126)), 1)))</f>
        <v>    ,aaaaaddeegghiillnnnrstuyy</v>
      </c>
      <c r="J126" s="3" t="s">
        <v>96</v>
      </c>
      <c r="K126" s="3">
        <f t="array" ref="K126">xlookup(J126,Sheet2!A:A,Sheet2!B:B)</f>
        <v>47</v>
      </c>
      <c r="L126" s="3" t="s">
        <v>536</v>
      </c>
      <c r="M126" s="3" t="s">
        <v>7</v>
      </c>
      <c r="N126" s="3">
        <f t="array" ref="N126">xlookup(M126,Sheet2!A:A,Sheet2!B:B)</f>
        <v>15</v>
      </c>
      <c r="O126" s="3" t="s">
        <v>536</v>
      </c>
      <c r="P126" s="4" t="str">
        <f t="shared" si="1"/>
        <v>124 : [34,47,15],</v>
      </c>
      <c r="Q126" s="4" t="str">
        <f t="shared" si="2"/>
        <v>124 : 0,</v>
      </c>
    </row>
    <row r="127">
      <c r="A127" s="3" t="s">
        <v>537</v>
      </c>
      <c r="B127" s="5">
        <v>205217.0</v>
      </c>
      <c r="C127" s="10">
        <v>125.0</v>
      </c>
      <c r="D127" s="3" t="s">
        <v>459</v>
      </c>
      <c r="E127" s="3">
        <f t="array" ref="E127">xlookup(D127,Sheet3!A:A,Sheet3!B:B)</f>
        <v>0</v>
      </c>
      <c r="F127" s="3" t="s">
        <v>401</v>
      </c>
      <c r="G127" s="3">
        <f t="array" ref="G127">xlookup(F127,Sheet2!A:A,Sheet2!B:B)</f>
        <v>38</v>
      </c>
      <c r="H127" s="3" t="s">
        <v>3</v>
      </c>
      <c r="I127" s="3" t="str">
        <f t="array" ref="I127">JOIN("", SORT(MID(LOWER(H127), SEQUENCE(LEN(H127)), 1)))</f>
        <v>an</v>
      </c>
      <c r="J127" s="3" t="s">
        <v>5</v>
      </c>
      <c r="K127" s="3">
        <f t="array" ref="K127">xlookup(J127,Sheet2!A:A,Sheet2!B:B)</f>
        <v>35</v>
      </c>
      <c r="L127" s="3" t="s">
        <v>3</v>
      </c>
      <c r="M127" s="3" t="s">
        <v>465</v>
      </c>
      <c r="N127" s="3">
        <f t="array" ref="N127">xlookup(M127,Sheet2!A:A,Sheet2!B:B)</f>
        <v>36</v>
      </c>
      <c r="O127" s="3" t="s">
        <v>3</v>
      </c>
      <c r="P127" s="4" t="str">
        <f t="shared" si="1"/>
        <v>125 : [38,35,36],</v>
      </c>
      <c r="Q127" s="4" t="str">
        <f t="shared" si="2"/>
        <v>125 : 0,</v>
      </c>
    </row>
    <row r="128">
      <c r="A128" s="3" t="s">
        <v>199</v>
      </c>
      <c r="B128" s="5">
        <v>128793.0</v>
      </c>
      <c r="C128" s="10">
        <v>126.0</v>
      </c>
      <c r="D128" s="3" t="s">
        <v>153</v>
      </c>
      <c r="E128" s="3">
        <f t="array" ref="E128">xlookup(D128,Sheet3!A:A,Sheet3!B:B)</f>
        <v>2</v>
      </c>
      <c r="F128" s="3" t="s">
        <v>42</v>
      </c>
      <c r="G128" s="3">
        <f t="array" ref="G128">xlookup(F128,Sheet2!A:A,Sheet2!B:B)</f>
        <v>14</v>
      </c>
      <c r="H128" s="3" t="s">
        <v>3</v>
      </c>
      <c r="I128" s="3" t="str">
        <f t="array" ref="I128">JOIN("", SORT(MID(LOWER(H128), SEQUENCE(LEN(H128)), 1)))</f>
        <v>an</v>
      </c>
      <c r="J128" s="3" t="s">
        <v>16</v>
      </c>
      <c r="K128" s="3">
        <f t="array" ref="K128">xlookup(J128,Sheet2!A:A,Sheet2!B:B)</f>
        <v>3</v>
      </c>
      <c r="L128" s="3" t="s">
        <v>3</v>
      </c>
      <c r="M128" s="3" t="s">
        <v>4</v>
      </c>
      <c r="N128" s="3">
        <f t="array" ref="N128">xlookup(M128,Sheet2!A:A,Sheet2!B:B)</f>
        <v>23</v>
      </c>
      <c r="O128" s="3" t="s">
        <v>3</v>
      </c>
      <c r="P128" s="4" t="str">
        <f t="shared" si="1"/>
        <v>126 : [14,3,23],</v>
      </c>
      <c r="Q128" s="4" t="str">
        <f t="shared" si="2"/>
        <v>126 : 2,</v>
      </c>
    </row>
    <row r="129">
      <c r="A129" s="3" t="s">
        <v>331</v>
      </c>
      <c r="B129" s="5">
        <v>136429.0</v>
      </c>
      <c r="C129" s="10">
        <v>127.0</v>
      </c>
      <c r="D129" s="3" t="s">
        <v>282</v>
      </c>
      <c r="E129" s="3">
        <f t="array" ref="E129">xlookup(D129,Sheet3!A:A,Sheet3!B:B)</f>
        <v>1</v>
      </c>
      <c r="F129" s="3" t="s">
        <v>111</v>
      </c>
      <c r="G129" s="3">
        <f t="array" ref="G129">xlookup(F129,Sheet2!A:A,Sheet2!B:B)</f>
        <v>28</v>
      </c>
      <c r="H129" s="3" t="s">
        <v>332</v>
      </c>
      <c r="I129" s="3" t="str">
        <f t="array" ref="I129">JOIN("", SORT(MID(LOWER(H129), SEQUENCE(LEN(H129)), 1)))</f>
        <v>   ,aaaaaeefhhiijmnnnprrrsst</v>
      </c>
      <c r="J129" s="3" t="s">
        <v>109</v>
      </c>
      <c r="K129" s="3">
        <f t="array" ref="K129">xlookup(J129,Sheet2!A:A,Sheet2!B:B)</f>
        <v>49</v>
      </c>
      <c r="L129" s="3" t="s">
        <v>332</v>
      </c>
      <c r="M129" s="3" t="s">
        <v>28</v>
      </c>
      <c r="N129" s="3">
        <f t="array" ref="N129">xlookup(M129,Sheet2!A:A,Sheet2!B:B)</f>
        <v>32</v>
      </c>
      <c r="O129" s="3" t="s">
        <v>332</v>
      </c>
      <c r="P129" s="4" t="str">
        <f t="shared" si="1"/>
        <v>127 : [28,49,32],</v>
      </c>
      <c r="Q129" s="4" t="str">
        <f t="shared" si="2"/>
        <v>127 : 1,</v>
      </c>
    </row>
    <row r="130">
      <c r="A130" s="3" t="s">
        <v>333</v>
      </c>
      <c r="B130" s="5">
        <v>137795.0</v>
      </c>
      <c r="C130" s="10">
        <v>128.0</v>
      </c>
      <c r="D130" s="3" t="s">
        <v>282</v>
      </c>
      <c r="E130" s="3">
        <f t="array" ref="E130">xlookup(D130,Sheet3!A:A,Sheet3!B:B)</f>
        <v>1</v>
      </c>
      <c r="F130" s="3" t="s">
        <v>111</v>
      </c>
      <c r="G130" s="3">
        <f t="array" ref="G130">xlookup(F130,Sheet2!A:A,Sheet2!B:B)</f>
        <v>28</v>
      </c>
      <c r="H130" s="3" t="s">
        <v>334</v>
      </c>
      <c r="I130" s="3" t="str">
        <f t="array" ref="I130">JOIN("", SORT(MID(LOWER(H130), SEQUENCE(LEN(H130)), 1)))</f>
        <v>   ,aaaaaeefhhiijmnnnprrrsst</v>
      </c>
      <c r="J130" s="3" t="s">
        <v>109</v>
      </c>
      <c r="K130" s="3">
        <f t="array" ref="K130">xlookup(J130,Sheet2!A:A,Sheet2!B:B)</f>
        <v>49</v>
      </c>
      <c r="L130" s="3" t="s">
        <v>334</v>
      </c>
      <c r="M130" s="3" t="s">
        <v>28</v>
      </c>
      <c r="N130" s="3">
        <f t="array" ref="N130">xlookup(M130,Sheet2!A:A,Sheet2!B:B)</f>
        <v>32</v>
      </c>
      <c r="O130" s="3" t="s">
        <v>334</v>
      </c>
      <c r="P130" s="4" t="str">
        <f t="shared" si="1"/>
        <v>128 : [28,49,32],</v>
      </c>
      <c r="Q130" s="4" t="str">
        <f t="shared" si="2"/>
        <v>128 : 1,</v>
      </c>
    </row>
    <row r="131">
      <c r="A131" s="3" t="s">
        <v>538</v>
      </c>
      <c r="B131" s="5">
        <v>149958.0</v>
      </c>
      <c r="C131" s="10">
        <v>129.0</v>
      </c>
      <c r="D131" s="3" t="s">
        <v>459</v>
      </c>
      <c r="E131" s="3">
        <f t="array" ref="E131">xlookup(D131,Sheet3!A:A,Sheet3!B:B)</f>
        <v>0</v>
      </c>
      <c r="F131" s="3" t="s">
        <v>34</v>
      </c>
      <c r="G131" s="3">
        <f t="array" ref="G131">xlookup(F131,Sheet2!A:A,Sheet2!B:B)</f>
        <v>8</v>
      </c>
      <c r="H131" s="3" t="s">
        <v>539</v>
      </c>
      <c r="I131" s="3" t="str">
        <f t="array" ref="I131">JOIN("", SORT(MID(LOWER(H131), SEQUENCE(LEN(H131)), 1)))</f>
        <v>     ,,aaaceeeeghiklllnnnssuuvxyy</v>
      </c>
      <c r="J131" s="3" t="s">
        <v>28</v>
      </c>
      <c r="K131" s="3">
        <f t="array" ref="K131">xlookup(J131,Sheet2!A:A,Sheet2!B:B)</f>
        <v>32</v>
      </c>
      <c r="L131" s="3" t="s">
        <v>539</v>
      </c>
      <c r="M131" s="3" t="s">
        <v>401</v>
      </c>
      <c r="N131" s="3">
        <f t="array" ref="N131">xlookup(M131,Sheet2!A:A,Sheet2!B:B)</f>
        <v>38</v>
      </c>
      <c r="O131" s="3" t="s">
        <v>539</v>
      </c>
      <c r="P131" s="4" t="str">
        <f t="shared" si="1"/>
        <v>129 : [8,32,38],</v>
      </c>
      <c r="Q131" s="4" t="str">
        <f t="shared" si="2"/>
        <v>129 : 0,</v>
      </c>
    </row>
    <row r="132">
      <c r="A132" s="3" t="s">
        <v>335</v>
      </c>
      <c r="B132" s="5">
        <v>196392.0</v>
      </c>
      <c r="C132" s="10">
        <v>130.0</v>
      </c>
      <c r="D132" s="3" t="s">
        <v>282</v>
      </c>
      <c r="E132" s="3">
        <f t="array" ref="E132">xlookup(D132,Sheet3!A:A,Sheet3!B:B)</f>
        <v>1</v>
      </c>
      <c r="F132" s="3" t="s">
        <v>5</v>
      </c>
      <c r="G132" s="3">
        <f t="array" ref="G132">xlookup(F132,Sheet2!A:A,Sheet2!B:B)</f>
        <v>35</v>
      </c>
      <c r="H132" s="3" t="s">
        <v>3</v>
      </c>
      <c r="I132" s="3" t="str">
        <f t="array" ref="I132">JOIN("", SORT(MID(LOWER(H132), SEQUENCE(LEN(H132)), 1)))</f>
        <v>an</v>
      </c>
      <c r="J132" s="3" t="s">
        <v>120</v>
      </c>
      <c r="K132" s="3">
        <f t="array" ref="K132">xlookup(J132,Sheet2!A:A,Sheet2!B:B)</f>
        <v>42</v>
      </c>
      <c r="L132" s="3" t="s">
        <v>3</v>
      </c>
      <c r="M132" s="3" t="s">
        <v>207</v>
      </c>
      <c r="N132" s="3">
        <f t="array" ref="N132">xlookup(M132,Sheet2!A:A,Sheet2!B:B)</f>
        <v>1</v>
      </c>
      <c r="O132" s="3" t="s">
        <v>3</v>
      </c>
      <c r="P132" s="4" t="str">
        <f t="shared" si="1"/>
        <v>130 : [35,42,1],</v>
      </c>
      <c r="Q132" s="4" t="str">
        <f t="shared" si="2"/>
        <v>130 : 1,</v>
      </c>
    </row>
    <row r="133">
      <c r="A133" s="3" t="s">
        <v>88</v>
      </c>
      <c r="B133" s="5">
        <v>139393.0</v>
      </c>
      <c r="C133" s="10">
        <v>131.0</v>
      </c>
      <c r="D133" s="3" t="s">
        <v>60</v>
      </c>
      <c r="E133" s="3">
        <f t="array" ref="E133">xlookup(D133,Sheet3!A:A,Sheet3!B:B)</f>
        <v>4</v>
      </c>
      <c r="F133" s="3" t="s">
        <v>61</v>
      </c>
      <c r="G133" s="3">
        <f t="array" ref="G133">xlookup(F133,Sheet2!A:A,Sheet2!B:B)</f>
        <v>31</v>
      </c>
      <c r="H133" s="3" t="s">
        <v>89</v>
      </c>
      <c r="I133" s="3" t="str">
        <f t="array" ref="I133">JOIN("", SORT(MID(LOWER(H133), SEQUENCE(LEN(H133)), 1)))</f>
        <v>   ,aaaaaaabehiikklnorsvy</v>
      </c>
      <c r="J133" s="3" t="s">
        <v>64</v>
      </c>
      <c r="K133" s="3">
        <f t="array" ref="K133">xlookup(J133,Sheet2!A:A,Sheet2!B:B)</f>
        <v>30</v>
      </c>
      <c r="L133" s="3" t="s">
        <v>89</v>
      </c>
      <c r="M133" s="3" t="s">
        <v>63</v>
      </c>
      <c r="N133" s="3">
        <f t="array" ref="N133">xlookup(M133,Sheet2!A:A,Sheet2!B:B)</f>
        <v>29</v>
      </c>
      <c r="O133" s="3" t="s">
        <v>89</v>
      </c>
      <c r="P133" s="4" t="str">
        <f t="shared" si="1"/>
        <v>131 : [31,30,29],</v>
      </c>
      <c r="Q133" s="4" t="str">
        <f t="shared" si="2"/>
        <v>131 : 4,</v>
      </c>
    </row>
    <row r="134">
      <c r="A134" s="3" t="s">
        <v>90</v>
      </c>
      <c r="B134" s="5">
        <v>138923.0</v>
      </c>
      <c r="C134" s="10">
        <v>132.0</v>
      </c>
      <c r="D134" s="3" t="s">
        <v>60</v>
      </c>
      <c r="E134" s="3">
        <f t="array" ref="E134">xlookup(D134,Sheet3!A:A,Sheet3!B:B)</f>
        <v>4</v>
      </c>
      <c r="F134" s="3" t="s">
        <v>61</v>
      </c>
      <c r="G134" s="3">
        <f t="array" ref="G134">xlookup(F134,Sheet2!A:A,Sheet2!B:B)</f>
        <v>31</v>
      </c>
      <c r="H134" s="3" t="s">
        <v>91</v>
      </c>
      <c r="I134" s="3" t="str">
        <f t="array" ref="I134">JOIN("", SORT(MID(LOWER(H134), SEQUENCE(LEN(H134)), 1)))</f>
        <v>   ,aaaaaaabehiikklnorsvy</v>
      </c>
      <c r="J134" s="3" t="s">
        <v>64</v>
      </c>
      <c r="K134" s="3">
        <f t="array" ref="K134">xlookup(J134,Sheet2!A:A,Sheet2!B:B)</f>
        <v>30</v>
      </c>
      <c r="L134" s="3" t="s">
        <v>91</v>
      </c>
      <c r="M134" s="3" t="s">
        <v>63</v>
      </c>
      <c r="N134" s="3">
        <f t="array" ref="N134">xlookup(M134,Sheet2!A:A,Sheet2!B:B)</f>
        <v>29</v>
      </c>
      <c r="O134" s="3" t="s">
        <v>91</v>
      </c>
      <c r="P134" s="4" t="str">
        <f t="shared" si="1"/>
        <v>132 : [31,30,29],</v>
      </c>
      <c r="Q134" s="4" t="str">
        <f t="shared" si="2"/>
        <v>132 : 4,</v>
      </c>
    </row>
    <row r="135">
      <c r="A135" s="3" t="s">
        <v>540</v>
      </c>
      <c r="B135" s="5">
        <v>306354.0</v>
      </c>
      <c r="C135" s="10">
        <v>133.0</v>
      </c>
      <c r="D135" s="3" t="s">
        <v>459</v>
      </c>
      <c r="E135" s="3">
        <f t="array" ref="E135">xlookup(D135,Sheet3!A:A,Sheet3!B:B)</f>
        <v>0</v>
      </c>
      <c r="F135" s="3" t="s">
        <v>34</v>
      </c>
      <c r="G135" s="3">
        <f t="array" ref="G135">xlookup(F135,Sheet2!A:A,Sheet2!B:B)</f>
        <v>8</v>
      </c>
      <c r="H135" s="3" t="s">
        <v>541</v>
      </c>
      <c r="I135" s="3" t="str">
        <f t="array" ref="I135">JOIN("", SORT(MID(LOWER(H135), SEQUENCE(LEN(H135)), 1)))</f>
        <v>    aaaacdeeeghllnnnnssuvy</v>
      </c>
      <c r="J135" s="3" t="s">
        <v>28</v>
      </c>
      <c r="K135" s="3">
        <f t="array" ref="K135">xlookup(J135,Sheet2!A:A,Sheet2!B:B)</f>
        <v>32</v>
      </c>
      <c r="L135" s="3" t="s">
        <v>541</v>
      </c>
      <c r="M135" s="3" t="s">
        <v>309</v>
      </c>
      <c r="N135" s="3">
        <f t="array" ref="N135">xlookup(M135,Sheet2!A:A,Sheet2!B:B)</f>
        <v>40</v>
      </c>
      <c r="O135" s="3" t="s">
        <v>541</v>
      </c>
      <c r="P135" s="4" t="str">
        <f t="shared" si="1"/>
        <v>133 : [8,32,40],</v>
      </c>
      <c r="Q135" s="4" t="str">
        <f t="shared" si="2"/>
        <v>133 : 0,</v>
      </c>
    </row>
    <row r="136">
      <c r="A136" s="3" t="s">
        <v>200</v>
      </c>
      <c r="B136" s="5">
        <v>119687.0</v>
      </c>
      <c r="C136" s="10">
        <v>134.0</v>
      </c>
      <c r="D136" s="3" t="s">
        <v>153</v>
      </c>
      <c r="E136" s="3">
        <f t="array" ref="E136">xlookup(D136,Sheet3!A:A,Sheet3!B:B)</f>
        <v>2</v>
      </c>
      <c r="F136" s="3" t="s">
        <v>4</v>
      </c>
      <c r="G136" s="3">
        <f t="array" ref="G136">xlookup(F136,Sheet2!A:A,Sheet2!B:B)</f>
        <v>23</v>
      </c>
      <c r="H136" s="3" t="s">
        <v>3</v>
      </c>
      <c r="I136" s="3" t="str">
        <f t="array" ref="I136">JOIN("", SORT(MID(LOWER(H136), SEQUENCE(LEN(H136)), 1)))</f>
        <v>an</v>
      </c>
      <c r="J136" s="3" t="s">
        <v>13</v>
      </c>
      <c r="K136" s="3">
        <f t="array" ref="K136">xlookup(J136,Sheet2!A:A,Sheet2!B:B)</f>
        <v>17</v>
      </c>
      <c r="L136" s="3" t="s">
        <v>3</v>
      </c>
      <c r="M136" s="3" t="s">
        <v>63</v>
      </c>
      <c r="N136" s="3">
        <f t="array" ref="N136">xlookup(M136,Sheet2!A:A,Sheet2!B:B)</f>
        <v>29</v>
      </c>
      <c r="O136" s="3" t="s">
        <v>3</v>
      </c>
      <c r="P136" s="4" t="str">
        <f t="shared" si="1"/>
        <v>134 : [23,17,29],</v>
      </c>
      <c r="Q136" s="4" t="str">
        <f t="shared" si="2"/>
        <v>134 : 2,</v>
      </c>
    </row>
    <row r="137">
      <c r="A137" s="3" t="s">
        <v>92</v>
      </c>
      <c r="B137" s="5">
        <v>301144.0</v>
      </c>
      <c r="C137" s="10">
        <v>135.0</v>
      </c>
      <c r="D137" s="3" t="s">
        <v>60</v>
      </c>
      <c r="E137" s="3">
        <f t="array" ref="E137">xlookup(D137,Sheet3!A:A,Sheet3!B:B)</f>
        <v>4</v>
      </c>
      <c r="F137" s="3" t="s">
        <v>34</v>
      </c>
      <c r="G137" s="3">
        <f t="array" ref="G137">xlookup(F137,Sheet2!A:A,Sheet2!B:B)</f>
        <v>8</v>
      </c>
      <c r="H137" s="3" t="s">
        <v>93</v>
      </c>
      <c r="I137" s="3" t="str">
        <f t="array" ref="I137">JOIN("", SORT(MID(LOWER(H137), SEQUENCE(LEN(H137)), 1)))</f>
        <v>   ,aaaaaceghhiiknnnorrrstvyyyy</v>
      </c>
      <c r="J137" s="3" t="s">
        <v>64</v>
      </c>
      <c r="K137" s="3">
        <f t="array" ref="K137">xlookup(J137,Sheet2!A:A,Sheet2!B:B)</f>
        <v>30</v>
      </c>
      <c r="L137" s="3" t="s">
        <v>93</v>
      </c>
      <c r="M137" s="3" t="s">
        <v>21</v>
      </c>
      <c r="N137" s="3">
        <f t="array" ref="N137">xlookup(M137,Sheet2!A:A,Sheet2!B:B)</f>
        <v>10</v>
      </c>
      <c r="O137" s="3" t="s">
        <v>93</v>
      </c>
      <c r="P137" s="4" t="str">
        <f t="shared" si="1"/>
        <v>135 : [8,30,10],</v>
      </c>
      <c r="Q137" s="4" t="str">
        <f t="shared" si="2"/>
        <v>135 : 4,</v>
      </c>
    </row>
    <row r="138">
      <c r="A138" s="3" t="s">
        <v>201</v>
      </c>
      <c r="B138" s="5">
        <v>187156.0</v>
      </c>
      <c r="C138" s="10">
        <v>136.0</v>
      </c>
      <c r="D138" s="3" t="s">
        <v>153</v>
      </c>
      <c r="E138" s="3">
        <f t="array" ref="E138">xlookup(D138,Sheet3!A:A,Sheet3!B:B)</f>
        <v>2</v>
      </c>
      <c r="F138" s="3" t="s">
        <v>64</v>
      </c>
      <c r="G138" s="3">
        <f t="array" ref="G138">xlookup(F138,Sheet2!A:A,Sheet2!B:B)</f>
        <v>30</v>
      </c>
      <c r="H138" s="3" t="s">
        <v>202</v>
      </c>
      <c r="I138" s="3" t="str">
        <f t="array" ref="I138">JOIN("", SORT(MID(LOWER(H138), SEQUENCE(LEN(H138)), 1)))</f>
        <v>an</v>
      </c>
      <c r="J138" s="3" t="s">
        <v>20</v>
      </c>
      <c r="K138" s="3">
        <f t="array" ref="K138">xlookup(J138,Sheet2!A:A,Sheet2!B:B)</f>
        <v>48</v>
      </c>
      <c r="L138" s="3" t="s">
        <v>202</v>
      </c>
      <c r="M138" s="3" t="s">
        <v>124</v>
      </c>
      <c r="N138" s="3">
        <f t="array" ref="N138">xlookup(M138,Sheet2!A:A,Sheet2!B:B)</f>
        <v>46</v>
      </c>
      <c r="O138" s="3" t="s">
        <v>202</v>
      </c>
      <c r="P138" s="4" t="str">
        <f t="shared" si="1"/>
        <v>136 : [30,48,46],</v>
      </c>
      <c r="Q138" s="4" t="str">
        <f t="shared" si="2"/>
        <v>136 : 2,</v>
      </c>
    </row>
    <row r="139">
      <c r="A139" s="3" t="s">
        <v>203</v>
      </c>
      <c r="B139" s="5">
        <v>119009.0</v>
      </c>
      <c r="C139" s="10">
        <v>137.0</v>
      </c>
      <c r="D139" s="3" t="s">
        <v>153</v>
      </c>
      <c r="E139" s="3">
        <f t="array" ref="E139">xlookup(D139,Sheet3!A:A,Sheet3!B:B)</f>
        <v>2</v>
      </c>
      <c r="F139" s="3" t="s">
        <v>105</v>
      </c>
      <c r="G139" s="3">
        <f t="array" ref="G139">xlookup(F139,Sheet2!A:A,Sheet2!B:B)</f>
        <v>26</v>
      </c>
      <c r="H139" s="3" t="s">
        <v>3</v>
      </c>
      <c r="I139" s="3" t="str">
        <f t="array" ref="I139">JOIN("", SORT(MID(LOWER(H139), SEQUENCE(LEN(H139)), 1)))</f>
        <v>an</v>
      </c>
      <c r="J139" s="3" t="s">
        <v>204</v>
      </c>
      <c r="K139" s="3">
        <f t="array" ref="K139">xlookup(J139,Sheet2!A:A,Sheet2!B:B)</f>
        <v>43</v>
      </c>
      <c r="L139" s="3" t="s">
        <v>3</v>
      </c>
      <c r="M139" s="3" t="s">
        <v>2</v>
      </c>
      <c r="N139" s="3">
        <f t="array" ref="N139">xlookup(M139,Sheet2!A:A,Sheet2!B:B)</f>
        <v>25</v>
      </c>
      <c r="O139" s="3" t="s">
        <v>3</v>
      </c>
      <c r="P139" s="4" t="str">
        <f t="shared" si="1"/>
        <v>137 : [26,43,25],</v>
      </c>
      <c r="Q139" s="4" t="str">
        <f t="shared" si="2"/>
        <v>137 : 2,</v>
      </c>
    </row>
    <row r="140">
      <c r="A140" s="3" t="s">
        <v>336</v>
      </c>
      <c r="B140" s="5">
        <v>164111.0</v>
      </c>
      <c r="C140" s="10">
        <v>138.0</v>
      </c>
      <c r="D140" s="3" t="s">
        <v>282</v>
      </c>
      <c r="E140" s="3">
        <f t="array" ref="E140">xlookup(D140,Sheet3!A:A,Sheet3!B:B)</f>
        <v>1</v>
      </c>
      <c r="F140" s="3" t="s">
        <v>61</v>
      </c>
      <c r="G140" s="3">
        <f t="array" ref="G140">xlookup(F140,Sheet2!A:A,Sheet2!B:B)</f>
        <v>31</v>
      </c>
      <c r="H140" s="3" t="s">
        <v>337</v>
      </c>
      <c r="I140" s="3" t="str">
        <f t="array" ref="I140">JOIN("", SORT(MID(LOWER(H140), SEQUENCE(LEN(H140)), 1)))</f>
        <v>     ,,aaaaaaaaaaaaaaaaadhhiiiiikkknnnnnnpprrrsstvyyy</v>
      </c>
      <c r="J140" s="3" t="s">
        <v>26</v>
      </c>
      <c r="K140" s="3">
        <f t="array" ref="K140">xlookup(J140,Sheet2!A:A,Sheet2!B:B)</f>
        <v>7</v>
      </c>
      <c r="L140" s="3" t="s">
        <v>337</v>
      </c>
      <c r="M140" s="3" t="s">
        <v>34</v>
      </c>
      <c r="N140" s="3">
        <f t="array" ref="N140">xlookup(M140,Sheet2!A:A,Sheet2!B:B)</f>
        <v>8</v>
      </c>
      <c r="O140" s="3" t="s">
        <v>337</v>
      </c>
      <c r="P140" s="4" t="str">
        <f t="shared" si="1"/>
        <v>138 : [31,7,8],</v>
      </c>
      <c r="Q140" s="4" t="str">
        <f t="shared" si="2"/>
        <v>138 : 1,</v>
      </c>
    </row>
    <row r="141">
      <c r="A141" s="3" t="s">
        <v>338</v>
      </c>
      <c r="B141" s="5">
        <v>158568.0</v>
      </c>
      <c r="C141" s="10">
        <v>139.0</v>
      </c>
      <c r="D141" s="3" t="s">
        <v>282</v>
      </c>
      <c r="E141" s="3">
        <f t="array" ref="E141">xlookup(D141,Sheet3!A:A,Sheet3!B:B)</f>
        <v>1</v>
      </c>
      <c r="F141" s="3" t="s">
        <v>61</v>
      </c>
      <c r="G141" s="3">
        <f t="array" ref="G141">xlookup(F141,Sheet2!A:A,Sheet2!B:B)</f>
        <v>31</v>
      </c>
      <c r="H141" s="3" t="s">
        <v>339</v>
      </c>
      <c r="I141" s="3" t="str">
        <f t="array" ref="I141">JOIN("", SORT(MID(LOWER(H141), SEQUENCE(LEN(H141)), 1)))</f>
        <v>     ,,aaaaaaaaaaaaaaaaadhhiiiiikkknnnnnnpprrrsstvyyy</v>
      </c>
      <c r="J141" s="3" t="s">
        <v>26</v>
      </c>
      <c r="K141" s="3">
        <f t="array" ref="K141">xlookup(J141,Sheet2!A:A,Sheet2!B:B)</f>
        <v>7</v>
      </c>
      <c r="L141" s="3" t="s">
        <v>339</v>
      </c>
      <c r="M141" s="3" t="s">
        <v>34</v>
      </c>
      <c r="N141" s="3">
        <f t="array" ref="N141">xlookup(M141,Sheet2!A:A,Sheet2!B:B)</f>
        <v>8</v>
      </c>
      <c r="O141" s="3" t="s">
        <v>339</v>
      </c>
      <c r="P141" s="4" t="str">
        <f t="shared" si="1"/>
        <v>139 : [31,7,8],</v>
      </c>
      <c r="Q141" s="4" t="str">
        <f t="shared" si="2"/>
        <v>139 : 1,</v>
      </c>
    </row>
    <row r="142">
      <c r="A142" s="3" t="s">
        <v>340</v>
      </c>
      <c r="B142" s="5">
        <v>159091.0</v>
      </c>
      <c r="C142" s="10">
        <v>140.0</v>
      </c>
      <c r="D142" s="3" t="s">
        <v>282</v>
      </c>
      <c r="E142" s="3">
        <f t="array" ref="E142">xlookup(D142,Sheet3!A:A,Sheet3!B:B)</f>
        <v>1</v>
      </c>
      <c r="F142" s="3" t="s">
        <v>61</v>
      </c>
      <c r="G142" s="3">
        <f t="array" ref="G142">xlookup(F142,Sheet2!A:A,Sheet2!B:B)</f>
        <v>31</v>
      </c>
      <c r="H142" s="3" t="s">
        <v>341</v>
      </c>
      <c r="I142" s="3" t="str">
        <f t="array" ref="I142">JOIN("", SORT(MID(LOWER(H142), SEQUENCE(LEN(H142)), 1)))</f>
        <v>     ,,aaaaaaaaaaaaaaaaadhhiiiiikkknnnnnnpprrrsstvyyy</v>
      </c>
      <c r="J142" s="3" t="s">
        <v>26</v>
      </c>
      <c r="K142" s="3">
        <f t="array" ref="K142">xlookup(J142,Sheet2!A:A,Sheet2!B:B)</f>
        <v>7</v>
      </c>
      <c r="L142" s="3" t="s">
        <v>342</v>
      </c>
      <c r="M142" s="3" t="s">
        <v>34</v>
      </c>
      <c r="N142" s="3">
        <f t="array" ref="N142">xlookup(M142,Sheet2!A:A,Sheet2!B:B)</f>
        <v>8</v>
      </c>
      <c r="O142" s="3" t="s">
        <v>342</v>
      </c>
      <c r="P142" s="4" t="str">
        <f t="shared" si="1"/>
        <v>140 : [31,7,8],</v>
      </c>
      <c r="Q142" s="4" t="str">
        <f t="shared" si="2"/>
        <v>140 : 1,</v>
      </c>
    </row>
    <row r="143">
      <c r="A143" s="3" t="s">
        <v>205</v>
      </c>
      <c r="B143" s="5">
        <v>188911.0</v>
      </c>
      <c r="C143" s="10">
        <v>141.0</v>
      </c>
      <c r="D143" s="3" t="s">
        <v>153</v>
      </c>
      <c r="E143" s="3">
        <f t="array" ref="E143">xlookup(D143,Sheet3!A:A,Sheet3!B:B)</f>
        <v>2</v>
      </c>
      <c r="F143" s="3" t="s">
        <v>13</v>
      </c>
      <c r="G143" s="3">
        <f t="array" ref="G143">xlookup(F143,Sheet2!A:A,Sheet2!B:B)</f>
        <v>17</v>
      </c>
      <c r="H143" s="3" t="s">
        <v>3</v>
      </c>
      <c r="I143" s="3" t="str">
        <f t="array" ref="I143">JOIN("", SORT(MID(LOWER(H143), SEQUENCE(LEN(H143)), 1)))</f>
        <v>an</v>
      </c>
      <c r="J143" s="3" t="s">
        <v>42</v>
      </c>
      <c r="K143" s="3">
        <f t="array" ref="K143">xlookup(J143,Sheet2!A:A,Sheet2!B:B)</f>
        <v>14</v>
      </c>
      <c r="L143" s="3" t="s">
        <v>3</v>
      </c>
      <c r="M143" s="3" t="s">
        <v>16</v>
      </c>
      <c r="N143" s="3">
        <f t="array" ref="N143">xlookup(M143,Sheet2!A:A,Sheet2!B:B)</f>
        <v>3</v>
      </c>
      <c r="O143" s="3" t="s">
        <v>3</v>
      </c>
      <c r="P143" s="4" t="str">
        <f t="shared" si="1"/>
        <v>141 : [17,14,3],</v>
      </c>
      <c r="Q143" s="4" t="str">
        <f t="shared" si="2"/>
        <v>141 : 2,</v>
      </c>
    </row>
    <row r="144">
      <c r="A144" s="3" t="s">
        <v>542</v>
      </c>
      <c r="B144" s="5">
        <v>150837.0</v>
      </c>
      <c r="C144" s="10">
        <v>142.0</v>
      </c>
      <c r="D144" s="3" t="s">
        <v>459</v>
      </c>
      <c r="E144" s="3">
        <f t="array" ref="E144">xlookup(D144,Sheet3!A:A,Sheet3!B:B)</f>
        <v>0</v>
      </c>
      <c r="F144" s="3" t="s">
        <v>28</v>
      </c>
      <c r="G144" s="3">
        <f t="array" ref="G144">xlookup(F144,Sheet2!A:A,Sheet2!B:B)</f>
        <v>32</v>
      </c>
      <c r="H144" s="3" t="s">
        <v>3</v>
      </c>
      <c r="I144" s="3" t="str">
        <f t="array" ref="I144">JOIN("", SORT(MID(LOWER(H144), SEQUENCE(LEN(H144)), 1)))</f>
        <v>an</v>
      </c>
      <c r="J144" s="3" t="s">
        <v>13</v>
      </c>
      <c r="K144" s="3">
        <f t="array" ref="K144">xlookup(J144,Sheet2!A:A,Sheet2!B:B)</f>
        <v>17</v>
      </c>
      <c r="L144" s="3" t="s">
        <v>3</v>
      </c>
      <c r="M144" s="3" t="s">
        <v>111</v>
      </c>
      <c r="N144" s="3">
        <f t="array" ref="N144">xlookup(M144,Sheet2!A:A,Sheet2!B:B)</f>
        <v>28</v>
      </c>
      <c r="O144" s="3" t="s">
        <v>3</v>
      </c>
      <c r="P144" s="4" t="str">
        <f t="shared" si="1"/>
        <v>142 : [32,17,28],</v>
      </c>
      <c r="Q144" s="4" t="str">
        <f t="shared" si="2"/>
        <v>142 : 0,</v>
      </c>
    </row>
    <row r="145">
      <c r="A145" s="3" t="s">
        <v>543</v>
      </c>
      <c r="B145" s="5">
        <v>150316.0</v>
      </c>
      <c r="C145" s="10">
        <v>143.0</v>
      </c>
      <c r="D145" s="3" t="s">
        <v>459</v>
      </c>
      <c r="E145" s="3">
        <f t="array" ref="E145">xlookup(D145,Sheet3!A:A,Sheet3!B:B)</f>
        <v>0</v>
      </c>
      <c r="F145" s="3" t="s">
        <v>401</v>
      </c>
      <c r="G145" s="3">
        <f t="array" ref="G145">xlookup(F145,Sheet2!A:A,Sheet2!B:B)</f>
        <v>38</v>
      </c>
      <c r="H145" s="3" t="s">
        <v>3</v>
      </c>
      <c r="I145" s="3" t="str">
        <f t="array" ref="I145">JOIN("", SORT(MID(LOWER(H145), SEQUENCE(LEN(H145)), 1)))</f>
        <v>an</v>
      </c>
      <c r="J145" s="3" t="s">
        <v>5</v>
      </c>
      <c r="K145" s="3">
        <f t="array" ref="K145">xlookup(J145,Sheet2!A:A,Sheet2!B:B)</f>
        <v>35</v>
      </c>
      <c r="L145" s="3" t="s">
        <v>3</v>
      </c>
      <c r="M145" s="3" t="s">
        <v>238</v>
      </c>
      <c r="N145" s="3">
        <f t="array" ref="N145">xlookup(M145,Sheet2!A:A,Sheet2!B:B)</f>
        <v>37</v>
      </c>
      <c r="O145" s="3" t="s">
        <v>3</v>
      </c>
      <c r="P145" s="4" t="str">
        <f t="shared" si="1"/>
        <v>143 : [38,35,37],</v>
      </c>
      <c r="Q145" s="4" t="str">
        <f t="shared" si="2"/>
        <v>143 : 0,</v>
      </c>
    </row>
    <row r="146">
      <c r="A146" s="3" t="s">
        <v>544</v>
      </c>
      <c r="B146" s="5">
        <v>195481.0</v>
      </c>
      <c r="C146" s="10">
        <v>144.0</v>
      </c>
      <c r="D146" s="3" t="s">
        <v>459</v>
      </c>
      <c r="E146" s="3">
        <f t="array" ref="E146">xlookup(D146,Sheet3!A:A,Sheet3!B:B)</f>
        <v>0</v>
      </c>
      <c r="F146" s="3" t="s">
        <v>109</v>
      </c>
      <c r="G146" s="3">
        <f t="array" ref="G146">xlookup(F146,Sheet2!A:A,Sheet2!B:B)</f>
        <v>49</v>
      </c>
      <c r="H146" s="3" t="s">
        <v>545</v>
      </c>
      <c r="I146" s="3" t="str">
        <f t="array" ref="I146">JOIN("", SORT(MID(LOWER(H146), SEQUENCE(LEN(H146)), 1)))</f>
        <v>     ,,aaaaaaaaabddeeggghhiiijkllmnnnnnorrrrsstuy</v>
      </c>
      <c r="J146" s="3" t="s">
        <v>184</v>
      </c>
      <c r="K146" s="3">
        <f t="array" ref="K146">xlookup(J146,Sheet2!A:A,Sheet2!B:B)</f>
        <v>4</v>
      </c>
      <c r="L146" s="3" t="s">
        <v>545</v>
      </c>
      <c r="M146" s="3" t="s">
        <v>63</v>
      </c>
      <c r="N146" s="3">
        <f t="array" ref="N146">xlookup(M146,Sheet2!A:A,Sheet2!B:B)</f>
        <v>29</v>
      </c>
      <c r="O146" s="3" t="s">
        <v>545</v>
      </c>
      <c r="P146" s="4" t="str">
        <f t="shared" si="1"/>
        <v>144 : [49,4,29],</v>
      </c>
      <c r="Q146" s="4" t="str">
        <f t="shared" si="2"/>
        <v>144 : 0,</v>
      </c>
    </row>
    <row r="147">
      <c r="A147" s="3" t="s">
        <v>546</v>
      </c>
      <c r="B147" s="5">
        <v>117129.0</v>
      </c>
      <c r="C147" s="10">
        <v>145.0</v>
      </c>
      <c r="D147" s="3" t="s">
        <v>459</v>
      </c>
      <c r="E147" s="3">
        <f t="array" ref="E147">xlookup(D147,Sheet3!A:A,Sheet3!B:B)</f>
        <v>0</v>
      </c>
      <c r="F147" s="3" t="s">
        <v>191</v>
      </c>
      <c r="G147" s="3">
        <f t="array" ref="G147">xlookup(F147,Sheet2!A:A,Sheet2!B:B)</f>
        <v>39</v>
      </c>
      <c r="H147" s="3" t="s">
        <v>3</v>
      </c>
      <c r="I147" s="3" t="str">
        <f t="array" ref="I147">JOIN("", SORT(MID(LOWER(H147), SEQUENCE(LEN(H147)), 1)))</f>
        <v>an</v>
      </c>
      <c r="J147" s="3" t="s">
        <v>465</v>
      </c>
      <c r="K147" s="3">
        <f t="array" ref="K147">xlookup(J147,Sheet2!A:A,Sheet2!B:B)</f>
        <v>36</v>
      </c>
      <c r="L147" s="3" t="s">
        <v>3</v>
      </c>
      <c r="M147" s="3" t="s">
        <v>401</v>
      </c>
      <c r="N147" s="3">
        <f t="array" ref="N147">xlookup(M147,Sheet2!A:A,Sheet2!B:B)</f>
        <v>38</v>
      </c>
      <c r="O147" s="3" t="s">
        <v>3</v>
      </c>
      <c r="P147" s="4" t="str">
        <f t="shared" si="1"/>
        <v>145 : [39,36,38],</v>
      </c>
      <c r="Q147" s="4" t="str">
        <f t="shared" si="2"/>
        <v>145 : 0,</v>
      </c>
    </row>
    <row r="148">
      <c r="A148" s="3" t="s">
        <v>206</v>
      </c>
      <c r="B148" s="5">
        <v>124399.0</v>
      </c>
      <c r="C148" s="10">
        <v>146.0</v>
      </c>
      <c r="D148" s="3" t="s">
        <v>153</v>
      </c>
      <c r="E148" s="3">
        <f t="array" ref="E148">xlookup(D148,Sheet3!A:A,Sheet3!B:B)</f>
        <v>2</v>
      </c>
      <c r="F148" s="3" t="s">
        <v>105</v>
      </c>
      <c r="G148" s="3">
        <f t="array" ref="G148">xlookup(F148,Sheet2!A:A,Sheet2!B:B)</f>
        <v>26</v>
      </c>
      <c r="H148" s="3" t="s">
        <v>3</v>
      </c>
      <c r="I148" s="3" t="str">
        <f t="array" ref="I148">JOIN("", SORT(MID(LOWER(H148), SEQUENCE(LEN(H148)), 1)))</f>
        <v>an</v>
      </c>
      <c r="J148" s="3" t="s">
        <v>207</v>
      </c>
      <c r="K148" s="3">
        <f t="array" ref="K148">xlookup(J148,Sheet2!A:A,Sheet2!B:B)</f>
        <v>1</v>
      </c>
      <c r="L148" s="3" t="s">
        <v>3</v>
      </c>
      <c r="M148" s="3" t="s">
        <v>2</v>
      </c>
      <c r="N148" s="3">
        <f t="array" ref="N148">xlookup(M148,Sheet2!A:A,Sheet2!B:B)</f>
        <v>25</v>
      </c>
      <c r="O148" s="3" t="s">
        <v>3</v>
      </c>
      <c r="P148" s="4" t="str">
        <f t="shared" si="1"/>
        <v>146 : [26,1,25],</v>
      </c>
      <c r="Q148" s="4" t="str">
        <f t="shared" si="2"/>
        <v>146 : 2,</v>
      </c>
    </row>
    <row r="149">
      <c r="A149" s="3" t="s">
        <v>343</v>
      </c>
      <c r="B149" s="5">
        <v>128023.0</v>
      </c>
      <c r="C149" s="10">
        <v>147.0</v>
      </c>
      <c r="D149" s="3" t="s">
        <v>282</v>
      </c>
      <c r="E149" s="3">
        <f t="array" ref="E149">xlookup(D149,Sheet3!A:A,Sheet3!B:B)</f>
        <v>1</v>
      </c>
      <c r="F149" s="3" t="s">
        <v>2</v>
      </c>
      <c r="G149" s="3">
        <f t="array" ref="G149">xlookup(F149,Sheet2!A:A,Sheet2!B:B)</f>
        <v>25</v>
      </c>
      <c r="H149" s="3" t="s">
        <v>3</v>
      </c>
      <c r="I149" s="3" t="str">
        <f t="array" ref="I149">JOIN("", SORT(MID(LOWER(H149), SEQUENCE(LEN(H149)), 1)))</f>
        <v>an</v>
      </c>
      <c r="J149" s="3" t="s">
        <v>42</v>
      </c>
      <c r="K149" s="3">
        <f t="array" ref="K149">xlookup(J149,Sheet2!A:A,Sheet2!B:B)</f>
        <v>14</v>
      </c>
      <c r="L149" s="3" t="s">
        <v>3</v>
      </c>
      <c r="M149" s="3" t="s">
        <v>38</v>
      </c>
      <c r="N149" s="3">
        <f t="array" ref="N149">xlookup(M149,Sheet2!A:A,Sheet2!B:B)</f>
        <v>6</v>
      </c>
      <c r="O149" s="3" t="s">
        <v>3</v>
      </c>
      <c r="P149" s="4" t="str">
        <f t="shared" si="1"/>
        <v>147 : [25,14,6],</v>
      </c>
      <c r="Q149" s="4" t="str">
        <f t="shared" si="2"/>
        <v>147 : 1,</v>
      </c>
    </row>
    <row r="150">
      <c r="A150" s="3" t="s">
        <v>37</v>
      </c>
      <c r="B150" s="5">
        <v>125698.0</v>
      </c>
      <c r="C150" s="10">
        <v>148.0</v>
      </c>
      <c r="D150" s="3" t="s">
        <v>1</v>
      </c>
      <c r="E150" s="3">
        <f t="array" ref="E150">xlookup(D150,Sheet3!A:A,Sheet3!B:B)</f>
        <v>5</v>
      </c>
      <c r="F150" s="3" t="s">
        <v>38</v>
      </c>
      <c r="G150" s="3">
        <f t="array" ref="G150">xlookup(F150,Sheet2!A:A,Sheet2!B:B)</f>
        <v>6</v>
      </c>
      <c r="H150" s="10" t="s">
        <v>3</v>
      </c>
      <c r="I150" s="3" t="str">
        <f t="array" ref="I150">JOIN("", SORT(MID(LOWER(H150), SEQUENCE(LEN(H150)), 1)))</f>
        <v>an</v>
      </c>
      <c r="J150" s="3" t="s">
        <v>39</v>
      </c>
      <c r="K150" s="3">
        <f t="array" ref="K150">xlookup(J150,Sheet2!A:A,Sheet2!B:B)</f>
        <v>20</v>
      </c>
      <c r="L150" s="10" t="s">
        <v>3</v>
      </c>
      <c r="M150" s="3" t="s">
        <v>40</v>
      </c>
      <c r="N150" s="3">
        <f t="array" ref="N150">xlookup(M150,Sheet2!A:A,Sheet2!B:B)</f>
        <v>44</v>
      </c>
      <c r="O150" s="10" t="s">
        <v>3</v>
      </c>
      <c r="P150" s="4" t="str">
        <f t="shared" si="1"/>
        <v>148 : [6,20,44],</v>
      </c>
      <c r="Q150" s="4" t="str">
        <f t="shared" si="2"/>
        <v>148 : 5,</v>
      </c>
    </row>
    <row r="151">
      <c r="A151" s="3" t="s">
        <v>208</v>
      </c>
      <c r="B151" s="5">
        <v>111281.0</v>
      </c>
      <c r="C151" s="10">
        <v>149.0</v>
      </c>
      <c r="D151" s="3" t="s">
        <v>153</v>
      </c>
      <c r="E151" s="3">
        <f t="array" ref="E151">xlookup(D151,Sheet3!A:A,Sheet3!B:B)</f>
        <v>2</v>
      </c>
      <c r="F151" s="3" t="s">
        <v>38</v>
      </c>
      <c r="G151" s="3">
        <f t="array" ref="G151">xlookup(F151,Sheet2!A:A,Sheet2!B:B)</f>
        <v>6</v>
      </c>
      <c r="H151" s="3" t="s">
        <v>3</v>
      </c>
      <c r="I151" s="3" t="str">
        <f t="array" ref="I151">JOIN("", SORT(MID(LOWER(H151), SEQUENCE(LEN(H151)), 1)))</f>
        <v>an</v>
      </c>
      <c r="J151" s="3" t="s">
        <v>2</v>
      </c>
      <c r="K151" s="3">
        <f t="array" ref="K151">xlookup(J151,Sheet2!A:A,Sheet2!B:B)</f>
        <v>25</v>
      </c>
      <c r="L151" s="3" t="s">
        <v>3</v>
      </c>
      <c r="M151" s="3" t="s">
        <v>96</v>
      </c>
      <c r="N151" s="3">
        <f t="array" ref="N151">xlookup(M151,Sheet2!A:A,Sheet2!B:B)</f>
        <v>47</v>
      </c>
      <c r="O151" s="3" t="s">
        <v>3</v>
      </c>
      <c r="P151" s="4" t="str">
        <f t="shared" si="1"/>
        <v>149 : [6,25,47],</v>
      </c>
      <c r="Q151" s="4" t="str">
        <f t="shared" si="2"/>
        <v>149 : 2,</v>
      </c>
    </row>
    <row r="152">
      <c r="A152" s="3" t="s">
        <v>344</v>
      </c>
      <c r="B152" s="5">
        <v>312216.0</v>
      </c>
      <c r="C152" s="10">
        <v>150.0</v>
      </c>
      <c r="D152" s="3" t="s">
        <v>282</v>
      </c>
      <c r="E152" s="3">
        <f t="array" ref="E152">xlookup(D152,Sheet3!A:A,Sheet3!B:B)</f>
        <v>1</v>
      </c>
      <c r="F152" s="3" t="s">
        <v>212</v>
      </c>
      <c r="G152" s="3">
        <f t="array" ref="G152">xlookup(F152,Sheet2!A:A,Sheet2!B:B)</f>
        <v>2</v>
      </c>
      <c r="H152" s="3" t="s">
        <v>345</v>
      </c>
      <c r="I152" s="3" t="str">
        <f t="array" ref="I152">JOIN("", SORT(MID(LOWER(H152), SEQUENCE(LEN(H152)), 1)))</f>
        <v> aaaabhhhikmnostty</v>
      </c>
      <c r="J152" s="3" t="s">
        <v>39</v>
      </c>
      <c r="K152" s="3">
        <f t="array" ref="K152">xlookup(J152,Sheet2!A:A,Sheet2!B:B)</f>
        <v>20</v>
      </c>
      <c r="L152" s="3" t="s">
        <v>345</v>
      </c>
      <c r="M152" s="3" t="s">
        <v>40</v>
      </c>
      <c r="N152" s="3">
        <f t="array" ref="N152">xlookup(M152,Sheet2!A:A,Sheet2!B:B)</f>
        <v>44</v>
      </c>
      <c r="O152" s="3" t="s">
        <v>345</v>
      </c>
      <c r="P152" s="4" t="str">
        <f t="shared" si="1"/>
        <v>150 : [2,20,44],</v>
      </c>
      <c r="Q152" s="4" t="str">
        <f t="shared" si="2"/>
        <v>150 : 1,</v>
      </c>
    </row>
    <row r="153">
      <c r="A153" s="3" t="s">
        <v>547</v>
      </c>
      <c r="B153" s="5">
        <v>204806.0</v>
      </c>
      <c r="C153" s="10">
        <v>151.0</v>
      </c>
      <c r="D153" s="3" t="s">
        <v>459</v>
      </c>
      <c r="E153" s="3">
        <f t="array" ref="E153">xlookup(D153,Sheet3!A:A,Sheet3!B:B)</f>
        <v>0</v>
      </c>
      <c r="F153" s="3" t="s">
        <v>7</v>
      </c>
      <c r="G153" s="3">
        <f t="array" ref="G153">xlookup(F153,Sheet2!A:A,Sheet2!B:B)</f>
        <v>15</v>
      </c>
      <c r="H153" s="3" t="s">
        <v>548</v>
      </c>
      <c r="I153" s="3" t="str">
        <f t="array" ref="I153">JOIN("", SORT(MID(LOWER(H153), SEQUENCE(LEN(H153)), 1)))</f>
        <v>   ,aeehiiijlnnnnrsuuw</v>
      </c>
      <c r="J153" s="3" t="s">
        <v>9</v>
      </c>
      <c r="K153" s="3">
        <f t="array" ref="K153">xlookup(J153,Sheet2!A:A,Sheet2!B:B)</f>
        <v>5</v>
      </c>
      <c r="L153" s="3" t="s">
        <v>549</v>
      </c>
      <c r="M153" s="3" t="s">
        <v>7</v>
      </c>
      <c r="N153" s="3">
        <f t="array" ref="N153">xlookup(M153,Sheet2!A:A,Sheet2!B:B)</f>
        <v>15</v>
      </c>
      <c r="O153" s="3" t="s">
        <v>550</v>
      </c>
      <c r="P153" s="4" t="str">
        <f t="shared" si="1"/>
        <v>151 : [15,5,15],</v>
      </c>
      <c r="Q153" s="4" t="str">
        <f t="shared" si="2"/>
        <v>151 : 0,</v>
      </c>
    </row>
    <row r="154">
      <c r="A154" s="3" t="s">
        <v>209</v>
      </c>
      <c r="B154" s="5">
        <v>301809.0</v>
      </c>
      <c r="C154" s="10">
        <v>152.0</v>
      </c>
      <c r="D154" s="3" t="s">
        <v>153</v>
      </c>
      <c r="E154" s="3">
        <f t="array" ref="E154">xlookup(D154,Sheet3!A:A,Sheet3!B:B)</f>
        <v>2</v>
      </c>
      <c r="F154" s="3" t="s">
        <v>47</v>
      </c>
      <c r="G154" s="3">
        <f t="array" ref="G154">xlookup(F154,Sheet2!A:A,Sheet2!B:B)</f>
        <v>27</v>
      </c>
      <c r="H154" s="3" t="s">
        <v>210</v>
      </c>
      <c r="I154" s="3" t="str">
        <f t="array" ref="I154">JOIN("", SORT(MID(LOWER(H154), SEQUENCE(LEN(H154)), 1)))</f>
        <v>   ,aaaadghhiiimnnorrsstt</v>
      </c>
      <c r="J154" s="3" t="s">
        <v>25</v>
      </c>
      <c r="K154" s="3">
        <f t="array" ref="K154">xlookup(J154,Sheet2!A:A,Sheet2!B:B)</f>
        <v>18</v>
      </c>
      <c r="L154" s="3" t="s">
        <v>210</v>
      </c>
      <c r="M154" s="3" t="s">
        <v>109</v>
      </c>
      <c r="N154" s="3">
        <f t="array" ref="N154">xlookup(M154,Sheet2!A:A,Sheet2!B:B)</f>
        <v>49</v>
      </c>
      <c r="O154" s="3" t="s">
        <v>210</v>
      </c>
      <c r="P154" s="4" t="str">
        <f t="shared" si="1"/>
        <v>152 : [27,18,49],</v>
      </c>
      <c r="Q154" s="4" t="str">
        <f t="shared" si="2"/>
        <v>152 : 2,</v>
      </c>
    </row>
    <row r="155">
      <c r="A155" s="3" t="s">
        <v>94</v>
      </c>
      <c r="B155" s="5">
        <v>111849.0</v>
      </c>
      <c r="C155" s="10">
        <v>153.0</v>
      </c>
      <c r="D155" s="3" t="s">
        <v>60</v>
      </c>
      <c r="E155" s="3">
        <f t="array" ref="E155">xlookup(D155,Sheet3!A:A,Sheet3!B:B)</f>
        <v>4</v>
      </c>
      <c r="F155" s="3" t="s">
        <v>10</v>
      </c>
      <c r="G155" s="3">
        <f t="array" ref="G155">xlookup(F155,Sheet2!A:A,Sheet2!B:B)</f>
        <v>9</v>
      </c>
      <c r="H155" s="3" t="s">
        <v>95</v>
      </c>
      <c r="I155" s="3" t="str">
        <f t="array" ref="I155">JOIN("", SORT(MID(LOWER(H155), SEQUENCE(LEN(H155)), 1)))</f>
        <v>  aaaaaabbhiilmnnrsssuvw</v>
      </c>
      <c r="J155" s="3" t="s">
        <v>96</v>
      </c>
      <c r="K155" s="3">
        <f t="array" ref="K155">xlookup(J155,Sheet2!A:A,Sheet2!B:B)</f>
        <v>47</v>
      </c>
      <c r="L155" s="3" t="s">
        <v>95</v>
      </c>
      <c r="M155" s="3" t="s">
        <v>16</v>
      </c>
      <c r="N155" s="3">
        <f t="array" ref="N155">xlookup(M155,Sheet2!A:A,Sheet2!B:B)</f>
        <v>3</v>
      </c>
      <c r="O155" s="3" t="s">
        <v>95</v>
      </c>
      <c r="P155" s="4" t="str">
        <f t="shared" si="1"/>
        <v>153 : [9,47,3],</v>
      </c>
      <c r="Q155" s="4" t="str">
        <f t="shared" si="2"/>
        <v>153 : 4,</v>
      </c>
    </row>
    <row r="156">
      <c r="A156" s="3" t="s">
        <v>41</v>
      </c>
      <c r="B156" s="5">
        <v>116467.0</v>
      </c>
      <c r="C156" s="10">
        <v>154.0</v>
      </c>
      <c r="D156" s="3" t="s">
        <v>1</v>
      </c>
      <c r="E156" s="3">
        <f t="array" ref="E156">xlookup(D156,Sheet3!A:A,Sheet3!B:B)</f>
        <v>5</v>
      </c>
      <c r="F156" s="3" t="s">
        <v>42</v>
      </c>
      <c r="G156" s="3">
        <f t="array" ref="G156">xlookup(F156,Sheet2!A:A,Sheet2!B:B)</f>
        <v>14</v>
      </c>
      <c r="H156" s="3" t="s">
        <v>3</v>
      </c>
      <c r="I156" s="3" t="str">
        <f t="array" ref="I156">JOIN("", SORT(MID(LOWER(H156), SEQUENCE(LEN(H156)), 1)))</f>
        <v>an</v>
      </c>
      <c r="J156" s="3" t="s">
        <v>5</v>
      </c>
      <c r="K156" s="3">
        <f t="array" ref="K156">xlookup(J156,Sheet2!A:A,Sheet2!B:B)</f>
        <v>35</v>
      </c>
      <c r="L156" s="3" t="s">
        <v>3</v>
      </c>
      <c r="M156" s="3" t="s">
        <v>16</v>
      </c>
      <c r="N156" s="3">
        <f t="array" ref="N156">xlookup(M156,Sheet2!A:A,Sheet2!B:B)</f>
        <v>3</v>
      </c>
      <c r="O156" s="3" t="s">
        <v>3</v>
      </c>
      <c r="P156" s="4" t="str">
        <f t="shared" si="1"/>
        <v>154 : [14,35,3],</v>
      </c>
      <c r="Q156" s="4" t="str">
        <f t="shared" si="2"/>
        <v>154 : 5,</v>
      </c>
    </row>
    <row r="157">
      <c r="A157" s="3" t="s">
        <v>211</v>
      </c>
      <c r="B157" s="5">
        <v>163486.0</v>
      </c>
      <c r="C157" s="10">
        <v>155.0</v>
      </c>
      <c r="D157" s="3" t="s">
        <v>153</v>
      </c>
      <c r="E157" s="3">
        <f t="array" ref="E157">xlookup(D157,Sheet3!A:A,Sheet3!B:B)</f>
        <v>2</v>
      </c>
      <c r="F157" s="3" t="s">
        <v>212</v>
      </c>
      <c r="G157" s="3">
        <f t="array" ref="G157">xlookup(F157,Sheet2!A:A,Sheet2!B:B)</f>
        <v>2</v>
      </c>
      <c r="H157" s="3" t="s">
        <v>3</v>
      </c>
      <c r="I157" s="3" t="str">
        <f t="array" ref="I157">JOIN("", SORT(MID(LOWER(H157), SEQUENCE(LEN(H157)), 1)))</f>
        <v>an</v>
      </c>
      <c r="J157" s="3" t="s">
        <v>38</v>
      </c>
      <c r="K157" s="3">
        <f t="array" ref="K157">xlookup(J157,Sheet2!A:A,Sheet2!B:B)</f>
        <v>6</v>
      </c>
      <c r="L157" s="3" t="s">
        <v>3</v>
      </c>
      <c r="M157" s="3" t="s">
        <v>96</v>
      </c>
      <c r="N157" s="3">
        <f t="array" ref="N157">xlookup(M157,Sheet2!A:A,Sheet2!B:B)</f>
        <v>47</v>
      </c>
      <c r="O157" s="3" t="s">
        <v>213</v>
      </c>
      <c r="P157" s="4" t="str">
        <f t="shared" si="1"/>
        <v>155 : [2,6,47],</v>
      </c>
      <c r="Q157" s="4" t="str">
        <f t="shared" si="2"/>
        <v>155 : 2,</v>
      </c>
    </row>
    <row r="158">
      <c r="A158" s="3" t="s">
        <v>551</v>
      </c>
      <c r="B158" s="5">
        <v>179850.0</v>
      </c>
      <c r="C158" s="10">
        <v>156.0</v>
      </c>
      <c r="D158" s="3" t="s">
        <v>459</v>
      </c>
      <c r="E158" s="3">
        <f t="array" ref="E158">xlookup(D158,Sheet3!A:A,Sheet3!B:B)</f>
        <v>0</v>
      </c>
      <c r="F158" s="3" t="s">
        <v>76</v>
      </c>
      <c r="G158" s="3">
        <f t="array" ref="G158">xlookup(F158,Sheet2!A:A,Sheet2!B:B)</f>
        <v>24</v>
      </c>
      <c r="H158" s="3" t="s">
        <v>552</v>
      </c>
      <c r="I158" s="3" t="str">
        <f t="array" ref="I158">JOIN("", SORT(MID(LOWER(H158), SEQUENCE(LEN(H158)), 1)))</f>
        <v>      aaaaaaaadhhiiiikkklmmnnnprsssuy</v>
      </c>
      <c r="J158" s="3" t="s">
        <v>7</v>
      </c>
      <c r="K158" s="3">
        <f t="array" ref="K158">xlookup(J158,Sheet2!A:A,Sheet2!B:B)</f>
        <v>15</v>
      </c>
      <c r="L158" s="3" t="s">
        <v>552</v>
      </c>
      <c r="M158" s="3" t="s">
        <v>72</v>
      </c>
      <c r="N158" s="3">
        <f t="array" ref="N158">xlookup(M158,Sheet2!A:A,Sheet2!B:B)</f>
        <v>34</v>
      </c>
      <c r="O158" s="3" t="s">
        <v>553</v>
      </c>
      <c r="P158" s="4" t="str">
        <f t="shared" si="1"/>
        <v>156 : [24,15,34],</v>
      </c>
      <c r="Q158" s="4" t="str">
        <f t="shared" si="2"/>
        <v>156 : 0,</v>
      </c>
    </row>
    <row r="159">
      <c r="A159" s="3" t="s">
        <v>554</v>
      </c>
      <c r="B159" s="5">
        <v>137811.0</v>
      </c>
      <c r="C159" s="10">
        <v>157.0</v>
      </c>
      <c r="D159" s="3" t="s">
        <v>459</v>
      </c>
      <c r="E159" s="3">
        <f t="array" ref="E159">xlookup(D159,Sheet3!A:A,Sheet3!B:B)</f>
        <v>0</v>
      </c>
      <c r="F159" s="3" t="s">
        <v>13</v>
      </c>
      <c r="G159" s="3">
        <f t="array" ref="G159">xlookup(F159,Sheet2!A:A,Sheet2!B:B)</f>
        <v>17</v>
      </c>
      <c r="H159" s="3" t="s">
        <v>3</v>
      </c>
      <c r="I159" s="3" t="str">
        <f t="array" ref="I159">JOIN("", SORT(MID(LOWER(H159), SEQUENCE(LEN(H159)), 1)))</f>
        <v>an</v>
      </c>
      <c r="J159" s="3" t="s">
        <v>5</v>
      </c>
      <c r="K159" s="3">
        <f t="array" ref="K159">xlookup(J159,Sheet2!A:A,Sheet2!B:B)</f>
        <v>35</v>
      </c>
      <c r="L159" s="3" t="s">
        <v>3</v>
      </c>
      <c r="M159" s="3" t="s">
        <v>16</v>
      </c>
      <c r="N159" s="3">
        <f t="array" ref="N159">xlookup(M159,Sheet2!A:A,Sheet2!B:B)</f>
        <v>3</v>
      </c>
      <c r="O159" s="3" t="s">
        <v>3</v>
      </c>
      <c r="P159" s="4" t="str">
        <f t="shared" si="1"/>
        <v>157 : [17,35,3],</v>
      </c>
      <c r="Q159" s="4" t="str">
        <f t="shared" si="2"/>
        <v>157 : 0,</v>
      </c>
    </row>
    <row r="160">
      <c r="A160" s="3" t="s">
        <v>346</v>
      </c>
      <c r="B160" s="5">
        <v>327227.0</v>
      </c>
      <c r="C160" s="10">
        <v>158.0</v>
      </c>
      <c r="D160" s="3" t="s">
        <v>282</v>
      </c>
      <c r="E160" s="3">
        <f t="array" ref="E160">xlookup(D160,Sheet3!A:A,Sheet3!B:B)</f>
        <v>1</v>
      </c>
      <c r="F160" s="3" t="s">
        <v>76</v>
      </c>
      <c r="G160" s="3">
        <f t="array" ref="G160">xlookup(F160,Sheet2!A:A,Sheet2!B:B)</f>
        <v>24</v>
      </c>
      <c r="H160" s="3" t="s">
        <v>315</v>
      </c>
      <c r="I160" s="3" t="str">
        <f t="array" ref="I160">JOIN("", SORT(MID(LOWER(H160), SEQUENCE(LEN(H160)), 1)))</f>
        <v>  aaehinnnooppstty</v>
      </c>
      <c r="J160" s="3" t="s">
        <v>74</v>
      </c>
      <c r="K160" s="3">
        <f t="array" ref="K160">xlookup(J160,Sheet2!A:A,Sheet2!B:B)</f>
        <v>50</v>
      </c>
      <c r="L160" s="3" t="s">
        <v>315</v>
      </c>
      <c r="M160" s="3" t="s">
        <v>125</v>
      </c>
      <c r="N160" s="3">
        <f t="array" ref="N160">xlookup(M160,Sheet2!A:A,Sheet2!B:B)</f>
        <v>19</v>
      </c>
      <c r="O160" s="3" t="s">
        <v>315</v>
      </c>
      <c r="P160" s="4" t="str">
        <f t="shared" si="1"/>
        <v>158 : [24,50,19],</v>
      </c>
      <c r="Q160" s="4" t="str">
        <f t="shared" si="2"/>
        <v>158 : 1,</v>
      </c>
    </row>
    <row r="161">
      <c r="A161" s="3" t="s">
        <v>555</v>
      </c>
      <c r="B161" s="5">
        <v>150165.0</v>
      </c>
      <c r="C161" s="10">
        <v>159.0</v>
      </c>
      <c r="D161" s="3" t="s">
        <v>459</v>
      </c>
      <c r="E161" s="3">
        <f t="array" ref="E161">xlookup(D161,Sheet3!A:A,Sheet3!B:B)</f>
        <v>0</v>
      </c>
      <c r="F161" s="3" t="s">
        <v>21</v>
      </c>
      <c r="G161" s="3">
        <f t="array" ref="G161">xlookup(F161,Sheet2!A:A,Sheet2!B:B)</f>
        <v>10</v>
      </c>
      <c r="H161" s="3" t="s">
        <v>556</v>
      </c>
      <c r="I161" s="3" t="str">
        <f t="array" ref="I161">JOIN("", SORT(MID(LOWER(H161), SEQUENCE(LEN(H161)), 1)))</f>
        <v>   ,aaaaegghiiijklnprstuuy</v>
      </c>
      <c r="J161" s="3" t="s">
        <v>20</v>
      </c>
      <c r="K161" s="3">
        <f t="array" ref="K161">xlookup(J161,Sheet2!A:A,Sheet2!B:B)</f>
        <v>48</v>
      </c>
      <c r="L161" s="3" t="s">
        <v>556</v>
      </c>
      <c r="M161" s="3" t="s">
        <v>18</v>
      </c>
      <c r="N161" s="3">
        <f t="array" ref="N161">xlookup(M161,Sheet2!A:A,Sheet2!B:B)</f>
        <v>22</v>
      </c>
      <c r="O161" s="3" t="s">
        <v>556</v>
      </c>
      <c r="P161" s="4" t="str">
        <f t="shared" si="1"/>
        <v>159 : [10,48,22],</v>
      </c>
      <c r="Q161" s="4" t="str">
        <f t="shared" si="2"/>
        <v>159 : 0,</v>
      </c>
    </row>
    <row r="162">
      <c r="A162" s="3" t="s">
        <v>97</v>
      </c>
      <c r="B162" s="5">
        <v>110345.0</v>
      </c>
      <c r="C162" s="10">
        <v>160.0</v>
      </c>
      <c r="D162" s="3" t="s">
        <v>60</v>
      </c>
      <c r="E162" s="3">
        <f t="array" ref="E162">xlookup(D162,Sheet3!A:A,Sheet3!B:B)</f>
        <v>4</v>
      </c>
      <c r="F162" s="3" t="s">
        <v>74</v>
      </c>
      <c r="G162" s="3">
        <f t="array" ref="G162">xlookup(F162,Sheet2!A:A,Sheet2!B:B)</f>
        <v>50</v>
      </c>
      <c r="H162" s="3" t="s">
        <v>75</v>
      </c>
      <c r="I162" s="3" t="str">
        <f t="array" ref="I162">JOIN("", SORT(MID(LOWER(H162), SEQUENCE(LEN(H162)), 1)))</f>
        <v>   ,aaeehhhiikllmnnorrrssttuu</v>
      </c>
      <c r="J162" s="3" t="s">
        <v>76</v>
      </c>
      <c r="K162" s="3">
        <f t="array" ref="K162">xlookup(J162,Sheet2!A:A,Sheet2!B:B)</f>
        <v>24</v>
      </c>
      <c r="L162" s="3" t="s">
        <v>75</v>
      </c>
      <c r="M162" s="3" t="s">
        <v>72</v>
      </c>
      <c r="N162" s="3">
        <f t="array" ref="N162">xlookup(M162,Sheet2!A:A,Sheet2!B:B)</f>
        <v>34</v>
      </c>
      <c r="O162" s="3" t="s">
        <v>75</v>
      </c>
      <c r="P162" s="4" t="str">
        <f t="shared" si="1"/>
        <v>160 : [50,24,34],</v>
      </c>
      <c r="Q162" s="4" t="str">
        <f t="shared" si="2"/>
        <v>160 : 4,</v>
      </c>
    </row>
    <row r="163">
      <c r="A163" s="3" t="s">
        <v>129</v>
      </c>
      <c r="B163" s="5">
        <v>148882.0</v>
      </c>
      <c r="C163" s="10">
        <v>161.0</v>
      </c>
      <c r="D163" s="3" t="s">
        <v>118</v>
      </c>
      <c r="E163" s="3">
        <f t="array" ref="E163">xlookup(D163,Sheet3!A:A,Sheet3!B:B)</f>
        <v>3</v>
      </c>
      <c r="F163" s="3" t="s">
        <v>10</v>
      </c>
      <c r="G163" s="3">
        <f t="array" ref="G163">xlookup(F163,Sheet2!A:A,Sheet2!B:B)</f>
        <v>9</v>
      </c>
      <c r="H163" s="3" t="s">
        <v>130</v>
      </c>
      <c r="I163" s="3" t="str">
        <f t="array" ref="I163">JOIN("", SORT(MID(LOWER(H163), SEQUENCE(LEN(H163)), 1)))</f>
        <v>   ,aaaaaaaabbhiiklllmnnnrrrssstuuuvw</v>
      </c>
      <c r="J163" s="3" t="s">
        <v>96</v>
      </c>
      <c r="K163" s="3">
        <f t="array" ref="K163">xlookup(J163,Sheet2!A:A,Sheet2!B:B)</f>
        <v>47</v>
      </c>
      <c r="L163" s="3" t="s">
        <v>130</v>
      </c>
      <c r="M163" s="3" t="s">
        <v>38</v>
      </c>
      <c r="N163" s="3">
        <f t="array" ref="N163">xlookup(M163,Sheet2!A:A,Sheet2!B:B)</f>
        <v>6</v>
      </c>
      <c r="O163" s="3" t="s">
        <v>130</v>
      </c>
      <c r="P163" s="4" t="str">
        <f t="shared" si="1"/>
        <v>161 : [9,47,6],</v>
      </c>
      <c r="Q163" s="4" t="str">
        <f t="shared" si="2"/>
        <v>161 : 3,</v>
      </c>
    </row>
    <row r="164">
      <c r="A164" s="3" t="s">
        <v>557</v>
      </c>
      <c r="B164" s="5">
        <v>209436.0</v>
      </c>
      <c r="C164" s="10">
        <v>162.0</v>
      </c>
      <c r="D164" s="3" t="s">
        <v>459</v>
      </c>
      <c r="E164" s="3">
        <f t="array" ref="E164">xlookup(D164,Sheet3!A:A,Sheet3!B:B)</f>
        <v>0</v>
      </c>
      <c r="F164" s="3" t="s">
        <v>109</v>
      </c>
      <c r="G164" s="3">
        <f t="array" ref="G164">xlookup(F164,Sheet2!A:A,Sheet2!B:B)</f>
        <v>49</v>
      </c>
      <c r="H164" s="3" t="s">
        <v>558</v>
      </c>
      <c r="I164" s="3" t="str">
        <f t="array" ref="I164">JOIN("", SORT(MID(LOWER(H164), SEQUENCE(LEN(H164)), 1)))</f>
        <v>     ,,aaaaaaaaacddeeehhhhiiiiklmrrrsttvwyy</v>
      </c>
      <c r="J164" s="3" t="s">
        <v>47</v>
      </c>
      <c r="K164" s="3">
        <f t="array" ref="K164">xlookup(J164,Sheet2!A:A,Sheet2!B:B)</f>
        <v>27</v>
      </c>
      <c r="L164" s="3" t="s">
        <v>559</v>
      </c>
      <c r="M164" s="3" t="s">
        <v>139</v>
      </c>
      <c r="N164" s="3">
        <f t="array" ref="N164">xlookup(M164,Sheet2!A:A,Sheet2!B:B)</f>
        <v>21</v>
      </c>
      <c r="O164" s="3" t="s">
        <v>558</v>
      </c>
      <c r="P164" s="4" t="str">
        <f t="shared" si="1"/>
        <v>162 : [49,27,21],</v>
      </c>
      <c r="Q164" s="4" t="str">
        <f t="shared" si="2"/>
        <v>162 : 0,</v>
      </c>
    </row>
    <row r="165">
      <c r="A165" s="3" t="s">
        <v>347</v>
      </c>
      <c r="B165" s="5">
        <v>185266.0</v>
      </c>
      <c r="C165" s="10">
        <v>163.0</v>
      </c>
      <c r="D165" s="3" t="s">
        <v>282</v>
      </c>
      <c r="E165" s="3">
        <f t="array" ref="E165">xlookup(D165,Sheet3!A:A,Sheet3!B:B)</f>
        <v>1</v>
      </c>
      <c r="F165" s="3" t="s">
        <v>47</v>
      </c>
      <c r="G165" s="3">
        <f t="array" ref="G165">xlookup(F165,Sheet2!A:A,Sheet2!B:B)</f>
        <v>27</v>
      </c>
      <c r="H165" s="3" t="s">
        <v>348</v>
      </c>
      <c r="I165" s="3" t="str">
        <f t="array" ref="I165">JOIN("", SORT(MID(LOWER(H165), SEQUENCE(LEN(H165)), 1)))</f>
        <v>   ,aaaadghhiiimnnorrsstt</v>
      </c>
      <c r="J165" s="3" t="s">
        <v>25</v>
      </c>
      <c r="K165" s="3">
        <f t="array" ref="K165">xlookup(J165,Sheet2!A:A,Sheet2!B:B)</f>
        <v>18</v>
      </c>
      <c r="L165" s="3" t="s">
        <v>348</v>
      </c>
      <c r="M165" s="3" t="s">
        <v>109</v>
      </c>
      <c r="N165" s="3">
        <f t="array" ref="N165">xlookup(M165,Sheet2!A:A,Sheet2!B:B)</f>
        <v>49</v>
      </c>
      <c r="O165" s="3" t="s">
        <v>348</v>
      </c>
      <c r="P165" s="4" t="str">
        <f t="shared" si="1"/>
        <v>163 : [27,18,49],</v>
      </c>
      <c r="Q165" s="4" t="str">
        <f t="shared" si="2"/>
        <v>163 : 1,</v>
      </c>
    </row>
    <row r="166">
      <c r="A166" s="3" t="s">
        <v>349</v>
      </c>
      <c r="B166" s="5">
        <v>111261.0</v>
      </c>
      <c r="C166" s="10">
        <v>164.0</v>
      </c>
      <c r="D166" s="3" t="s">
        <v>282</v>
      </c>
      <c r="E166" s="3">
        <f t="array" ref="E166">xlookup(D166,Sheet3!A:A,Sheet3!B:B)</f>
        <v>1</v>
      </c>
      <c r="F166" s="3" t="s">
        <v>20</v>
      </c>
      <c r="G166" s="3">
        <f t="array" ref="G166">xlookup(F166,Sheet2!A:A,Sheet2!B:B)</f>
        <v>48</v>
      </c>
      <c r="H166" s="3" t="s">
        <v>350</v>
      </c>
      <c r="I166" s="3" t="str">
        <f t="array" ref="I166">JOIN("", SORT(MID(LOWER(H166), SEQUENCE(LEN(H166)), 1)))</f>
        <v>   ,aaaaeeeghhikklmnrssuwx</v>
      </c>
      <c r="J166" s="3" t="s">
        <v>18</v>
      </c>
      <c r="K166" s="3">
        <f t="array" ref="K166">xlookup(J166,Sheet2!A:A,Sheet2!B:B)</f>
        <v>22</v>
      </c>
      <c r="L166" s="3" t="s">
        <v>350</v>
      </c>
      <c r="M166" s="3" t="s">
        <v>170</v>
      </c>
      <c r="N166" s="3">
        <f t="array" ref="N166">xlookup(M166,Sheet2!A:A,Sheet2!B:B)</f>
        <v>16</v>
      </c>
      <c r="O166" s="3" t="s">
        <v>350</v>
      </c>
      <c r="P166" s="4" t="str">
        <f t="shared" si="1"/>
        <v>164 : [48,22,16],</v>
      </c>
      <c r="Q166" s="4" t="str">
        <f t="shared" si="2"/>
        <v>164 : 1,</v>
      </c>
    </row>
    <row r="167">
      <c r="A167" s="3" t="s">
        <v>560</v>
      </c>
      <c r="B167" s="5">
        <v>152867.0</v>
      </c>
      <c r="C167" s="10">
        <v>165.0</v>
      </c>
      <c r="D167" s="3" t="s">
        <v>459</v>
      </c>
      <c r="E167" s="3">
        <f t="array" ref="E167">xlookup(D167,Sheet3!A:A,Sheet3!B:B)</f>
        <v>0</v>
      </c>
      <c r="F167" s="3" t="s">
        <v>20</v>
      </c>
      <c r="G167" s="3">
        <f t="array" ref="G167">xlookup(F167,Sheet2!A:A,Sheet2!B:B)</f>
        <v>48</v>
      </c>
      <c r="H167" s="3" t="s">
        <v>350</v>
      </c>
      <c r="I167" s="3" t="str">
        <f t="array" ref="I167">JOIN("", SORT(MID(LOWER(H167), SEQUENCE(LEN(H167)), 1)))</f>
        <v>   ,aaaaeeeghhikklmnrssuwx</v>
      </c>
      <c r="J167" s="3" t="s">
        <v>18</v>
      </c>
      <c r="K167" s="3">
        <f t="array" ref="K167">xlookup(J167,Sheet2!A:A,Sheet2!B:B)</f>
        <v>22</v>
      </c>
      <c r="L167" s="3" t="s">
        <v>350</v>
      </c>
      <c r="M167" s="3" t="s">
        <v>170</v>
      </c>
      <c r="N167" s="3">
        <f t="array" ref="N167">xlookup(M167,Sheet2!A:A,Sheet2!B:B)</f>
        <v>16</v>
      </c>
      <c r="O167" s="3" t="s">
        <v>561</v>
      </c>
      <c r="P167" s="4" t="str">
        <f t="shared" si="1"/>
        <v>165 : [48,22,16],</v>
      </c>
      <c r="Q167" s="4" t="str">
        <f t="shared" si="2"/>
        <v>165 : 0,</v>
      </c>
    </row>
    <row r="168">
      <c r="A168" s="3" t="s">
        <v>562</v>
      </c>
      <c r="B168" s="5">
        <v>150663.0</v>
      </c>
      <c r="C168" s="10">
        <v>166.0</v>
      </c>
      <c r="D168" s="3" t="s">
        <v>459</v>
      </c>
      <c r="E168" s="3">
        <f t="array" ref="E168">xlookup(D168,Sheet3!A:A,Sheet3!B:B)</f>
        <v>0</v>
      </c>
      <c r="F168" s="3" t="s">
        <v>465</v>
      </c>
      <c r="G168" s="3">
        <f t="array" ref="G168">xlookup(F168,Sheet2!A:A,Sheet2!B:B)</f>
        <v>36</v>
      </c>
      <c r="H168" s="3" t="s">
        <v>3</v>
      </c>
      <c r="I168" s="3" t="str">
        <f t="array" ref="I168">JOIN("", SORT(MID(LOWER(H168), SEQUENCE(LEN(H168)), 1)))</f>
        <v>an</v>
      </c>
      <c r="J168" s="3" t="s">
        <v>401</v>
      </c>
      <c r="K168" s="3">
        <f t="array" ref="K168">xlookup(J168,Sheet2!A:A,Sheet2!B:B)</f>
        <v>38</v>
      </c>
      <c r="L168" s="3" t="s">
        <v>3</v>
      </c>
      <c r="M168" s="3" t="s">
        <v>309</v>
      </c>
      <c r="N168" s="3">
        <f t="array" ref="N168">xlookup(M168,Sheet2!A:A,Sheet2!B:B)</f>
        <v>40</v>
      </c>
      <c r="O168" s="3" t="s">
        <v>3</v>
      </c>
      <c r="P168" s="4" t="str">
        <f t="shared" si="1"/>
        <v>166 : [36,38,40],</v>
      </c>
      <c r="Q168" s="4" t="str">
        <f t="shared" si="2"/>
        <v>166 : 0,</v>
      </c>
    </row>
    <row r="169">
      <c r="A169" s="3" t="s">
        <v>563</v>
      </c>
      <c r="B169" s="5">
        <v>150386.0</v>
      </c>
      <c r="C169" s="10">
        <v>167.0</v>
      </c>
      <c r="D169" s="3" t="s">
        <v>459</v>
      </c>
      <c r="E169" s="3">
        <f t="array" ref="E169">xlookup(D169,Sheet3!A:A,Sheet3!B:B)</f>
        <v>0</v>
      </c>
      <c r="F169" s="3" t="s">
        <v>72</v>
      </c>
      <c r="G169" s="3">
        <f t="array" ref="G169">xlookup(F169,Sheet2!A:A,Sheet2!B:B)</f>
        <v>34</v>
      </c>
      <c r="H169" s="3" t="s">
        <v>3</v>
      </c>
      <c r="I169" s="3" t="str">
        <f t="array" ref="I169">JOIN("", SORT(MID(LOWER(H169), SEQUENCE(LEN(H169)), 1)))</f>
        <v>an</v>
      </c>
      <c r="J169" s="3" t="s">
        <v>18</v>
      </c>
      <c r="K169" s="3">
        <f t="array" ref="K169">xlookup(J169,Sheet2!A:A,Sheet2!B:B)</f>
        <v>22</v>
      </c>
      <c r="L169" s="3" t="s">
        <v>3</v>
      </c>
      <c r="M169" s="3" t="s">
        <v>238</v>
      </c>
      <c r="N169" s="3">
        <f t="array" ref="N169">xlookup(M169,Sheet2!A:A,Sheet2!B:B)</f>
        <v>37</v>
      </c>
      <c r="O169" s="3" t="s">
        <v>3</v>
      </c>
      <c r="P169" s="4" t="str">
        <f t="shared" si="1"/>
        <v>167 : [34,22,37],</v>
      </c>
      <c r="Q169" s="4" t="str">
        <f t="shared" si="2"/>
        <v>167 : 0,</v>
      </c>
    </row>
    <row r="170">
      <c r="A170" s="3" t="s">
        <v>351</v>
      </c>
      <c r="B170" s="5">
        <v>301719.0</v>
      </c>
      <c r="C170" s="10">
        <v>168.0</v>
      </c>
      <c r="D170" s="3" t="s">
        <v>282</v>
      </c>
      <c r="E170" s="3">
        <f t="array" ref="E170">xlookup(D170,Sheet3!A:A,Sheet3!B:B)</f>
        <v>1</v>
      </c>
      <c r="F170" s="3" t="s">
        <v>72</v>
      </c>
      <c r="G170" s="3">
        <f t="array" ref="G170">xlookup(F170,Sheet2!A:A,Sheet2!B:B)</f>
        <v>34</v>
      </c>
      <c r="H170" s="3" t="s">
        <v>352</v>
      </c>
      <c r="I170" s="3" t="str">
        <f t="array" ref="I170">JOIN("", SORT(MID(LOWER(H170), SEQUENCE(LEN(H170)), 1)))</f>
        <v>   ,aaaaaaaaaghhiiiikkkmmnnnrrsstttu</v>
      </c>
      <c r="J170" s="3" t="s">
        <v>96</v>
      </c>
      <c r="K170" s="3">
        <f t="array" ref="K170">xlookup(J170,Sheet2!A:A,Sheet2!B:B)</f>
        <v>47</v>
      </c>
      <c r="L170" s="3" t="s">
        <v>352</v>
      </c>
      <c r="M170" s="3" t="s">
        <v>10</v>
      </c>
      <c r="N170" s="3">
        <f t="array" ref="N170">xlookup(M170,Sheet2!A:A,Sheet2!B:B)</f>
        <v>9</v>
      </c>
      <c r="O170" s="3" t="s">
        <v>352</v>
      </c>
      <c r="P170" s="4" t="str">
        <f t="shared" si="1"/>
        <v>168 : [34,47,9],</v>
      </c>
      <c r="Q170" s="4" t="str">
        <f t="shared" si="2"/>
        <v>168 : 1,</v>
      </c>
    </row>
    <row r="171">
      <c r="A171" s="3" t="s">
        <v>353</v>
      </c>
      <c r="B171" s="5">
        <v>323438.0</v>
      </c>
      <c r="C171" s="10">
        <v>169.0</v>
      </c>
      <c r="D171" s="3" t="s">
        <v>282</v>
      </c>
      <c r="E171" s="3">
        <f t="array" ref="E171">xlookup(D171,Sheet3!A:A,Sheet3!B:B)</f>
        <v>1</v>
      </c>
      <c r="F171" s="3" t="s">
        <v>72</v>
      </c>
      <c r="G171" s="3">
        <f t="array" ref="G171">xlookup(F171,Sheet2!A:A,Sheet2!B:B)</f>
        <v>34</v>
      </c>
      <c r="H171" s="3" t="s">
        <v>354</v>
      </c>
      <c r="I171" s="3" t="str">
        <f t="array" ref="I171">JOIN("", SORT(MID(LOWER(H171), SEQUENCE(LEN(H171)), 1)))</f>
        <v>   ,aaaaaaaaaghhiiiikkkmmnnnrrsstttu</v>
      </c>
      <c r="J171" s="3" t="s">
        <v>96</v>
      </c>
      <c r="K171" s="3">
        <f t="array" ref="K171">xlookup(J171,Sheet2!A:A,Sheet2!B:B)</f>
        <v>47</v>
      </c>
      <c r="L171" s="3" t="s">
        <v>354</v>
      </c>
      <c r="M171" s="3" t="s">
        <v>10</v>
      </c>
      <c r="N171" s="3">
        <f t="array" ref="N171">xlookup(M171,Sheet2!A:A,Sheet2!B:B)</f>
        <v>9</v>
      </c>
      <c r="O171" s="3" t="s">
        <v>354</v>
      </c>
      <c r="P171" s="4" t="str">
        <f t="shared" si="1"/>
        <v>169 : [34,47,9],</v>
      </c>
      <c r="Q171" s="4" t="str">
        <f t="shared" si="2"/>
        <v>169 : 1,</v>
      </c>
    </row>
    <row r="172">
      <c r="A172" s="3" t="s">
        <v>214</v>
      </c>
      <c r="B172" s="5">
        <v>324051.0</v>
      </c>
      <c r="C172" s="10">
        <v>170.0</v>
      </c>
      <c r="D172" s="3" t="s">
        <v>153</v>
      </c>
      <c r="E172" s="3">
        <f t="array" ref="E172">xlookup(D172,Sheet3!A:A,Sheet3!B:B)</f>
        <v>2</v>
      </c>
      <c r="F172" s="3" t="s">
        <v>74</v>
      </c>
      <c r="G172" s="3">
        <f t="array" ref="G172">xlookup(F172,Sheet2!A:A,Sheet2!B:B)</f>
        <v>50</v>
      </c>
      <c r="H172" s="3" t="s">
        <v>215</v>
      </c>
      <c r="I172" s="3" t="str">
        <f t="array" ref="I172">JOIN("", SORT(MID(LOWER(H172), SEQUENCE(LEN(H172)), 1)))</f>
        <v>   ,aaaacdehhhilnnnnoortuwyyz</v>
      </c>
      <c r="J172" s="3" t="s">
        <v>39</v>
      </c>
      <c r="K172" s="3">
        <f t="array" ref="K172">xlookup(J172,Sheet2!A:A,Sheet2!B:B)</f>
        <v>20</v>
      </c>
      <c r="L172" s="3" t="s">
        <v>3</v>
      </c>
      <c r="M172" s="3" t="s">
        <v>15</v>
      </c>
      <c r="N172" s="3">
        <f t="array" ref="N172">xlookup(M172,Sheet2!A:A,Sheet2!B:B)</f>
        <v>0</v>
      </c>
      <c r="O172" s="3" t="s">
        <v>3</v>
      </c>
      <c r="P172" s="4" t="str">
        <f t="shared" si="1"/>
        <v>170 : [50,20,0],</v>
      </c>
      <c r="Q172" s="4" t="str">
        <f t="shared" si="2"/>
        <v>170 : 2,</v>
      </c>
    </row>
    <row r="173">
      <c r="A173" s="3" t="s">
        <v>216</v>
      </c>
      <c r="B173" s="5">
        <v>119930.0</v>
      </c>
      <c r="C173" s="10">
        <v>171.0</v>
      </c>
      <c r="D173" s="3" t="s">
        <v>153</v>
      </c>
      <c r="E173" s="3">
        <f t="array" ref="E173">xlookup(D173,Sheet3!A:A,Sheet3!B:B)</f>
        <v>2</v>
      </c>
      <c r="F173" s="3" t="s">
        <v>74</v>
      </c>
      <c r="G173" s="3">
        <f t="array" ref="G173">xlookup(F173,Sheet2!A:A,Sheet2!B:B)</f>
        <v>50</v>
      </c>
      <c r="H173" s="3" t="s">
        <v>217</v>
      </c>
      <c r="I173" s="3" t="str">
        <f t="array" ref="I173">JOIN("", SORT(MID(LOWER(H173), SEQUENCE(LEN(H173)), 1)))</f>
        <v>   ,aaaeegghhhiilllmnnnwzz</v>
      </c>
      <c r="J173" s="3" t="s">
        <v>76</v>
      </c>
      <c r="K173" s="3">
        <f t="array" ref="K173">xlookup(J173,Sheet2!A:A,Sheet2!B:B)</f>
        <v>24</v>
      </c>
      <c r="L173" s="3" t="s">
        <v>217</v>
      </c>
      <c r="M173" s="3" t="s">
        <v>125</v>
      </c>
      <c r="N173" s="3">
        <f t="array" ref="N173">xlookup(M173,Sheet2!A:A,Sheet2!B:B)</f>
        <v>19</v>
      </c>
      <c r="O173" s="3" t="s">
        <v>217</v>
      </c>
      <c r="P173" s="4" t="str">
        <f t="shared" si="1"/>
        <v>171 : [50,24,19],</v>
      </c>
      <c r="Q173" s="4" t="str">
        <f t="shared" si="2"/>
        <v>171 : 2,</v>
      </c>
    </row>
    <row r="174">
      <c r="A174" s="3" t="s">
        <v>564</v>
      </c>
      <c r="B174" s="5">
        <v>119393.0</v>
      </c>
      <c r="C174" s="10">
        <v>172.0</v>
      </c>
      <c r="D174" s="3" t="s">
        <v>459</v>
      </c>
      <c r="E174" s="3">
        <f t="array" ref="E174">xlookup(D174,Sheet3!A:A,Sheet3!B:B)</f>
        <v>0</v>
      </c>
      <c r="F174" s="3" t="s">
        <v>74</v>
      </c>
      <c r="G174" s="3">
        <f t="array" ref="G174">xlookup(F174,Sheet2!A:A,Sheet2!B:B)</f>
        <v>50</v>
      </c>
      <c r="H174" s="3" t="s">
        <v>565</v>
      </c>
      <c r="I174" s="3" t="str">
        <f t="array" ref="I174">JOIN("", SORT(MID(LOWER(H174), SEQUENCE(LEN(H174)), 1)))</f>
        <v>   ,aaaeegghhhiilllmnnnwzz</v>
      </c>
      <c r="J174" s="3" t="s">
        <v>76</v>
      </c>
      <c r="K174" s="3">
        <f t="array" ref="K174">xlookup(J174,Sheet2!A:A,Sheet2!B:B)</f>
        <v>24</v>
      </c>
      <c r="L174" s="3" t="s">
        <v>565</v>
      </c>
      <c r="M174" s="3" t="s">
        <v>125</v>
      </c>
      <c r="N174" s="3">
        <f t="array" ref="N174">xlookup(M174,Sheet2!A:A,Sheet2!B:B)</f>
        <v>19</v>
      </c>
      <c r="O174" s="3" t="s">
        <v>565</v>
      </c>
      <c r="P174" s="4" t="str">
        <f t="shared" si="1"/>
        <v>172 : [50,24,19],</v>
      </c>
      <c r="Q174" s="4" t="str">
        <f t="shared" si="2"/>
        <v>172 : 0,</v>
      </c>
    </row>
    <row r="175">
      <c r="A175" s="3" t="s">
        <v>566</v>
      </c>
      <c r="B175" s="5">
        <v>204860.0</v>
      </c>
      <c r="C175" s="10">
        <v>173.0</v>
      </c>
      <c r="D175" s="3" t="s">
        <v>459</v>
      </c>
      <c r="E175" s="3">
        <f t="array" ref="E175">xlookup(D175,Sheet3!A:A,Sheet3!B:B)</f>
        <v>0</v>
      </c>
      <c r="F175" s="3" t="s">
        <v>9</v>
      </c>
      <c r="G175" s="3">
        <f t="array" ref="G175">xlookup(F175,Sheet2!A:A,Sheet2!B:B)</f>
        <v>5</v>
      </c>
      <c r="H175" s="3" t="s">
        <v>567</v>
      </c>
      <c r="I175" s="3" t="str">
        <f t="array" ref="I175">JOIN("", SORT(MID(LOWER(H175), SEQUENCE(LEN(H175)), 1)))</f>
        <v>   ,aaeehiijlmnnsttuuwy</v>
      </c>
      <c r="J175" s="3" t="s">
        <v>7</v>
      </c>
      <c r="K175" s="3">
        <f t="array" ref="K175">xlookup(J175,Sheet2!A:A,Sheet2!B:B)</f>
        <v>15</v>
      </c>
      <c r="L175" s="3" t="s">
        <v>567</v>
      </c>
      <c r="M175" s="3" t="s">
        <v>309</v>
      </c>
      <c r="N175" s="3">
        <f t="array" ref="N175">xlookup(M175,Sheet2!A:A,Sheet2!B:B)</f>
        <v>40</v>
      </c>
      <c r="O175" s="3" t="s">
        <v>3</v>
      </c>
      <c r="P175" s="4" t="str">
        <f t="shared" si="1"/>
        <v>173 : [5,15,40],</v>
      </c>
      <c r="Q175" s="4" t="str">
        <f t="shared" si="2"/>
        <v>173 : 0,</v>
      </c>
    </row>
    <row r="176">
      <c r="A176" s="3" t="s">
        <v>218</v>
      </c>
      <c r="B176" s="5">
        <v>109820.0</v>
      </c>
      <c r="C176" s="10">
        <v>174.0</v>
      </c>
      <c r="D176" s="3" t="s">
        <v>153</v>
      </c>
      <c r="E176" s="3">
        <f t="array" ref="E176">xlookup(D176,Sheet3!A:A,Sheet3!B:B)</f>
        <v>2</v>
      </c>
      <c r="F176" s="3" t="s">
        <v>39</v>
      </c>
      <c r="G176" s="3">
        <f t="array" ref="G176">xlookup(F176,Sheet2!A:A,Sheet2!B:B)</f>
        <v>20</v>
      </c>
      <c r="H176" s="3" t="s">
        <v>3</v>
      </c>
      <c r="I176" s="3" t="str">
        <f t="array" ref="I176">JOIN("", SORT(MID(LOWER(H176), SEQUENCE(LEN(H176)), 1)))</f>
        <v>an</v>
      </c>
      <c r="J176" s="3" t="s">
        <v>207</v>
      </c>
      <c r="K176" s="3">
        <f t="array" ref="K176">xlookup(J176,Sheet2!A:A,Sheet2!B:B)</f>
        <v>1</v>
      </c>
      <c r="L176" s="3" t="s">
        <v>3</v>
      </c>
      <c r="M176" s="3" t="s">
        <v>167</v>
      </c>
      <c r="N176" s="3">
        <f t="array" ref="N176">xlookup(M176,Sheet2!A:A,Sheet2!B:B)</f>
        <v>33</v>
      </c>
      <c r="O176" s="3" t="s">
        <v>3</v>
      </c>
      <c r="P176" s="4" t="str">
        <f t="shared" si="1"/>
        <v>174 : [20,1,33],</v>
      </c>
      <c r="Q176" s="4" t="str">
        <f t="shared" si="2"/>
        <v>174 : 2,</v>
      </c>
    </row>
    <row r="177">
      <c r="A177" s="3" t="s">
        <v>88</v>
      </c>
      <c r="B177" s="5">
        <v>165873.0</v>
      </c>
      <c r="C177" s="10">
        <v>175.0</v>
      </c>
      <c r="D177" s="3" t="s">
        <v>459</v>
      </c>
      <c r="E177" s="3">
        <f t="array" ref="E177">xlookup(D177,Sheet3!A:A,Sheet3!B:B)</f>
        <v>0</v>
      </c>
      <c r="F177" s="3" t="s">
        <v>109</v>
      </c>
      <c r="G177" s="3">
        <f t="array" ref="G177">xlookup(F177,Sheet2!A:A,Sheet2!B:B)</f>
        <v>49</v>
      </c>
      <c r="H177" s="3" t="s">
        <v>568</v>
      </c>
      <c r="I177" s="3" t="str">
        <f t="array" ref="I177">JOIN("", SORT(MID(LOWER(H177), SEQUENCE(LEN(H177)), 1)))</f>
        <v>      ,,aaaaaaaaacddeeehhhhiiiiklmrrrsttvwyy</v>
      </c>
      <c r="J177" s="3" t="s">
        <v>47</v>
      </c>
      <c r="K177" s="3">
        <f t="array" ref="K177">xlookup(J177,Sheet2!A:A,Sheet2!B:B)</f>
        <v>27</v>
      </c>
      <c r="L177" s="3" t="s">
        <v>568</v>
      </c>
      <c r="M177" s="3" t="s">
        <v>139</v>
      </c>
      <c r="N177" s="3">
        <f t="array" ref="N177">xlookup(M177,Sheet2!A:A,Sheet2!B:B)</f>
        <v>21</v>
      </c>
      <c r="O177" s="3" t="s">
        <v>568</v>
      </c>
      <c r="P177" s="4" t="str">
        <f t="shared" si="1"/>
        <v>175 : [49,27,21],</v>
      </c>
      <c r="Q177" s="4" t="str">
        <f t="shared" si="2"/>
        <v>175 : 0,</v>
      </c>
    </row>
    <row r="178">
      <c r="A178" s="3" t="s">
        <v>219</v>
      </c>
      <c r="B178" s="5">
        <v>109668.0</v>
      </c>
      <c r="C178" s="10">
        <v>176.0</v>
      </c>
      <c r="D178" s="3" t="s">
        <v>153</v>
      </c>
      <c r="E178" s="3">
        <f t="array" ref="E178">xlookup(D178,Sheet3!A:A,Sheet3!B:B)</f>
        <v>2</v>
      </c>
      <c r="F178" s="3" t="s">
        <v>32</v>
      </c>
      <c r="G178" s="3">
        <f t="array" ref="G178">xlookup(F178,Sheet2!A:A,Sheet2!B:B)</f>
        <v>11</v>
      </c>
      <c r="H178" s="3" t="s">
        <v>220</v>
      </c>
      <c r="I178" s="3" t="str">
        <f t="array" ref="I178">JOIN("", SORT(MID(LOWER(H178), SEQUENCE(LEN(H178)), 1)))</f>
        <v>     ,,aaaaaaaaaaaabddeghhhhiijjmmmnnorrrrrrsstuvwy</v>
      </c>
      <c r="J178" s="3" t="s">
        <v>47</v>
      </c>
      <c r="K178" s="3">
        <f t="array" ref="K178">xlookup(J178,Sheet2!A:A,Sheet2!B:B)</f>
        <v>27</v>
      </c>
      <c r="L178" s="3" t="s">
        <v>220</v>
      </c>
      <c r="M178" s="3" t="s">
        <v>111</v>
      </c>
      <c r="N178" s="3">
        <f t="array" ref="N178">xlookup(M178,Sheet2!A:A,Sheet2!B:B)</f>
        <v>28</v>
      </c>
      <c r="O178" s="3" t="s">
        <v>220</v>
      </c>
      <c r="P178" s="4" t="str">
        <f t="shared" si="1"/>
        <v>176 : [11,27,28],</v>
      </c>
      <c r="Q178" s="4" t="str">
        <f t="shared" si="2"/>
        <v>176 : 2,</v>
      </c>
    </row>
    <row r="179">
      <c r="A179" s="3" t="s">
        <v>569</v>
      </c>
      <c r="B179" s="5">
        <v>193318.0</v>
      </c>
      <c r="C179" s="10">
        <v>177.0</v>
      </c>
      <c r="D179" s="3" t="s">
        <v>459</v>
      </c>
      <c r="E179" s="3">
        <f t="array" ref="E179">xlookup(D179,Sheet3!A:A,Sheet3!B:B)</f>
        <v>0</v>
      </c>
      <c r="F179" s="3" t="s">
        <v>109</v>
      </c>
      <c r="G179" s="3">
        <f t="array" ref="G179">xlookup(F179,Sheet2!A:A,Sheet2!B:B)</f>
        <v>49</v>
      </c>
      <c r="H179" s="3" t="s">
        <v>570</v>
      </c>
      <c r="I179" s="3" t="str">
        <f t="array" ref="I179">JOIN("", SORT(MID(LOWER(H179), SEQUENCE(LEN(H179)), 1)))</f>
        <v>     ,,aaaaaaaaabddeeggghhiiijkllmnnnnnorrrrsstuy</v>
      </c>
      <c r="J179" s="3" t="s">
        <v>184</v>
      </c>
      <c r="K179" s="3">
        <f t="array" ref="K179">xlookup(J179,Sheet2!A:A,Sheet2!B:B)</f>
        <v>4</v>
      </c>
      <c r="L179" s="3" t="s">
        <v>570</v>
      </c>
      <c r="M179" s="3" t="s">
        <v>63</v>
      </c>
      <c r="N179" s="3">
        <f t="array" ref="N179">xlookup(M179,Sheet2!A:A,Sheet2!B:B)</f>
        <v>29</v>
      </c>
      <c r="O179" s="3" t="s">
        <v>570</v>
      </c>
      <c r="P179" s="4" t="str">
        <f t="shared" si="1"/>
        <v>177 : [49,4,29],</v>
      </c>
      <c r="Q179" s="4" t="str">
        <f t="shared" si="2"/>
        <v>177 : 0,</v>
      </c>
    </row>
    <row r="180">
      <c r="A180" s="3" t="s">
        <v>571</v>
      </c>
      <c r="B180" s="5">
        <v>151869.0</v>
      </c>
      <c r="C180" s="10">
        <v>178.0</v>
      </c>
      <c r="D180" s="3" t="s">
        <v>459</v>
      </c>
      <c r="E180" s="3">
        <f t="array" ref="E180">xlookup(D180,Sheet3!A:A,Sheet3!B:B)</f>
        <v>0</v>
      </c>
      <c r="F180" s="3" t="s">
        <v>26</v>
      </c>
      <c r="G180" s="3">
        <f t="array" ref="G180">xlookup(F180,Sheet2!A:A,Sheet2!B:B)</f>
        <v>7</v>
      </c>
      <c r="H180" s="3" t="s">
        <v>572</v>
      </c>
      <c r="I180" s="3" t="str">
        <f t="array" ref="I180">JOIN("", SORT(MID(LOWER(H180), SEQUENCE(LEN(H180)), 1)))</f>
        <v>     ,,aaaaaaabcceeeeeeehiiiikllllllnpprrrsstwy</v>
      </c>
      <c r="J180" s="3" t="s">
        <v>47</v>
      </c>
      <c r="K180" s="3">
        <f t="array" ref="K180">xlookup(J180,Sheet2!A:A,Sheet2!B:B)</f>
        <v>27</v>
      </c>
      <c r="L180" s="3" t="s">
        <v>572</v>
      </c>
      <c r="M180" s="3" t="s">
        <v>18</v>
      </c>
      <c r="N180" s="3">
        <f t="array" ref="N180">xlookup(M180,Sheet2!A:A,Sheet2!B:B)</f>
        <v>22</v>
      </c>
      <c r="O180" s="3" t="s">
        <v>572</v>
      </c>
      <c r="P180" s="4" t="str">
        <f t="shared" si="1"/>
        <v>178 : [7,27,22],</v>
      </c>
      <c r="Q180" s="4" t="str">
        <f t="shared" si="2"/>
        <v>178 : 0,</v>
      </c>
    </row>
    <row r="181">
      <c r="A181" s="3" t="s">
        <v>573</v>
      </c>
      <c r="B181" s="5">
        <v>149960.0</v>
      </c>
      <c r="C181" s="10">
        <v>179.0</v>
      </c>
      <c r="D181" s="3" t="s">
        <v>459</v>
      </c>
      <c r="E181" s="3">
        <f t="array" ref="E181">xlookup(D181,Sheet3!A:A,Sheet3!B:B)</f>
        <v>0</v>
      </c>
      <c r="F181" s="3" t="s">
        <v>26</v>
      </c>
      <c r="G181" s="3">
        <f t="array" ref="G181">xlookup(F181,Sheet2!A:A,Sheet2!B:B)</f>
        <v>7</v>
      </c>
      <c r="H181" s="3" t="s">
        <v>574</v>
      </c>
      <c r="I181" s="3" t="str">
        <f t="array" ref="I181">JOIN("", SORT(MID(LOWER(H181), SEQUENCE(LEN(H181)), 1)))</f>
        <v>     ,,aaaaaaabcceeeeeeehiiiikllllllnpprrrsstwy</v>
      </c>
      <c r="J181" s="3" t="s">
        <v>47</v>
      </c>
      <c r="K181" s="3">
        <f t="array" ref="K181">xlookup(J181,Sheet2!A:A,Sheet2!B:B)</f>
        <v>27</v>
      </c>
      <c r="L181" s="3" t="s">
        <v>574</v>
      </c>
      <c r="M181" s="3" t="s">
        <v>18</v>
      </c>
      <c r="N181" s="3">
        <f t="array" ref="N181">xlookup(M181,Sheet2!A:A,Sheet2!B:B)</f>
        <v>22</v>
      </c>
      <c r="O181" s="3" t="s">
        <v>574</v>
      </c>
      <c r="P181" s="4" t="str">
        <f t="shared" si="1"/>
        <v>179 : [7,27,22],</v>
      </c>
      <c r="Q181" s="4" t="str">
        <f t="shared" si="2"/>
        <v>179 : 0,</v>
      </c>
    </row>
    <row r="182">
      <c r="A182" s="3" t="s">
        <v>575</v>
      </c>
      <c r="B182" s="5">
        <v>151509.0</v>
      </c>
      <c r="C182" s="10">
        <v>180.0</v>
      </c>
      <c r="D182" s="3" t="s">
        <v>459</v>
      </c>
      <c r="E182" s="3">
        <f t="array" ref="E182">xlookup(D182,Sheet3!A:A,Sheet3!B:B)</f>
        <v>0</v>
      </c>
      <c r="F182" s="3" t="s">
        <v>26</v>
      </c>
      <c r="G182" s="3">
        <f t="array" ref="G182">xlookup(F182,Sheet2!A:A,Sheet2!B:B)</f>
        <v>7</v>
      </c>
      <c r="H182" s="3" t="s">
        <v>576</v>
      </c>
      <c r="I182" s="3" t="str">
        <f t="array" ref="I182">JOIN("", SORT(MID(LOWER(H182), SEQUENCE(LEN(H182)), 1)))</f>
        <v>      ,,aaaaaaabcceeeeeeehiiiikllllllnpprrrsstwy</v>
      </c>
      <c r="J182" s="3" t="s">
        <v>114</v>
      </c>
      <c r="K182" s="3">
        <f t="array" ref="K182">xlookup(J182,Sheet2!A:A,Sheet2!B:B)</f>
        <v>12</v>
      </c>
      <c r="L182" s="3" t="s">
        <v>577</v>
      </c>
      <c r="M182" s="3" t="s">
        <v>18</v>
      </c>
      <c r="N182" s="3">
        <f t="array" ref="N182">xlookup(M182,Sheet2!A:A,Sheet2!B:B)</f>
        <v>22</v>
      </c>
      <c r="O182" s="3" t="s">
        <v>576</v>
      </c>
      <c r="P182" s="4" t="str">
        <f t="shared" si="1"/>
        <v>180 : [7,12,22],</v>
      </c>
      <c r="Q182" s="4" t="str">
        <f t="shared" si="2"/>
        <v>180 : 0,</v>
      </c>
    </row>
    <row r="183">
      <c r="A183" s="3" t="s">
        <v>355</v>
      </c>
      <c r="B183" s="5">
        <v>151855.0</v>
      </c>
      <c r="C183" s="10">
        <v>181.0</v>
      </c>
      <c r="D183" s="3" t="s">
        <v>282</v>
      </c>
      <c r="E183" s="3">
        <f t="array" ref="E183">xlookup(D183,Sheet3!A:A,Sheet3!B:B)</f>
        <v>1</v>
      </c>
      <c r="F183" s="3" t="s">
        <v>16</v>
      </c>
      <c r="G183" s="3">
        <f t="array" ref="G183">xlookup(F183,Sheet2!A:A,Sheet2!B:B)</f>
        <v>3</v>
      </c>
      <c r="H183" s="10" t="s">
        <v>3</v>
      </c>
      <c r="I183" s="3" t="str">
        <f t="array" ref="I183">JOIN("", SORT(MID(LOWER(H183), SEQUENCE(LEN(H183)), 1)))</f>
        <v>an</v>
      </c>
      <c r="J183" s="3" t="s">
        <v>15</v>
      </c>
      <c r="K183" s="3">
        <f t="array" ref="K183">xlookup(J183,Sheet2!A:A,Sheet2!B:B)</f>
        <v>0</v>
      </c>
      <c r="L183" s="10" t="s">
        <v>3</v>
      </c>
      <c r="M183" s="3" t="s">
        <v>207</v>
      </c>
      <c r="N183" s="3">
        <f t="array" ref="N183">xlookup(M183,Sheet2!A:A,Sheet2!B:B)</f>
        <v>1</v>
      </c>
      <c r="O183" s="10" t="s">
        <v>3</v>
      </c>
      <c r="P183" s="4" t="str">
        <f t="shared" si="1"/>
        <v>181 : [3,0,1],</v>
      </c>
      <c r="Q183" s="4" t="str">
        <f t="shared" si="2"/>
        <v>181 : 1,</v>
      </c>
    </row>
    <row r="184">
      <c r="A184" s="3" t="s">
        <v>356</v>
      </c>
      <c r="B184" s="5">
        <v>148202.0</v>
      </c>
      <c r="C184" s="10">
        <v>182.0</v>
      </c>
      <c r="D184" s="3" t="s">
        <v>282</v>
      </c>
      <c r="E184" s="3">
        <f t="array" ref="E184">xlookup(D184,Sheet3!A:A,Sheet3!B:B)</f>
        <v>1</v>
      </c>
      <c r="F184" s="3" t="s">
        <v>2</v>
      </c>
      <c r="G184" s="3">
        <f t="array" ref="G184">xlookup(F184,Sheet2!A:A,Sheet2!B:B)</f>
        <v>25</v>
      </c>
      <c r="H184" s="3" t="s">
        <v>3</v>
      </c>
      <c r="I184" s="3" t="str">
        <f t="array" ref="I184">JOIN("", SORT(MID(LOWER(H184), SEQUENCE(LEN(H184)), 1)))</f>
        <v>an</v>
      </c>
      <c r="J184" s="3" t="s">
        <v>120</v>
      </c>
      <c r="K184" s="3">
        <f t="array" ref="K184">xlookup(J184,Sheet2!A:A,Sheet2!B:B)</f>
        <v>42</v>
      </c>
      <c r="L184" s="3" t="s">
        <v>3</v>
      </c>
      <c r="M184" s="3" t="s">
        <v>124</v>
      </c>
      <c r="N184" s="3">
        <f t="array" ref="N184">xlookup(M184,Sheet2!A:A,Sheet2!B:B)</f>
        <v>46</v>
      </c>
      <c r="O184" s="3" t="s">
        <v>3</v>
      </c>
      <c r="P184" s="4" t="str">
        <f t="shared" si="1"/>
        <v>182 : [25,42,46],</v>
      </c>
      <c r="Q184" s="4" t="str">
        <f t="shared" si="2"/>
        <v>182 : 1,</v>
      </c>
    </row>
    <row r="185">
      <c r="A185" s="3" t="s">
        <v>578</v>
      </c>
      <c r="B185" s="5">
        <v>207052.0</v>
      </c>
      <c r="C185" s="10">
        <v>183.0</v>
      </c>
      <c r="D185" s="3" t="s">
        <v>459</v>
      </c>
      <c r="E185" s="3">
        <f t="array" ref="E185">xlookup(D185,Sheet3!A:A,Sheet3!B:B)</f>
        <v>0</v>
      </c>
      <c r="F185" s="3" t="s">
        <v>465</v>
      </c>
      <c r="G185" s="3">
        <f t="array" ref="G185">xlookup(F185,Sheet2!A:A,Sheet2!B:B)</f>
        <v>36</v>
      </c>
      <c r="H185" s="3" t="s">
        <v>3</v>
      </c>
      <c r="I185" s="3" t="str">
        <f t="array" ref="I185">JOIN("", SORT(MID(LOWER(H185), SEQUENCE(LEN(H185)), 1)))</f>
        <v>an</v>
      </c>
      <c r="J185" s="3" t="s">
        <v>10</v>
      </c>
      <c r="K185" s="3">
        <f t="array" ref="K185">xlookup(J185,Sheet2!A:A,Sheet2!B:B)</f>
        <v>9</v>
      </c>
      <c r="L185" s="3" t="s">
        <v>579</v>
      </c>
      <c r="M185" s="3" t="s">
        <v>309</v>
      </c>
      <c r="N185" s="3">
        <f t="array" ref="N185">xlookup(M185,Sheet2!A:A,Sheet2!B:B)</f>
        <v>40</v>
      </c>
      <c r="O185" s="3" t="s">
        <v>3</v>
      </c>
      <c r="P185" s="4" t="str">
        <f t="shared" si="1"/>
        <v>183 : [36,9,40],</v>
      </c>
      <c r="Q185" s="4" t="str">
        <f t="shared" si="2"/>
        <v>183 : 0,</v>
      </c>
    </row>
    <row r="186">
      <c r="A186" s="3" t="s">
        <v>580</v>
      </c>
      <c r="B186" s="5">
        <v>204796.0</v>
      </c>
      <c r="C186" s="10">
        <v>184.0</v>
      </c>
      <c r="D186" s="3" t="s">
        <v>459</v>
      </c>
      <c r="E186" s="3">
        <f t="array" ref="E186">xlookup(D186,Sheet3!A:A,Sheet3!B:B)</f>
        <v>0</v>
      </c>
      <c r="F186" s="3" t="s">
        <v>7</v>
      </c>
      <c r="G186" s="3">
        <f t="array" ref="G186">xlookup(F186,Sheet2!A:A,Sheet2!B:B)</f>
        <v>15</v>
      </c>
      <c r="H186" s="3" t="s">
        <v>581</v>
      </c>
      <c r="I186" s="3" t="str">
        <f t="array" ref="I186">JOIN("", SORT(MID(LOWER(H186), SEQUENCE(LEN(H186)), 1)))</f>
        <v>   ,aeehiiijlnnnnrsuuw</v>
      </c>
      <c r="J186" s="3" t="s">
        <v>10</v>
      </c>
      <c r="K186" s="3">
        <f t="array" ref="K186">xlookup(J186,Sheet2!A:A,Sheet2!B:B)</f>
        <v>9</v>
      </c>
      <c r="L186" s="3" t="s">
        <v>578</v>
      </c>
      <c r="M186" s="3" t="s">
        <v>207</v>
      </c>
      <c r="N186" s="3">
        <f t="array" ref="N186">xlookup(M186,Sheet2!A:A,Sheet2!B:B)</f>
        <v>1</v>
      </c>
      <c r="O186" s="3" t="s">
        <v>3</v>
      </c>
      <c r="P186" s="4" t="str">
        <f t="shared" si="1"/>
        <v>184 : [15,9,1],</v>
      </c>
      <c r="Q186" s="4" t="str">
        <f t="shared" si="2"/>
        <v>184 : 0,</v>
      </c>
    </row>
    <row r="187">
      <c r="A187" s="3" t="s">
        <v>540</v>
      </c>
      <c r="B187" s="5">
        <v>306354.0</v>
      </c>
      <c r="C187" s="10">
        <v>185.0</v>
      </c>
      <c r="D187" s="3" t="s">
        <v>459</v>
      </c>
      <c r="E187" s="3">
        <f t="array" ref="E187">xlookup(D187,Sheet3!A:A,Sheet3!B:B)</f>
        <v>0</v>
      </c>
      <c r="F187" s="3" t="s">
        <v>34</v>
      </c>
      <c r="G187" s="3">
        <f t="array" ref="G187">xlookup(F187,Sheet2!A:A,Sheet2!B:B)</f>
        <v>8</v>
      </c>
      <c r="H187" s="3" t="s">
        <v>582</v>
      </c>
      <c r="I187" s="3" t="str">
        <f t="array" ref="I187">JOIN("", SORT(MID(LOWER(H187), SEQUENCE(LEN(H187)), 1)))</f>
        <v>     aaaceeeeghiklllnnnssuuvxyy</v>
      </c>
      <c r="J187" s="3" t="s">
        <v>28</v>
      </c>
      <c r="K187" s="3">
        <f t="array" ref="K187">xlookup(J187,Sheet2!A:A,Sheet2!B:B)</f>
        <v>32</v>
      </c>
      <c r="L187" s="3" t="s">
        <v>582</v>
      </c>
      <c r="M187" s="3" t="s">
        <v>401</v>
      </c>
      <c r="N187" s="3">
        <f t="array" ref="N187">xlookup(M187,Sheet2!A:A,Sheet2!B:B)</f>
        <v>38</v>
      </c>
      <c r="O187" s="3" t="s">
        <v>582</v>
      </c>
      <c r="P187" s="4" t="str">
        <f t="shared" si="1"/>
        <v>185 : [8,32,38],</v>
      </c>
      <c r="Q187" s="4" t="str">
        <f t="shared" si="2"/>
        <v>185 : 0,</v>
      </c>
    </row>
    <row r="188">
      <c r="A188" s="3" t="s">
        <v>583</v>
      </c>
      <c r="B188" s="5">
        <v>313865.0</v>
      </c>
      <c r="C188" s="10">
        <v>186.0</v>
      </c>
      <c r="D188" s="3" t="s">
        <v>459</v>
      </c>
      <c r="E188" s="3">
        <f t="array" ref="E188">xlookup(D188,Sheet3!A:A,Sheet3!B:B)</f>
        <v>0</v>
      </c>
      <c r="F188" s="3" t="s">
        <v>125</v>
      </c>
      <c r="G188" s="3">
        <f t="array" ref="G188">xlookup(F188,Sheet2!A:A,Sheet2!B:B)</f>
        <v>19</v>
      </c>
      <c r="H188" s="3" t="s">
        <v>584</v>
      </c>
      <c r="I188" s="3" t="str">
        <f t="array" ref="I188">JOIN("", SORT(MID(LOWER(H188), SEQUENCE(LEN(H188)), 1)))</f>
        <v>    ,aaaaaaaddeehiiklmnnnrsww</v>
      </c>
      <c r="J188" s="3" t="s">
        <v>309</v>
      </c>
      <c r="K188" s="3">
        <f t="array" ref="K188">xlookup(J188,Sheet2!A:A,Sheet2!B:B)</f>
        <v>40</v>
      </c>
      <c r="L188" s="3" t="s">
        <v>3</v>
      </c>
      <c r="M188" s="3" t="s">
        <v>124</v>
      </c>
      <c r="N188" s="3">
        <f t="array" ref="N188">xlookup(M188,Sheet2!A:A,Sheet2!B:B)</f>
        <v>46</v>
      </c>
      <c r="O188" s="3" t="s">
        <v>3</v>
      </c>
      <c r="P188" s="4" t="str">
        <f t="shared" si="1"/>
        <v>186 : [19,40,46],</v>
      </c>
      <c r="Q188" s="4" t="str">
        <f t="shared" si="2"/>
        <v>186 : 0,</v>
      </c>
    </row>
    <row r="189">
      <c r="A189" s="3" t="s">
        <v>585</v>
      </c>
      <c r="B189" s="5">
        <v>150353.0</v>
      </c>
      <c r="C189" s="10">
        <v>187.0</v>
      </c>
      <c r="D189" s="3" t="s">
        <v>459</v>
      </c>
      <c r="E189" s="3">
        <f t="array" ref="E189">xlookup(D189,Sheet3!A:A,Sheet3!B:B)</f>
        <v>0</v>
      </c>
      <c r="F189" s="3" t="s">
        <v>39</v>
      </c>
      <c r="G189" s="3">
        <f t="array" ref="G189">xlookup(F189,Sheet2!A:A,Sheet2!B:B)</f>
        <v>20</v>
      </c>
      <c r="H189" s="3" t="s">
        <v>3</v>
      </c>
      <c r="I189" s="3" t="str">
        <f t="array" ref="I189">JOIN("", SORT(MID(LOWER(H189), SEQUENCE(LEN(H189)), 1)))</f>
        <v>an</v>
      </c>
      <c r="J189" s="3" t="s">
        <v>207</v>
      </c>
      <c r="K189" s="3">
        <f t="array" ref="K189">xlookup(J189,Sheet2!A:A,Sheet2!B:B)</f>
        <v>1</v>
      </c>
      <c r="L189" s="3" t="s">
        <v>3</v>
      </c>
      <c r="M189" s="3" t="s">
        <v>309</v>
      </c>
      <c r="N189" s="3">
        <f t="array" ref="N189">xlookup(M189,Sheet2!A:A,Sheet2!B:B)</f>
        <v>40</v>
      </c>
      <c r="O189" s="3" t="s">
        <v>3</v>
      </c>
      <c r="P189" s="4" t="str">
        <f t="shared" si="1"/>
        <v>187 : [20,1,40],</v>
      </c>
      <c r="Q189" s="4" t="str">
        <f t="shared" si="2"/>
        <v>187 : 0,</v>
      </c>
    </row>
    <row r="190">
      <c r="A190" s="3" t="s">
        <v>357</v>
      </c>
      <c r="B190" s="5">
        <v>137043.0</v>
      </c>
      <c r="C190" s="10">
        <v>188.0</v>
      </c>
      <c r="D190" s="3" t="s">
        <v>282</v>
      </c>
      <c r="E190" s="3">
        <f t="array" ref="E190">xlookup(D190,Sheet3!A:A,Sheet3!B:B)</f>
        <v>1</v>
      </c>
      <c r="F190" s="3" t="s">
        <v>114</v>
      </c>
      <c r="G190" s="3">
        <f t="array" ref="G190">xlookup(F190,Sheet2!A:A,Sheet2!B:B)</f>
        <v>12</v>
      </c>
      <c r="H190" s="3" t="s">
        <v>358</v>
      </c>
      <c r="I190" s="3" t="str">
        <f t="array" ref="I190">JOIN("", SORT(MID(LOWER(H190), SEQUENCE(LEN(H190)), 1)))</f>
        <v>     ,,aaaaaaaacceeehhhiiiiilllmnnoprrrrssttyy</v>
      </c>
      <c r="J190" s="3" t="s">
        <v>47</v>
      </c>
      <c r="K190" s="3">
        <f t="array" ref="K190">xlookup(J190,Sheet2!A:A,Sheet2!B:B)</f>
        <v>27</v>
      </c>
      <c r="L190" s="3" t="s">
        <v>358</v>
      </c>
      <c r="M190" s="3" t="s">
        <v>30</v>
      </c>
      <c r="N190" s="3">
        <f t="array" ref="N190">xlookup(M190,Sheet2!A:A,Sheet2!B:B)</f>
        <v>13</v>
      </c>
      <c r="O190" s="3" t="s">
        <v>358</v>
      </c>
      <c r="P190" s="4" t="str">
        <f t="shared" si="1"/>
        <v>188 : [12,27,13],</v>
      </c>
      <c r="Q190" s="4" t="str">
        <f t="shared" si="2"/>
        <v>188 : 1,</v>
      </c>
    </row>
    <row r="191">
      <c r="A191" s="3" t="s">
        <v>586</v>
      </c>
      <c r="B191" s="5">
        <v>157280.0</v>
      </c>
      <c r="C191" s="10">
        <v>189.0</v>
      </c>
      <c r="D191" s="3" t="s">
        <v>459</v>
      </c>
      <c r="E191" s="3">
        <f t="array" ref="E191">xlookup(D191,Sheet3!A:A,Sheet3!B:B)</f>
        <v>0</v>
      </c>
      <c r="F191" s="3" t="s">
        <v>125</v>
      </c>
      <c r="G191" s="3">
        <f t="array" ref="G191">xlookup(F191,Sheet2!A:A,Sheet2!B:B)</f>
        <v>19</v>
      </c>
      <c r="H191" s="3" t="s">
        <v>587</v>
      </c>
      <c r="I191" s="3" t="str">
        <f t="array" ref="I191">JOIN("", SORT(MID(LOWER(H191), SEQUENCE(LEN(H191)), 1)))</f>
        <v>   ,aaaaaacdhiiikllmmnrruuvw</v>
      </c>
      <c r="J191" s="3" t="s">
        <v>74</v>
      </c>
      <c r="K191" s="3">
        <f t="array" ref="K191">xlookup(J191,Sheet2!A:A,Sheet2!B:B)</f>
        <v>50</v>
      </c>
      <c r="L191" s="3" t="s">
        <v>587</v>
      </c>
      <c r="M191" s="3" t="s">
        <v>96</v>
      </c>
      <c r="N191" s="3">
        <f t="array" ref="N191">xlookup(M191,Sheet2!A:A,Sheet2!B:B)</f>
        <v>47</v>
      </c>
      <c r="O191" s="3" t="s">
        <v>587</v>
      </c>
      <c r="P191" s="4" t="str">
        <f t="shared" si="1"/>
        <v>189 : [19,50,47],</v>
      </c>
      <c r="Q191" s="4" t="str">
        <f t="shared" si="2"/>
        <v>189 : 0,</v>
      </c>
    </row>
    <row r="192">
      <c r="A192" s="3" t="s">
        <v>588</v>
      </c>
      <c r="B192" s="5">
        <v>170384.0</v>
      </c>
      <c r="C192" s="10">
        <v>190.0</v>
      </c>
      <c r="D192" s="3" t="s">
        <v>459</v>
      </c>
      <c r="E192" s="3">
        <f t="array" ref="E192">xlookup(D192,Sheet3!A:A,Sheet3!B:B)</f>
        <v>0</v>
      </c>
      <c r="F192" s="3" t="s">
        <v>125</v>
      </c>
      <c r="G192" s="3">
        <f t="array" ref="G192">xlookup(F192,Sheet2!A:A,Sheet2!B:B)</f>
        <v>19</v>
      </c>
      <c r="H192" s="3" t="s">
        <v>589</v>
      </c>
      <c r="I192" s="3" t="str">
        <f t="array" ref="I192">JOIN("", SORT(MID(LOWER(H192), SEQUENCE(LEN(H192)), 1)))</f>
        <v>   ,aaaaaacdhiiikllmmnrruuvw</v>
      </c>
      <c r="J192" s="3" t="s">
        <v>74</v>
      </c>
      <c r="K192" s="3">
        <f t="array" ref="K192">xlookup(J192,Sheet2!A:A,Sheet2!B:B)</f>
        <v>50</v>
      </c>
      <c r="L192" s="3" t="s">
        <v>589</v>
      </c>
      <c r="M192" s="3" t="s">
        <v>96</v>
      </c>
      <c r="N192" s="3">
        <f t="array" ref="N192">xlookup(M192,Sheet2!A:A,Sheet2!B:B)</f>
        <v>47</v>
      </c>
      <c r="O192" s="3" t="s">
        <v>589</v>
      </c>
      <c r="P192" s="4" t="str">
        <f t="shared" si="1"/>
        <v>190 : [19,50,47],</v>
      </c>
      <c r="Q192" s="4" t="str">
        <f t="shared" si="2"/>
        <v>190 : 0,</v>
      </c>
    </row>
    <row r="193">
      <c r="A193" s="3" t="s">
        <v>359</v>
      </c>
      <c r="B193" s="5">
        <v>127778.0</v>
      </c>
      <c r="C193" s="10">
        <v>191.0</v>
      </c>
      <c r="D193" s="3" t="s">
        <v>282</v>
      </c>
      <c r="E193" s="3">
        <f t="array" ref="E193">xlookup(D193,Sheet3!A:A,Sheet3!B:B)</f>
        <v>1</v>
      </c>
      <c r="F193" s="3" t="s">
        <v>114</v>
      </c>
      <c r="G193" s="3">
        <f t="array" ref="G193">xlookup(F193,Sheet2!A:A,Sheet2!B:B)</f>
        <v>12</v>
      </c>
      <c r="H193" s="3" t="s">
        <v>360</v>
      </c>
      <c r="I193" s="3" t="str">
        <f t="array" ref="I193">JOIN("", SORT(MID(LOWER(H193), SEQUENCE(LEN(H193)), 1)))</f>
        <v>   ,aaaabeeghilmnnotvwz</v>
      </c>
      <c r="J193" s="3" t="s">
        <v>139</v>
      </c>
      <c r="K193" s="3">
        <f t="array" ref="K193">xlookup(J193,Sheet2!A:A,Sheet2!B:B)</f>
        <v>21</v>
      </c>
      <c r="L193" s="3" t="s">
        <v>360</v>
      </c>
      <c r="M193" s="3" t="s">
        <v>61</v>
      </c>
      <c r="N193" s="3">
        <f t="array" ref="N193">xlookup(M193,Sheet2!A:A,Sheet2!B:B)</f>
        <v>31</v>
      </c>
      <c r="O193" s="3" t="s">
        <v>360</v>
      </c>
      <c r="P193" s="4" t="str">
        <f t="shared" si="1"/>
        <v>191 : [12,21,31],</v>
      </c>
      <c r="Q193" s="4" t="str">
        <f t="shared" si="2"/>
        <v>191 : 1,</v>
      </c>
    </row>
    <row r="194">
      <c r="A194" s="3" t="s">
        <v>361</v>
      </c>
      <c r="B194" s="5">
        <v>136656.0</v>
      </c>
      <c r="C194" s="10">
        <v>192.0</v>
      </c>
      <c r="D194" s="3" t="s">
        <v>282</v>
      </c>
      <c r="E194" s="3">
        <f t="array" ref="E194">xlookup(D194,Sheet3!A:A,Sheet3!B:B)</f>
        <v>1</v>
      </c>
      <c r="F194" s="3" t="s">
        <v>114</v>
      </c>
      <c r="G194" s="3">
        <f t="array" ref="G194">xlookup(F194,Sheet2!A:A,Sheet2!B:B)</f>
        <v>12</v>
      </c>
      <c r="H194" s="3" t="s">
        <v>362</v>
      </c>
      <c r="I194" s="3" t="str">
        <f t="array" ref="I194">JOIN("", SORT(MID(LOWER(H194), SEQUENCE(LEN(H194)), 1)))</f>
        <v>   ,aaaabeeghilmnnotvwz</v>
      </c>
      <c r="J194" s="3" t="s">
        <v>139</v>
      </c>
      <c r="K194" s="3">
        <f t="array" ref="K194">xlookup(J194,Sheet2!A:A,Sheet2!B:B)</f>
        <v>21</v>
      </c>
      <c r="L194" s="3" t="s">
        <v>362</v>
      </c>
      <c r="M194" s="3" t="s">
        <v>61</v>
      </c>
      <c r="N194" s="3">
        <f t="array" ref="N194">xlookup(M194,Sheet2!A:A,Sheet2!B:B)</f>
        <v>31</v>
      </c>
      <c r="O194" s="3" t="s">
        <v>362</v>
      </c>
      <c r="P194" s="4" t="str">
        <f t="shared" si="1"/>
        <v>192 : [12,21,31],</v>
      </c>
      <c r="Q194" s="4" t="str">
        <f t="shared" si="2"/>
        <v>192 : 1,</v>
      </c>
    </row>
    <row r="195">
      <c r="A195" s="3" t="s">
        <v>221</v>
      </c>
      <c r="B195" s="5">
        <v>109841.0</v>
      </c>
      <c r="C195" s="10">
        <v>193.0</v>
      </c>
      <c r="D195" s="3" t="s">
        <v>153</v>
      </c>
      <c r="E195" s="3">
        <f t="array" ref="E195">xlookup(D195,Sheet3!A:A,Sheet3!B:B)</f>
        <v>2</v>
      </c>
      <c r="F195" s="3" t="s">
        <v>32</v>
      </c>
      <c r="G195" s="3">
        <f t="array" ref="G195">xlookup(F195,Sheet2!A:A,Sheet2!B:B)</f>
        <v>11</v>
      </c>
      <c r="H195" s="3" t="s">
        <v>222</v>
      </c>
      <c r="I195" s="3" t="str">
        <f t="array" ref="I195">JOIN("", SORT(MID(LOWER(H195), SEQUENCE(LEN(H195)), 1)))</f>
        <v>     ,,aaaaaaaaaaaabddeghhhhiijjmmmnnorrrrrrsstuvwy</v>
      </c>
      <c r="J195" s="3" t="s">
        <v>47</v>
      </c>
      <c r="K195" s="3">
        <f t="array" ref="K195">xlookup(J195,Sheet2!A:A,Sheet2!B:B)</f>
        <v>27</v>
      </c>
      <c r="L195" s="3" t="s">
        <v>222</v>
      </c>
      <c r="M195" s="3" t="s">
        <v>111</v>
      </c>
      <c r="N195" s="3">
        <f t="array" ref="N195">xlookup(M195,Sheet2!A:A,Sheet2!B:B)</f>
        <v>28</v>
      </c>
      <c r="O195" s="3" t="s">
        <v>222</v>
      </c>
      <c r="P195" s="4" t="str">
        <f t="shared" si="1"/>
        <v>193 : [11,27,28],</v>
      </c>
      <c r="Q195" s="4" t="str">
        <f t="shared" si="2"/>
        <v>193 : 2,</v>
      </c>
    </row>
    <row r="196">
      <c r="A196" s="3" t="s">
        <v>590</v>
      </c>
      <c r="B196" s="5">
        <v>118704.0</v>
      </c>
      <c r="C196" s="10">
        <v>194.0</v>
      </c>
      <c r="D196" s="3" t="s">
        <v>459</v>
      </c>
      <c r="E196" s="3">
        <f t="array" ref="E196">xlookup(D196,Sheet3!A:A,Sheet3!B:B)</f>
        <v>0</v>
      </c>
      <c r="F196" s="3" t="s">
        <v>96</v>
      </c>
      <c r="G196" s="3">
        <f t="array" ref="G196">xlookup(F196,Sheet2!A:A,Sheet2!B:B)</f>
        <v>47</v>
      </c>
      <c r="H196" s="3" t="s">
        <v>591</v>
      </c>
      <c r="I196" s="3" t="str">
        <f t="array" ref="I196">JOIN("", SORT(MID(LOWER(H196), SEQUENCE(LEN(H196)), 1)))</f>
        <v>   ,aaacddeeeehiiikklmnnoorrstuvwyz</v>
      </c>
      <c r="J196" s="3" t="s">
        <v>9</v>
      </c>
      <c r="K196" s="3">
        <f t="array" ref="K196">xlookup(J196,Sheet2!A:A,Sheet2!B:B)</f>
        <v>5</v>
      </c>
      <c r="L196" s="3" t="s">
        <v>591</v>
      </c>
      <c r="M196" s="3" t="s">
        <v>7</v>
      </c>
      <c r="N196" s="3">
        <f t="array" ref="N196">xlookup(M196,Sheet2!A:A,Sheet2!B:B)</f>
        <v>15</v>
      </c>
      <c r="O196" s="3" t="s">
        <v>591</v>
      </c>
      <c r="P196" s="4" t="str">
        <f t="shared" si="1"/>
        <v>194 : [47,5,15],</v>
      </c>
      <c r="Q196" s="4" t="str">
        <f t="shared" si="2"/>
        <v>194 : 0,</v>
      </c>
    </row>
    <row r="197">
      <c r="A197" s="3" t="s">
        <v>592</v>
      </c>
      <c r="B197" s="5">
        <v>192938.0</v>
      </c>
      <c r="C197" s="10">
        <v>195.0</v>
      </c>
      <c r="D197" s="3" t="s">
        <v>459</v>
      </c>
      <c r="E197" s="3">
        <f t="array" ref="E197">xlookup(D197,Sheet3!A:A,Sheet3!B:B)</f>
        <v>0</v>
      </c>
      <c r="F197" s="3" t="s">
        <v>96</v>
      </c>
      <c r="G197" s="3">
        <f t="array" ref="G197">xlookup(F197,Sheet2!A:A,Sheet2!B:B)</f>
        <v>47</v>
      </c>
      <c r="H197" s="3" t="s">
        <v>591</v>
      </c>
      <c r="I197" s="3" t="str">
        <f t="array" ref="I197">JOIN("", SORT(MID(LOWER(H197), SEQUENCE(LEN(H197)), 1)))</f>
        <v>   ,aaacddeeeehiiikklmnnoorrstuvwyz</v>
      </c>
      <c r="J197" s="3" t="s">
        <v>9</v>
      </c>
      <c r="K197" s="3">
        <f t="array" ref="K197">xlookup(J197,Sheet2!A:A,Sheet2!B:B)</f>
        <v>5</v>
      </c>
      <c r="L197" s="3" t="s">
        <v>591</v>
      </c>
      <c r="M197" s="3" t="s">
        <v>7</v>
      </c>
      <c r="N197" s="3">
        <f t="array" ref="N197">xlookup(M197,Sheet2!A:A,Sheet2!B:B)</f>
        <v>15</v>
      </c>
      <c r="O197" s="3" t="s">
        <v>591</v>
      </c>
      <c r="P197" s="4" t="str">
        <f t="shared" si="1"/>
        <v>195 : [47,5,15],</v>
      </c>
      <c r="Q197" s="4" t="str">
        <f t="shared" si="2"/>
        <v>195 : 0,</v>
      </c>
    </row>
    <row r="198">
      <c r="A198" s="3" t="s">
        <v>363</v>
      </c>
      <c r="B198" s="5">
        <v>193690.0</v>
      </c>
      <c r="C198" s="10">
        <v>196.0</v>
      </c>
      <c r="D198" s="3" t="s">
        <v>282</v>
      </c>
      <c r="E198" s="3">
        <f t="array" ref="E198">xlookup(D198,Sheet3!A:A,Sheet3!B:B)</f>
        <v>1</v>
      </c>
      <c r="F198" s="3" t="s">
        <v>28</v>
      </c>
      <c r="G198" s="3">
        <f t="array" ref="G198">xlookup(F198,Sheet2!A:A,Sheet2!B:B)</f>
        <v>32</v>
      </c>
      <c r="H198" s="3" t="s">
        <v>364</v>
      </c>
      <c r="I198" s="3" t="str">
        <f t="array" ref="I198">JOIN("", SORT(MID(LOWER(H198), SEQUENCE(LEN(H198)), 1)))</f>
        <v>     ,,aaaaeeghhhhiiijjjlnnnnosssuu</v>
      </c>
      <c r="J198" s="3" t="s">
        <v>139</v>
      </c>
      <c r="K198" s="3">
        <f t="array" ref="K198">xlookup(J198,Sheet2!A:A,Sheet2!B:B)</f>
        <v>21</v>
      </c>
      <c r="L198" s="3" t="s">
        <v>364</v>
      </c>
      <c r="M198" s="3" t="s">
        <v>111</v>
      </c>
      <c r="N198" s="3">
        <f t="array" ref="N198">xlookup(M198,Sheet2!A:A,Sheet2!B:B)</f>
        <v>28</v>
      </c>
      <c r="O198" s="3" t="s">
        <v>364</v>
      </c>
      <c r="P198" s="4" t="str">
        <f t="shared" si="1"/>
        <v>196 : [32,21,28],</v>
      </c>
      <c r="Q198" s="4" t="str">
        <f t="shared" si="2"/>
        <v>196 : 1,</v>
      </c>
    </row>
    <row r="199">
      <c r="A199" s="3" t="s">
        <v>223</v>
      </c>
      <c r="B199" s="5">
        <v>138492.0</v>
      </c>
      <c r="C199" s="10">
        <v>197.0</v>
      </c>
      <c r="D199" s="3" t="s">
        <v>153</v>
      </c>
      <c r="E199" s="3">
        <f t="array" ref="E199">xlookup(D199,Sheet3!A:A,Sheet3!B:B)</f>
        <v>2</v>
      </c>
      <c r="F199" s="3" t="s">
        <v>125</v>
      </c>
      <c r="G199" s="3">
        <f t="array" ref="G199">xlookup(F199,Sheet2!A:A,Sheet2!B:B)</f>
        <v>19</v>
      </c>
      <c r="H199" s="3" t="s">
        <v>224</v>
      </c>
      <c r="I199" s="3" t="str">
        <f t="array" ref="I199">JOIN("", SORT(MID(LOWER(H199), SEQUENCE(LEN(H199)), 1)))</f>
        <v>  ,eiiklmv</v>
      </c>
      <c r="J199" s="3" t="s">
        <v>9</v>
      </c>
      <c r="K199" s="3">
        <f t="array" ref="K199">xlookup(J199,Sheet2!A:A,Sheet2!B:B)</f>
        <v>5</v>
      </c>
      <c r="L199" s="3" t="s">
        <v>224</v>
      </c>
      <c r="M199" s="3" t="s">
        <v>7</v>
      </c>
      <c r="N199" s="3">
        <f t="array" ref="N199">xlookup(M199,Sheet2!A:A,Sheet2!B:B)</f>
        <v>15</v>
      </c>
      <c r="O199" s="3" t="s">
        <v>225</v>
      </c>
      <c r="P199" s="4" t="str">
        <f t="shared" si="1"/>
        <v>197 : [19,5,15],</v>
      </c>
      <c r="Q199" s="4" t="str">
        <f t="shared" si="2"/>
        <v>197 : 2,</v>
      </c>
    </row>
    <row r="200">
      <c r="A200" s="3" t="s">
        <v>365</v>
      </c>
      <c r="B200" s="5">
        <v>185286.0</v>
      </c>
      <c r="C200" s="10">
        <v>198.0</v>
      </c>
      <c r="D200" s="3" t="s">
        <v>282</v>
      </c>
      <c r="E200" s="3">
        <f t="array" ref="E200">xlookup(D200,Sheet3!A:A,Sheet3!B:B)</f>
        <v>1</v>
      </c>
      <c r="F200" s="3" t="s">
        <v>111</v>
      </c>
      <c r="G200" s="3">
        <f t="array" ref="G200">xlookup(F200,Sheet2!A:A,Sheet2!B:B)</f>
        <v>28</v>
      </c>
      <c r="H200" s="3" t="s">
        <v>366</v>
      </c>
      <c r="I200" s="3" t="str">
        <f t="array" ref="I200">JOIN("", SORT(MID(LOWER(H200), SEQUENCE(LEN(H200)), 1)))</f>
        <v>   ,aaaaaabbhhhiklnrsstty</v>
      </c>
      <c r="J200" s="3" t="s">
        <v>28</v>
      </c>
      <c r="K200" s="3">
        <f t="array" ref="K200">xlookup(J200,Sheet2!A:A,Sheet2!B:B)</f>
        <v>32</v>
      </c>
      <c r="L200" s="3" t="s">
        <v>366</v>
      </c>
      <c r="M200" s="3" t="s">
        <v>109</v>
      </c>
      <c r="N200" s="3">
        <f t="array" ref="N200">xlookup(M200,Sheet2!A:A,Sheet2!B:B)</f>
        <v>49</v>
      </c>
      <c r="O200" s="3" t="s">
        <v>366</v>
      </c>
      <c r="P200" s="4" t="str">
        <f t="shared" si="1"/>
        <v>198 : [28,32,49],</v>
      </c>
      <c r="Q200" s="4" t="str">
        <f t="shared" si="2"/>
        <v>198 : 1,</v>
      </c>
    </row>
    <row r="201">
      <c r="A201" s="3" t="s">
        <v>226</v>
      </c>
      <c r="B201" s="5">
        <v>193431.0</v>
      </c>
      <c r="C201" s="10">
        <v>199.0</v>
      </c>
      <c r="D201" s="3" t="s">
        <v>153</v>
      </c>
      <c r="E201" s="3">
        <f t="array" ref="E201">xlookup(D201,Sheet3!A:A,Sheet3!B:B)</f>
        <v>2</v>
      </c>
      <c r="F201" s="3" t="s">
        <v>111</v>
      </c>
      <c r="G201" s="3">
        <f t="array" ref="G201">xlookup(F201,Sheet2!A:A,Sheet2!B:B)</f>
        <v>28</v>
      </c>
      <c r="H201" s="3" t="s">
        <v>227</v>
      </c>
      <c r="I201" s="3" t="str">
        <f t="array" ref="I201">JOIN("", SORT(MID(LOWER(H201), SEQUENCE(LEN(H201)), 1)))</f>
        <v>   ,aaaaaabbhhhiklnrsstty</v>
      </c>
      <c r="J201" s="3" t="s">
        <v>28</v>
      </c>
      <c r="K201" s="3">
        <f t="array" ref="K201">xlookup(J201,Sheet2!A:A,Sheet2!B:B)</f>
        <v>32</v>
      </c>
      <c r="L201" s="3" t="s">
        <v>227</v>
      </c>
      <c r="M201" s="3" t="s">
        <v>109</v>
      </c>
      <c r="N201" s="3">
        <f t="array" ref="N201">xlookup(M201,Sheet2!A:A,Sheet2!B:B)</f>
        <v>49</v>
      </c>
      <c r="O201" s="3" t="s">
        <v>227</v>
      </c>
      <c r="P201" s="4" t="str">
        <f t="shared" si="1"/>
        <v>199 : [28,32,49],</v>
      </c>
      <c r="Q201" s="4" t="str">
        <f t="shared" si="2"/>
        <v>199 : 2,</v>
      </c>
    </row>
    <row r="202">
      <c r="A202" s="3" t="s">
        <v>593</v>
      </c>
      <c r="B202" s="5">
        <v>192804.0</v>
      </c>
      <c r="C202" s="10">
        <v>200.0</v>
      </c>
      <c r="D202" s="3" t="s">
        <v>459</v>
      </c>
      <c r="E202" s="3">
        <f t="array" ref="E202">xlookup(D202,Sheet3!A:A,Sheet3!B:B)</f>
        <v>0</v>
      </c>
      <c r="F202" s="3" t="s">
        <v>238</v>
      </c>
      <c r="G202" s="3">
        <f t="array" ref="G202">xlookup(F202,Sheet2!A:A,Sheet2!B:B)</f>
        <v>37</v>
      </c>
      <c r="H202" s="3" t="s">
        <v>3</v>
      </c>
      <c r="I202" s="3" t="str">
        <f t="array" ref="I202">JOIN("", SORT(MID(LOWER(H202), SEQUENCE(LEN(H202)), 1)))</f>
        <v>an</v>
      </c>
      <c r="J202" s="3" t="s">
        <v>191</v>
      </c>
      <c r="K202" s="3">
        <f t="array" ref="K202">xlookup(J202,Sheet2!A:A,Sheet2!B:B)</f>
        <v>39</v>
      </c>
      <c r="L202" s="3" t="s">
        <v>3</v>
      </c>
      <c r="M202" s="3" t="s">
        <v>401</v>
      </c>
      <c r="N202" s="3">
        <f t="array" ref="N202">xlookup(M202,Sheet2!A:A,Sheet2!B:B)</f>
        <v>38</v>
      </c>
      <c r="O202" s="3" t="s">
        <v>3</v>
      </c>
      <c r="P202" s="4" t="str">
        <f t="shared" si="1"/>
        <v>200 : [37,39,38],</v>
      </c>
      <c r="Q202" s="4" t="str">
        <f t="shared" si="2"/>
        <v>200 : 0,</v>
      </c>
    </row>
    <row r="203">
      <c r="A203" s="3" t="s">
        <v>594</v>
      </c>
      <c r="B203" s="5">
        <v>204968.0</v>
      </c>
      <c r="C203" s="10">
        <v>201.0</v>
      </c>
      <c r="D203" s="3" t="s">
        <v>459</v>
      </c>
      <c r="E203" s="3">
        <f t="array" ref="E203">xlookup(D203,Sheet3!A:A,Sheet3!B:B)</f>
        <v>0</v>
      </c>
      <c r="F203" s="3" t="s">
        <v>34</v>
      </c>
      <c r="G203" s="3">
        <f t="array" ref="G203">xlookup(F203,Sheet2!A:A,Sheet2!B:B)</f>
        <v>8</v>
      </c>
      <c r="H203" s="3" t="s">
        <v>3</v>
      </c>
      <c r="I203" s="3" t="str">
        <f t="array" ref="I203">JOIN("", SORT(MID(LOWER(H203), SEQUENCE(LEN(H203)), 1)))</f>
        <v>an</v>
      </c>
      <c r="J203" s="3" t="s">
        <v>114</v>
      </c>
      <c r="K203" s="3">
        <f t="array" ref="K203">xlookup(J203,Sheet2!A:A,Sheet2!B:B)</f>
        <v>12</v>
      </c>
      <c r="L203" s="3" t="s">
        <v>3</v>
      </c>
      <c r="M203" s="3" t="s">
        <v>32</v>
      </c>
      <c r="N203" s="3">
        <f t="array" ref="N203">xlookup(M203,Sheet2!A:A,Sheet2!B:B)</f>
        <v>11</v>
      </c>
      <c r="O203" s="3" t="s">
        <v>3</v>
      </c>
      <c r="P203" s="4" t="str">
        <f t="shared" si="1"/>
        <v>201 : [8,12,11],</v>
      </c>
      <c r="Q203" s="4" t="str">
        <f t="shared" si="2"/>
        <v>201 : 0,</v>
      </c>
    </row>
    <row r="204">
      <c r="A204" s="3" t="s">
        <v>367</v>
      </c>
      <c r="B204" s="5">
        <v>111931.0</v>
      </c>
      <c r="C204" s="10">
        <v>202.0</v>
      </c>
      <c r="D204" s="3" t="s">
        <v>282</v>
      </c>
      <c r="E204" s="3">
        <f t="array" ref="E204">xlookup(D204,Sheet3!A:A,Sheet3!B:B)</f>
        <v>1</v>
      </c>
      <c r="F204" s="3" t="s">
        <v>47</v>
      </c>
      <c r="G204" s="3">
        <f t="array" ref="G204">xlookup(F204,Sheet2!A:A,Sheet2!B:B)</f>
        <v>27</v>
      </c>
      <c r="H204" s="3" t="s">
        <v>132</v>
      </c>
      <c r="I204" s="3" t="str">
        <f t="array" ref="I204">JOIN("", SORT(MID(LOWER(H204), SEQUENCE(LEN(H204)), 1)))</f>
        <v>   ,ceeeeehiiillllmnuw</v>
      </c>
      <c r="J204" s="3" t="s">
        <v>109</v>
      </c>
      <c r="K204" s="3">
        <f t="array" ref="K204">xlookup(J204,Sheet2!A:A,Sheet2!B:B)</f>
        <v>49</v>
      </c>
      <c r="L204" s="3" t="s">
        <v>132</v>
      </c>
      <c r="M204" s="3" t="s">
        <v>28</v>
      </c>
      <c r="N204" s="3">
        <f t="array" ref="N204">xlookup(M204,Sheet2!A:A,Sheet2!B:B)</f>
        <v>32</v>
      </c>
      <c r="O204" s="3" t="s">
        <v>132</v>
      </c>
      <c r="P204" s="4" t="str">
        <f t="shared" si="1"/>
        <v>202 : [27,49,32],</v>
      </c>
      <c r="Q204" s="4" t="str">
        <f t="shared" si="2"/>
        <v>202 : 1,</v>
      </c>
    </row>
    <row r="205">
      <c r="A205" s="3" t="s">
        <v>595</v>
      </c>
      <c r="B205" s="5">
        <v>198278.0</v>
      </c>
      <c r="C205" s="10">
        <v>203.0</v>
      </c>
      <c r="D205" s="3" t="s">
        <v>459</v>
      </c>
      <c r="E205" s="3">
        <f t="array" ref="E205">xlookup(D205,Sheet3!A:A,Sheet3!B:B)</f>
        <v>0</v>
      </c>
      <c r="F205" s="3" t="s">
        <v>7</v>
      </c>
      <c r="G205" s="3">
        <f t="array" ref="G205">xlookup(F205,Sheet2!A:A,Sheet2!B:B)</f>
        <v>15</v>
      </c>
      <c r="H205" s="3" t="s">
        <v>596</v>
      </c>
      <c r="I205" s="3" t="str">
        <f t="array" ref="I205">JOIN("", SORT(MID(LOWER(H205), SEQUENCE(LEN(H205)), 1)))</f>
        <v>   ,aaaaaaddghhhiijkmnrsstuuy</v>
      </c>
      <c r="J205" s="3" t="s">
        <v>125</v>
      </c>
      <c r="K205" s="3">
        <f t="array" ref="K205">xlookup(J205,Sheet2!A:A,Sheet2!B:B)</f>
        <v>19</v>
      </c>
      <c r="L205" s="3" t="s">
        <v>596</v>
      </c>
      <c r="M205" s="3" t="s">
        <v>72</v>
      </c>
      <c r="N205" s="3">
        <f t="array" ref="N205">xlookup(M205,Sheet2!A:A,Sheet2!B:B)</f>
        <v>34</v>
      </c>
      <c r="O205" s="3" t="s">
        <v>596</v>
      </c>
      <c r="P205" s="4" t="str">
        <f t="shared" si="1"/>
        <v>203 : [15,19,34],</v>
      </c>
      <c r="Q205" s="4" t="str">
        <f t="shared" si="2"/>
        <v>203 : 0,</v>
      </c>
    </row>
    <row r="206">
      <c r="A206" s="3" t="s">
        <v>131</v>
      </c>
      <c r="B206" s="5">
        <v>119448.0</v>
      </c>
      <c r="C206" s="10">
        <v>204.0</v>
      </c>
      <c r="D206" s="3" t="s">
        <v>118</v>
      </c>
      <c r="E206" s="3">
        <f t="array" ref="E206">xlookup(D206,Sheet3!A:A,Sheet3!B:B)</f>
        <v>3</v>
      </c>
      <c r="F206" s="3" t="s">
        <v>47</v>
      </c>
      <c r="G206" s="3">
        <f t="array" ref="G206">xlookup(F206,Sheet2!A:A,Sheet2!B:B)</f>
        <v>27</v>
      </c>
      <c r="H206" s="3" t="s">
        <v>132</v>
      </c>
      <c r="I206" s="3" t="str">
        <f t="array" ref="I206">JOIN("", SORT(MID(LOWER(H206), SEQUENCE(LEN(H206)), 1)))</f>
        <v>   ,ceeeeehiiillllmnuw</v>
      </c>
      <c r="J206" s="3" t="s">
        <v>109</v>
      </c>
      <c r="K206" s="3">
        <f t="array" ref="K206">xlookup(J206,Sheet2!A:A,Sheet2!B:B)</f>
        <v>49</v>
      </c>
      <c r="L206" s="3" t="s">
        <v>132</v>
      </c>
      <c r="M206" s="3" t="s">
        <v>28</v>
      </c>
      <c r="N206" s="3">
        <f t="array" ref="N206">xlookup(M206,Sheet2!A:A,Sheet2!B:B)</f>
        <v>32</v>
      </c>
      <c r="O206" s="3" t="s">
        <v>132</v>
      </c>
      <c r="P206" s="4" t="str">
        <f t="shared" si="1"/>
        <v>204 : [27,49,32],</v>
      </c>
      <c r="Q206" s="4" t="str">
        <f t="shared" si="2"/>
        <v>204 : 3,</v>
      </c>
    </row>
    <row r="207">
      <c r="A207" s="3" t="s">
        <v>597</v>
      </c>
      <c r="B207" s="5">
        <v>320526.0</v>
      </c>
      <c r="C207" s="10">
        <v>205.0</v>
      </c>
      <c r="D207" s="3" t="s">
        <v>459</v>
      </c>
      <c r="E207" s="3">
        <f t="array" ref="E207">xlookup(D207,Sheet3!A:A,Sheet3!B:B)</f>
        <v>0</v>
      </c>
      <c r="F207" s="3" t="s">
        <v>20</v>
      </c>
      <c r="G207" s="3">
        <f t="array" ref="G207">xlookup(F207,Sheet2!A:A,Sheet2!B:B)</f>
        <v>48</v>
      </c>
      <c r="H207" s="3" t="s">
        <v>1654</v>
      </c>
      <c r="I207" s="3" t="str">
        <f t="array" ref="I207">JOIN("", SORT(MID(LOWER(H207), SEQUENCE(LEN(H207)), 1)))</f>
        <v>           )))aaaaaaaaaabbbbbbcddeeeeeeghhiiilmmmmmmnnrrrrrrsstyy</v>
      </c>
      <c r="J207" s="3" t="s">
        <v>401</v>
      </c>
      <c r="K207" s="3">
        <f t="array" ref="K207">xlookup(J207,Sheet2!A:A,Sheet2!B:B)</f>
        <v>38</v>
      </c>
      <c r="L207" s="3" t="s">
        <v>3</v>
      </c>
      <c r="M207" s="3" t="s">
        <v>465</v>
      </c>
      <c r="N207" s="3">
        <f t="array" ref="N207">xlookup(M207,Sheet2!A:A,Sheet2!B:B)</f>
        <v>36</v>
      </c>
      <c r="O207" s="3" t="s">
        <v>3</v>
      </c>
      <c r="P207" s="4" t="str">
        <f t="shared" si="1"/>
        <v>205 : [48,38,36],</v>
      </c>
      <c r="Q207" s="4" t="str">
        <f t="shared" si="2"/>
        <v>205 : 0,</v>
      </c>
    </row>
    <row r="208">
      <c r="A208" s="3" t="s">
        <v>368</v>
      </c>
      <c r="B208" s="5">
        <v>136527.0</v>
      </c>
      <c r="C208" s="10">
        <v>206.0</v>
      </c>
      <c r="D208" s="3" t="s">
        <v>282</v>
      </c>
      <c r="E208" s="3">
        <f t="array" ref="E208">xlookup(D208,Sheet3!A:A,Sheet3!B:B)</f>
        <v>1</v>
      </c>
      <c r="F208" s="3" t="s">
        <v>16</v>
      </c>
      <c r="G208" s="3">
        <f t="array" ref="G208">xlookup(F208,Sheet2!A:A,Sheet2!B:B)</f>
        <v>3</v>
      </c>
      <c r="H208" s="3" t="s">
        <v>3</v>
      </c>
      <c r="I208" s="3" t="str">
        <f t="array" ref="I208">JOIN("", SORT(MID(LOWER(H208), SEQUENCE(LEN(H208)), 1)))</f>
        <v>an</v>
      </c>
      <c r="J208" s="3" t="s">
        <v>38</v>
      </c>
      <c r="K208" s="3">
        <f t="array" ref="K208">xlookup(J208,Sheet2!A:A,Sheet2!B:B)</f>
        <v>6</v>
      </c>
      <c r="L208" s="3" t="s">
        <v>3</v>
      </c>
      <c r="M208" s="3" t="s">
        <v>39</v>
      </c>
      <c r="N208" s="3">
        <f t="array" ref="N208">xlookup(M208,Sheet2!A:A,Sheet2!B:B)</f>
        <v>20</v>
      </c>
      <c r="O208" s="3" t="s">
        <v>3</v>
      </c>
      <c r="P208" s="4" t="str">
        <f t="shared" si="1"/>
        <v>206 : [3,6,20],</v>
      </c>
      <c r="Q208" s="4" t="str">
        <f t="shared" si="2"/>
        <v>206 : 1,</v>
      </c>
    </row>
    <row r="209">
      <c r="A209" s="3" t="s">
        <v>369</v>
      </c>
      <c r="B209" s="5">
        <v>171926.0</v>
      </c>
      <c r="C209" s="10">
        <v>207.0</v>
      </c>
      <c r="D209" s="3" t="s">
        <v>282</v>
      </c>
      <c r="E209" s="3">
        <f t="array" ref="E209">xlookup(D209,Sheet3!A:A,Sheet3!B:B)</f>
        <v>1</v>
      </c>
      <c r="F209" s="3" t="s">
        <v>26</v>
      </c>
      <c r="G209" s="3">
        <f t="array" ref="G209">xlookup(F209,Sheet2!A:A,Sheet2!B:B)</f>
        <v>7</v>
      </c>
      <c r="H209" s="3" t="s">
        <v>370</v>
      </c>
      <c r="I209" s="3" t="str">
        <f t="array" ref="I209">JOIN("", SORT(MID(LOWER(H209), SEQUENCE(LEN(H209)), 1)))</f>
        <v>     ,,aaaaaabcdeeeehiiklllmmmnnnoooorssy</v>
      </c>
      <c r="J209" s="3" t="s">
        <v>18</v>
      </c>
      <c r="K209" s="3">
        <f t="array" ref="K209">xlookup(J209,Sheet2!A:A,Sheet2!B:B)</f>
        <v>22</v>
      </c>
      <c r="L209" s="3" t="s">
        <v>370</v>
      </c>
      <c r="M209" s="3" t="s">
        <v>21</v>
      </c>
      <c r="N209" s="3">
        <f t="array" ref="N209">xlookup(M209,Sheet2!A:A,Sheet2!B:B)</f>
        <v>10</v>
      </c>
      <c r="O209" s="3" t="s">
        <v>370</v>
      </c>
      <c r="P209" s="4" t="str">
        <f t="shared" si="1"/>
        <v>207 : [7,22,10],</v>
      </c>
      <c r="Q209" s="4" t="str">
        <f t="shared" si="2"/>
        <v>207 : 1,</v>
      </c>
    </row>
    <row r="210">
      <c r="A210" s="3" t="s">
        <v>599</v>
      </c>
      <c r="B210" s="5">
        <v>138699.0</v>
      </c>
      <c r="C210" s="10">
        <v>208.0</v>
      </c>
      <c r="D210" s="3" t="s">
        <v>459</v>
      </c>
      <c r="E210" s="3">
        <f t="array" ref="E210">xlookup(D210,Sheet3!A:A,Sheet3!B:B)</f>
        <v>0</v>
      </c>
      <c r="F210" s="3" t="s">
        <v>26</v>
      </c>
      <c r="G210" s="3">
        <f t="array" ref="G210">xlookup(F210,Sheet2!A:A,Sheet2!B:B)</f>
        <v>7</v>
      </c>
      <c r="H210" s="3" t="s">
        <v>600</v>
      </c>
      <c r="I210" s="3" t="str">
        <f t="array" ref="I210">JOIN("", SORT(MID(LOWER(H210), SEQUENCE(LEN(H210)), 1)))</f>
        <v>     ,,aaaaaabcdeeeehiiklllmmmnnnoooorssy</v>
      </c>
      <c r="J210" s="3" t="s">
        <v>18</v>
      </c>
      <c r="K210" s="3">
        <f t="array" ref="K210">xlookup(J210,Sheet2!A:A,Sheet2!B:B)</f>
        <v>22</v>
      </c>
      <c r="L210" s="3" t="s">
        <v>600</v>
      </c>
      <c r="M210" s="3" t="s">
        <v>21</v>
      </c>
      <c r="N210" s="3">
        <f t="array" ref="N210">xlookup(M210,Sheet2!A:A,Sheet2!B:B)</f>
        <v>10</v>
      </c>
      <c r="O210" s="3" t="s">
        <v>600</v>
      </c>
      <c r="P210" s="4" t="str">
        <f t="shared" si="1"/>
        <v>208 : [7,22,10],</v>
      </c>
      <c r="Q210" s="4" t="str">
        <f t="shared" si="2"/>
        <v>208 : 0,</v>
      </c>
    </row>
    <row r="211">
      <c r="A211" s="3" t="s">
        <v>601</v>
      </c>
      <c r="B211" s="5">
        <v>136463.0</v>
      </c>
      <c r="C211" s="10">
        <v>209.0</v>
      </c>
      <c r="D211" s="3" t="s">
        <v>459</v>
      </c>
      <c r="E211" s="3">
        <f t="array" ref="E211">xlookup(D211,Sheet3!A:A,Sheet3!B:B)</f>
        <v>0</v>
      </c>
      <c r="F211" s="3" t="s">
        <v>26</v>
      </c>
      <c r="G211" s="3">
        <f t="array" ref="G211">xlookup(F211,Sheet2!A:A,Sheet2!B:B)</f>
        <v>7</v>
      </c>
      <c r="H211" s="3" t="s">
        <v>602</v>
      </c>
      <c r="I211" s="3" t="str">
        <f t="array" ref="I211">JOIN("", SORT(MID(LOWER(H211), SEQUENCE(LEN(H211)), 1)))</f>
        <v>     ,,aaaaaabcdeeeehiiklllmmmnnnoooorssy</v>
      </c>
      <c r="J211" s="3" t="s">
        <v>18</v>
      </c>
      <c r="K211" s="3">
        <f t="array" ref="K211">xlookup(J211,Sheet2!A:A,Sheet2!B:B)</f>
        <v>22</v>
      </c>
      <c r="L211" s="3" t="s">
        <v>602</v>
      </c>
      <c r="M211" s="3" t="s">
        <v>21</v>
      </c>
      <c r="N211" s="3">
        <f t="array" ref="N211">xlookup(M211,Sheet2!A:A,Sheet2!B:B)</f>
        <v>10</v>
      </c>
      <c r="O211" s="3" t="s">
        <v>602</v>
      </c>
      <c r="P211" s="4" t="str">
        <f t="shared" si="1"/>
        <v>209 : [7,22,10],</v>
      </c>
      <c r="Q211" s="4" t="str">
        <f t="shared" si="2"/>
        <v>209 : 0,</v>
      </c>
    </row>
    <row r="212">
      <c r="A212" s="3" t="s">
        <v>371</v>
      </c>
      <c r="B212" s="5">
        <v>152298.0</v>
      </c>
      <c r="C212" s="10">
        <v>210.0</v>
      </c>
      <c r="D212" s="3" t="s">
        <v>282</v>
      </c>
      <c r="E212" s="3">
        <f t="array" ref="E212">xlookup(D212,Sheet3!A:A,Sheet3!B:B)</f>
        <v>1</v>
      </c>
      <c r="F212" s="3" t="s">
        <v>114</v>
      </c>
      <c r="G212" s="3">
        <f t="array" ref="G212">xlookup(F212,Sheet2!A:A,Sheet2!B:B)</f>
        <v>12</v>
      </c>
      <c r="H212" s="3" t="s">
        <v>372</v>
      </c>
      <c r="I212" s="3" t="str">
        <f t="array" ref="I212">JOIN("", SORT(MID(LOWER(H212), SEQUENCE(LEN(H212)), 1)))</f>
        <v>     ,,aaaaaaaacceeehhhiiiiilllmnnoprrrrssttyy</v>
      </c>
      <c r="J212" s="3" t="s">
        <v>47</v>
      </c>
      <c r="K212" s="3">
        <f t="array" ref="K212">xlookup(J212,Sheet2!A:A,Sheet2!B:B)</f>
        <v>27</v>
      </c>
      <c r="L212" s="3" t="s">
        <v>372</v>
      </c>
      <c r="M212" s="3" t="s">
        <v>30</v>
      </c>
      <c r="N212" s="3">
        <f t="array" ref="N212">xlookup(M212,Sheet2!A:A,Sheet2!B:B)</f>
        <v>13</v>
      </c>
      <c r="O212" s="3" t="s">
        <v>372</v>
      </c>
      <c r="P212" s="4" t="str">
        <f t="shared" si="1"/>
        <v>210 : [12,27,13],</v>
      </c>
      <c r="Q212" s="4" t="str">
        <f t="shared" si="2"/>
        <v>210 : 1,</v>
      </c>
    </row>
    <row r="213">
      <c r="A213" s="3" t="s">
        <v>603</v>
      </c>
      <c r="B213" s="5">
        <v>196553.0</v>
      </c>
      <c r="C213" s="10">
        <v>211.0</v>
      </c>
      <c r="D213" s="3" t="s">
        <v>459</v>
      </c>
      <c r="E213" s="3">
        <f t="array" ref="E213">xlookup(D213,Sheet3!A:A,Sheet3!B:B)</f>
        <v>0</v>
      </c>
      <c r="F213" s="3" t="s">
        <v>18</v>
      </c>
      <c r="G213" s="3">
        <f t="array" ref="G213">xlookup(F213,Sheet2!A:A,Sheet2!B:B)</f>
        <v>22</v>
      </c>
      <c r="H213" s="3" t="s">
        <v>604</v>
      </c>
      <c r="I213" s="3" t="str">
        <f t="array" ref="I213">JOIN("", SORT(MID(LOWER(H213), SEQUENCE(LEN(H213)), 1)))</f>
        <v>     ,,aaaaaaaaefhhhiimnnnorrsssssttttuuuy</v>
      </c>
      <c r="J213" s="3" t="s">
        <v>39</v>
      </c>
      <c r="K213" s="3">
        <f t="array" ref="K213">xlookup(J213,Sheet2!A:A,Sheet2!B:B)</f>
        <v>20</v>
      </c>
      <c r="L213" s="3" t="s">
        <v>604</v>
      </c>
      <c r="M213" s="3" t="s">
        <v>74</v>
      </c>
      <c r="N213" s="3">
        <f t="array" ref="N213">xlookup(M213,Sheet2!A:A,Sheet2!B:B)</f>
        <v>50</v>
      </c>
      <c r="O213" s="3" t="s">
        <v>604</v>
      </c>
      <c r="P213" s="4" t="str">
        <f t="shared" si="1"/>
        <v>211 : [22,20,50],</v>
      </c>
      <c r="Q213" s="4" t="str">
        <f t="shared" si="2"/>
        <v>211 : 0,</v>
      </c>
    </row>
    <row r="214">
      <c r="A214" s="3" t="s">
        <v>605</v>
      </c>
      <c r="B214" s="5">
        <v>138198.0</v>
      </c>
      <c r="C214" s="10">
        <v>212.0</v>
      </c>
      <c r="D214" s="3" t="s">
        <v>459</v>
      </c>
      <c r="E214" s="3">
        <f t="array" ref="E214">xlookup(D214,Sheet3!A:A,Sheet3!B:B)</f>
        <v>0</v>
      </c>
      <c r="F214" s="3" t="s">
        <v>18</v>
      </c>
      <c r="G214" s="3">
        <f t="array" ref="G214">xlookup(F214,Sheet2!A:A,Sheet2!B:B)</f>
        <v>22</v>
      </c>
      <c r="H214" s="3" t="s">
        <v>606</v>
      </c>
      <c r="I214" s="3" t="str">
        <f t="array" ref="I214">JOIN("", SORT(MID(LOWER(H214), SEQUENCE(LEN(H214)), 1)))</f>
        <v>     ,,aaaaaaaaefhhhiimnnnorrsssssttttuuuy</v>
      </c>
      <c r="J214" s="3" t="s">
        <v>39</v>
      </c>
      <c r="K214" s="3">
        <f t="array" ref="K214">xlookup(J214,Sheet2!A:A,Sheet2!B:B)</f>
        <v>20</v>
      </c>
      <c r="L214" s="3" t="s">
        <v>606</v>
      </c>
      <c r="M214" s="3" t="s">
        <v>74</v>
      </c>
      <c r="N214" s="3">
        <f t="array" ref="N214">xlookup(M214,Sheet2!A:A,Sheet2!B:B)</f>
        <v>50</v>
      </c>
      <c r="O214" s="3" t="s">
        <v>606</v>
      </c>
      <c r="P214" s="4" t="str">
        <f t="shared" si="1"/>
        <v>212 : [22,20,50],</v>
      </c>
      <c r="Q214" s="4" t="str">
        <f t="shared" si="2"/>
        <v>212 : 0,</v>
      </c>
    </row>
    <row r="215">
      <c r="A215" s="3" t="s">
        <v>373</v>
      </c>
      <c r="B215" s="5">
        <v>301949.0</v>
      </c>
      <c r="C215" s="10">
        <v>213.0</v>
      </c>
      <c r="D215" s="3" t="s">
        <v>282</v>
      </c>
      <c r="E215" s="3">
        <f t="array" ref="E215">xlookup(D215,Sheet3!A:A,Sheet3!B:B)</f>
        <v>1</v>
      </c>
      <c r="F215" s="3" t="s">
        <v>64</v>
      </c>
      <c r="G215" s="3">
        <f t="array" ref="G215">xlookup(F215,Sheet2!A:A,Sheet2!B:B)</f>
        <v>30</v>
      </c>
      <c r="H215" s="3" t="s">
        <v>374</v>
      </c>
      <c r="I215" s="3" t="str">
        <f t="array" ref="I215">JOIN("", SORT(MID(LOWER(H215), SEQUENCE(LEN(H215)), 1)))</f>
        <v>           ,,,,,aaaaaaaaabbbbbbceeeeeeeeehhhhiiimmmmmmmnnorrrrrrsssssssty</v>
      </c>
      <c r="J215" s="3" t="s">
        <v>63</v>
      </c>
      <c r="K215" s="3">
        <f t="array" ref="K215">xlookup(J215,Sheet2!A:A,Sheet2!B:B)</f>
        <v>29</v>
      </c>
      <c r="L215" s="3" t="s">
        <v>374</v>
      </c>
      <c r="M215" s="3" t="s">
        <v>61</v>
      </c>
      <c r="N215" s="3">
        <f t="array" ref="N215">xlookup(M215,Sheet2!A:A,Sheet2!B:B)</f>
        <v>31</v>
      </c>
      <c r="O215" s="3" t="s">
        <v>374</v>
      </c>
      <c r="P215" s="4" t="str">
        <f t="shared" si="1"/>
        <v>213 : [30,29,31],</v>
      </c>
      <c r="Q215" s="4" t="str">
        <f t="shared" si="2"/>
        <v>213 : 1,</v>
      </c>
    </row>
    <row r="216">
      <c r="A216" s="3" t="s">
        <v>228</v>
      </c>
      <c r="B216" s="5">
        <v>184727.0</v>
      </c>
      <c r="C216" s="10">
        <v>214.0</v>
      </c>
      <c r="D216" s="3" t="s">
        <v>153</v>
      </c>
      <c r="E216" s="3">
        <f t="array" ref="E216">xlookup(D216,Sheet3!A:A,Sheet3!B:B)</f>
        <v>2</v>
      </c>
      <c r="F216" s="3" t="s">
        <v>74</v>
      </c>
      <c r="G216" s="3">
        <f t="array" ref="G216">xlookup(F216,Sheet2!A:A,Sheet2!B:B)</f>
        <v>50</v>
      </c>
      <c r="H216" s="3" t="s">
        <v>229</v>
      </c>
      <c r="I216" s="3" t="str">
        <f t="array" ref="I216">JOIN("", SORT(MID(LOWER(H216), SEQUENCE(LEN(H216)), 1)))</f>
        <v>   ,aaaaaaacdddhhhhhiiimnnnnorrssstuvy</v>
      </c>
      <c r="J216" s="3" t="s">
        <v>96</v>
      </c>
      <c r="K216" s="3">
        <f t="array" ref="K216">xlookup(J216,Sheet2!A:A,Sheet2!B:B)</f>
        <v>47</v>
      </c>
      <c r="L216" s="3" t="s">
        <v>229</v>
      </c>
      <c r="M216" s="3" t="s">
        <v>76</v>
      </c>
      <c r="N216" s="3">
        <f t="array" ref="N216">xlookup(M216,Sheet2!A:A,Sheet2!B:B)</f>
        <v>24</v>
      </c>
      <c r="O216" s="3" t="s">
        <v>229</v>
      </c>
      <c r="P216" s="4" t="str">
        <f t="shared" si="1"/>
        <v>214 : [50,47,24],</v>
      </c>
      <c r="Q216" s="4" t="str">
        <f t="shared" si="2"/>
        <v>214 : 2,</v>
      </c>
    </row>
    <row r="217">
      <c r="A217" s="3" t="s">
        <v>133</v>
      </c>
      <c r="B217" s="5">
        <v>152872.0</v>
      </c>
      <c r="C217" s="10">
        <v>215.0</v>
      </c>
      <c r="D217" s="3" t="s">
        <v>118</v>
      </c>
      <c r="E217" s="3">
        <f t="array" ref="E217">xlookup(D217,Sheet3!A:A,Sheet3!B:B)</f>
        <v>3</v>
      </c>
      <c r="F217" s="3" t="s">
        <v>74</v>
      </c>
      <c r="G217" s="3">
        <f t="array" ref="G217">xlookup(F217,Sheet2!A:A,Sheet2!B:B)</f>
        <v>50</v>
      </c>
      <c r="H217" s="3" t="s">
        <v>134</v>
      </c>
      <c r="I217" s="3" t="str">
        <f t="array" ref="I217">JOIN("", SORT(MID(LOWER(H217), SEQUENCE(LEN(H217)), 1)))</f>
        <v>   ,aaaaaaacdddhhhhhiiimnnnnorrssstuvy</v>
      </c>
      <c r="J217" s="3" t="s">
        <v>96</v>
      </c>
      <c r="K217" s="3">
        <f t="array" ref="K217">xlookup(J217,Sheet2!A:A,Sheet2!B:B)</f>
        <v>47</v>
      </c>
      <c r="L217" s="3" t="s">
        <v>134</v>
      </c>
      <c r="M217" s="3" t="s">
        <v>76</v>
      </c>
      <c r="N217" s="3">
        <f t="array" ref="N217">xlookup(M217,Sheet2!A:A,Sheet2!B:B)</f>
        <v>24</v>
      </c>
      <c r="O217" s="3" t="s">
        <v>134</v>
      </c>
      <c r="P217" s="4" t="str">
        <f t="shared" si="1"/>
        <v>215 : [50,47,24],</v>
      </c>
      <c r="Q217" s="4" t="str">
        <f t="shared" si="2"/>
        <v>215 : 3,</v>
      </c>
    </row>
    <row r="218">
      <c r="A218" s="3" t="s">
        <v>607</v>
      </c>
      <c r="B218" s="5">
        <v>320623.0</v>
      </c>
      <c r="C218" s="10">
        <v>216.0</v>
      </c>
      <c r="D218" s="3" t="s">
        <v>459</v>
      </c>
      <c r="E218" s="3">
        <f t="array" ref="E218">xlookup(D218,Sheet3!A:A,Sheet3!B:B)</f>
        <v>0</v>
      </c>
      <c r="F218" s="3" t="s">
        <v>64</v>
      </c>
      <c r="G218" s="3">
        <f t="array" ref="G218">xlookup(F218,Sheet2!A:A,Sheet2!B:B)</f>
        <v>30</v>
      </c>
      <c r="H218" s="3" t="s">
        <v>608</v>
      </c>
      <c r="I218" s="3" t="str">
        <f t="array" ref="I218">JOIN("", SORT(MID(LOWER(H218), SEQUENCE(LEN(H218)), 1)))</f>
        <v>           ,,,,,aaaaaaaaabbbbbbceeeeeeeeehhhhiiimmmmmmmnnorrrrrrsssssssty</v>
      </c>
      <c r="J218" s="3" t="s">
        <v>63</v>
      </c>
      <c r="K218" s="3">
        <f t="array" ref="K218">xlookup(J218,Sheet2!A:A,Sheet2!B:B)</f>
        <v>29</v>
      </c>
      <c r="L218" s="3" t="s">
        <v>608</v>
      </c>
      <c r="M218" s="3" t="s">
        <v>61</v>
      </c>
      <c r="N218" s="3">
        <f t="array" ref="N218">xlookup(M218,Sheet2!A:A,Sheet2!B:B)</f>
        <v>31</v>
      </c>
      <c r="O218" s="3" t="s">
        <v>608</v>
      </c>
      <c r="P218" s="4" t="str">
        <f t="shared" si="1"/>
        <v>216 : [30,29,31],</v>
      </c>
      <c r="Q218" s="4" t="str">
        <f t="shared" si="2"/>
        <v>216 : 0,</v>
      </c>
    </row>
    <row r="219">
      <c r="A219" s="3" t="s">
        <v>375</v>
      </c>
      <c r="B219" s="5">
        <v>321758.0</v>
      </c>
      <c r="C219" s="10">
        <v>217.0</v>
      </c>
      <c r="D219" s="3" t="s">
        <v>282</v>
      </c>
      <c r="E219" s="3">
        <f t="array" ref="E219">xlookup(D219,Sheet3!A:A,Sheet3!B:B)</f>
        <v>1</v>
      </c>
      <c r="F219" s="3" t="s">
        <v>64</v>
      </c>
      <c r="G219" s="3">
        <f t="array" ref="G219">xlookup(F219,Sheet2!A:A,Sheet2!B:B)</f>
        <v>30</v>
      </c>
      <c r="H219" s="3" t="s">
        <v>376</v>
      </c>
      <c r="I219" s="3" t="str">
        <f t="array" ref="I219">JOIN("", SORT(MID(LOWER(H219), SEQUENCE(LEN(H219)), 1)))</f>
        <v>           ,,,,,aaaaaaaaabbbbbbceeeeeeeeehhhhiiimmmmmmmnnorrrrrrsssssssty</v>
      </c>
      <c r="J219" s="3" t="s">
        <v>63</v>
      </c>
      <c r="K219" s="3">
        <f t="array" ref="K219">xlookup(J219,Sheet2!A:A,Sheet2!B:B)</f>
        <v>29</v>
      </c>
      <c r="L219" s="3" t="s">
        <v>376</v>
      </c>
      <c r="M219" s="3" t="s">
        <v>61</v>
      </c>
      <c r="N219" s="3">
        <f t="array" ref="N219">xlookup(M219,Sheet2!A:A,Sheet2!B:B)</f>
        <v>31</v>
      </c>
      <c r="O219" s="3" t="s">
        <v>376</v>
      </c>
      <c r="P219" s="4" t="str">
        <f t="shared" si="1"/>
        <v>217 : [30,29,31],</v>
      </c>
      <c r="Q219" s="4" t="str">
        <f t="shared" si="2"/>
        <v>217 : 1,</v>
      </c>
    </row>
    <row r="220">
      <c r="A220" s="3" t="s">
        <v>609</v>
      </c>
      <c r="B220" s="5">
        <v>192335.0</v>
      </c>
      <c r="C220" s="10">
        <v>218.0</v>
      </c>
      <c r="D220" s="3" t="s">
        <v>459</v>
      </c>
      <c r="E220" s="3">
        <f t="array" ref="E220">xlookup(D220,Sheet3!A:A,Sheet3!B:B)</f>
        <v>0</v>
      </c>
      <c r="F220" s="3" t="s">
        <v>76</v>
      </c>
      <c r="G220" s="3">
        <f t="array" ref="G220">xlookup(F220,Sheet2!A:A,Sheet2!B:B)</f>
        <v>24</v>
      </c>
      <c r="H220" s="3" t="s">
        <v>610</v>
      </c>
      <c r="I220" s="3" t="str">
        <f t="array" ref="I220">JOIN("", SORT(MID(LOWER(H220), SEQUENCE(LEN(H220)), 1)))</f>
        <v>    ,aaaaaaahhiiiikkklmmnnprsssuy</v>
      </c>
      <c r="J220" s="3" t="s">
        <v>7</v>
      </c>
      <c r="K220" s="3">
        <f t="array" ref="K220">xlookup(J220,Sheet2!A:A,Sheet2!B:B)</f>
        <v>15</v>
      </c>
      <c r="L220" s="3" t="s">
        <v>610</v>
      </c>
      <c r="M220" s="3" t="s">
        <v>72</v>
      </c>
      <c r="N220" s="3">
        <f t="array" ref="N220">xlookup(M220,Sheet2!A:A,Sheet2!B:B)</f>
        <v>34</v>
      </c>
      <c r="O220" s="3" t="s">
        <v>610</v>
      </c>
      <c r="P220" s="4" t="str">
        <f t="shared" si="1"/>
        <v>218 : [24,15,34],</v>
      </c>
      <c r="Q220" s="4" t="str">
        <f t="shared" si="2"/>
        <v>218 : 0,</v>
      </c>
    </row>
    <row r="221">
      <c r="A221" s="3" t="s">
        <v>98</v>
      </c>
      <c r="B221" s="5">
        <v>135551.0</v>
      </c>
      <c r="C221" s="10">
        <v>219.0</v>
      </c>
      <c r="D221" s="3" t="s">
        <v>60</v>
      </c>
      <c r="E221" s="3">
        <f t="array" ref="E221">xlookup(D221,Sheet3!A:A,Sheet3!B:B)</f>
        <v>4</v>
      </c>
      <c r="F221" s="3" t="s">
        <v>10</v>
      </c>
      <c r="G221" s="3">
        <f t="array" ref="G221">xlookup(F221,Sheet2!A:A,Sheet2!B:B)</f>
        <v>9</v>
      </c>
      <c r="H221" s="3" t="s">
        <v>99</v>
      </c>
      <c r="I221" s="3" t="str">
        <f t="array" ref="I221">JOIN("", SORT(MID(LOWER(H221), SEQUENCE(LEN(H221)), 1)))</f>
        <v>   ,aaacdehiiklmmnnrrsuu</v>
      </c>
      <c r="J221" s="3" t="s">
        <v>96</v>
      </c>
      <c r="K221" s="3">
        <f t="array" ref="K221">xlookup(J221,Sheet2!A:A,Sheet2!B:B)</f>
        <v>47</v>
      </c>
      <c r="L221" s="3" t="s">
        <v>99</v>
      </c>
      <c r="M221" s="3" t="s">
        <v>74</v>
      </c>
      <c r="N221" s="3">
        <f t="array" ref="N221">xlookup(M221,Sheet2!A:A,Sheet2!B:B)</f>
        <v>50</v>
      </c>
      <c r="O221" s="3" t="s">
        <v>99</v>
      </c>
      <c r="P221" s="4" t="str">
        <f t="shared" si="1"/>
        <v>219 : [9,47,50],</v>
      </c>
      <c r="Q221" s="4" t="str">
        <f t="shared" si="2"/>
        <v>219 : 4,</v>
      </c>
    </row>
    <row r="222">
      <c r="A222" s="3" t="s">
        <v>100</v>
      </c>
      <c r="B222" s="5">
        <v>113511.0</v>
      </c>
      <c r="C222" s="10">
        <v>220.0</v>
      </c>
      <c r="D222" s="3" t="s">
        <v>60</v>
      </c>
      <c r="E222" s="3">
        <f t="array" ref="E222">xlookup(D222,Sheet3!A:A,Sheet3!B:B)</f>
        <v>4</v>
      </c>
      <c r="F222" s="3" t="s">
        <v>10</v>
      </c>
      <c r="G222" s="3">
        <f t="array" ref="G222">xlookup(F222,Sheet2!A:A,Sheet2!B:B)</f>
        <v>9</v>
      </c>
      <c r="H222" s="3" t="s">
        <v>101</v>
      </c>
      <c r="I222" s="3" t="str">
        <f t="array" ref="I222">JOIN("", SORT(MID(LOWER(H222), SEQUENCE(LEN(H222)), 1)))</f>
        <v>   ,aaacdehiiklmmnnrrsuu</v>
      </c>
      <c r="J222" s="3" t="s">
        <v>96</v>
      </c>
      <c r="K222" s="3">
        <f t="array" ref="K222">xlookup(J222,Sheet2!A:A,Sheet2!B:B)</f>
        <v>47</v>
      </c>
      <c r="L222" s="3" t="s">
        <v>101</v>
      </c>
      <c r="M222" s="3" t="s">
        <v>74</v>
      </c>
      <c r="N222" s="3">
        <f t="array" ref="N222">xlookup(M222,Sheet2!A:A,Sheet2!B:B)</f>
        <v>50</v>
      </c>
      <c r="O222" s="3" t="s">
        <v>101</v>
      </c>
      <c r="P222" s="4" t="str">
        <f t="shared" si="1"/>
        <v>220 : [9,47,50],</v>
      </c>
      <c r="Q222" s="4" t="str">
        <f t="shared" si="2"/>
        <v>220 : 4,</v>
      </c>
    </row>
    <row r="223">
      <c r="A223" s="3" t="s">
        <v>230</v>
      </c>
      <c r="B223" s="5">
        <v>152185.0</v>
      </c>
      <c r="C223" s="10">
        <v>221.0</v>
      </c>
      <c r="D223" s="3" t="s">
        <v>153</v>
      </c>
      <c r="E223" s="3">
        <f t="array" ref="E223">xlookup(D223,Sheet3!A:A,Sheet3!B:B)</f>
        <v>2</v>
      </c>
      <c r="F223" s="3" t="s">
        <v>40</v>
      </c>
      <c r="G223" s="3">
        <f t="array" ref="G223">xlookup(F223,Sheet2!A:A,Sheet2!B:B)</f>
        <v>44</v>
      </c>
      <c r="H223" s="10" t="s">
        <v>3</v>
      </c>
      <c r="I223" s="3" t="str">
        <f t="array" ref="I223">JOIN("", SORT(MID(LOWER(H223), SEQUENCE(LEN(H223)), 1)))</f>
        <v>an</v>
      </c>
      <c r="J223" s="3" t="s">
        <v>207</v>
      </c>
      <c r="K223" s="3">
        <f t="array" ref="K223">xlookup(J223,Sheet2!A:A,Sheet2!B:B)</f>
        <v>1</v>
      </c>
      <c r="L223" s="10" t="s">
        <v>3</v>
      </c>
      <c r="M223" s="3" t="s">
        <v>212</v>
      </c>
      <c r="N223" s="3">
        <f t="array" ref="N223">xlookup(M223,Sheet2!A:A,Sheet2!B:B)</f>
        <v>2</v>
      </c>
      <c r="O223" s="10" t="s">
        <v>3</v>
      </c>
      <c r="P223" s="4" t="str">
        <f t="shared" si="1"/>
        <v>221 : [44,1,2],</v>
      </c>
      <c r="Q223" s="4" t="str">
        <f t="shared" si="2"/>
        <v>221 : 2,</v>
      </c>
    </row>
    <row r="224">
      <c r="A224" s="3" t="s">
        <v>611</v>
      </c>
      <c r="B224" s="5">
        <v>304949.0</v>
      </c>
      <c r="C224" s="10">
        <v>222.0</v>
      </c>
      <c r="D224" s="3" t="s">
        <v>459</v>
      </c>
      <c r="E224" s="3">
        <f t="array" ref="E224">xlookup(D224,Sheet3!A:A,Sheet3!B:B)</f>
        <v>0</v>
      </c>
      <c r="F224" s="3" t="s">
        <v>238</v>
      </c>
      <c r="G224" s="3">
        <f t="array" ref="G224">xlookup(F224,Sheet2!A:A,Sheet2!B:B)</f>
        <v>37</v>
      </c>
      <c r="H224" s="3" t="s">
        <v>3</v>
      </c>
      <c r="I224" s="3" t="str">
        <f t="array" ref="I224">JOIN("", SORT(MID(LOWER(H224), SEQUENCE(LEN(H224)), 1)))</f>
        <v>an</v>
      </c>
      <c r="J224" s="3" t="s">
        <v>465</v>
      </c>
      <c r="K224" s="3">
        <f t="array" ref="K224">xlookup(J224,Sheet2!A:A,Sheet2!B:B)</f>
        <v>36</v>
      </c>
      <c r="L224" s="3" t="s">
        <v>3</v>
      </c>
      <c r="M224" s="3" t="s">
        <v>309</v>
      </c>
      <c r="N224" s="3">
        <f t="array" ref="N224">xlookup(M224,Sheet2!A:A,Sheet2!B:B)</f>
        <v>40</v>
      </c>
      <c r="O224" s="3" t="s">
        <v>3</v>
      </c>
      <c r="P224" s="4" t="str">
        <f t="shared" si="1"/>
        <v>222 : [37,36,40],</v>
      </c>
      <c r="Q224" s="4" t="str">
        <f t="shared" si="2"/>
        <v>222 : 0,</v>
      </c>
    </row>
    <row r="225">
      <c r="A225" s="3" t="s">
        <v>135</v>
      </c>
      <c r="B225" s="5">
        <v>110580.0</v>
      </c>
      <c r="C225" s="10">
        <v>223.0</v>
      </c>
      <c r="D225" s="3" t="s">
        <v>118</v>
      </c>
      <c r="E225" s="3">
        <f t="array" ref="E225">xlookup(D225,Sheet3!A:A,Sheet3!B:B)</f>
        <v>3</v>
      </c>
      <c r="F225" s="3" t="s">
        <v>30</v>
      </c>
      <c r="G225" s="3">
        <f t="array" ref="G225">xlookup(F225,Sheet2!A:A,Sheet2!B:B)</f>
        <v>13</v>
      </c>
      <c r="H225" s="3" t="s">
        <v>136</v>
      </c>
      <c r="I225" s="3" t="str">
        <f t="array" ref="I225">JOIN("", SORT(MID(LOWER(H225), SEQUENCE(LEN(H225)), 1)))</f>
        <v>     ,,aaaaaaaabddeeggghhhhiiiiillmmnnnoprrrrrrrrsssuwy</v>
      </c>
      <c r="J225" s="3" t="s">
        <v>114</v>
      </c>
      <c r="K225" s="3">
        <f t="array" ref="K225">xlookup(J225,Sheet2!A:A,Sheet2!B:B)</f>
        <v>12</v>
      </c>
      <c r="L225" s="3" t="s">
        <v>136</v>
      </c>
      <c r="M225" s="3" t="s">
        <v>34</v>
      </c>
      <c r="N225" s="3">
        <f t="array" ref="N225">xlookup(M225,Sheet2!A:A,Sheet2!B:B)</f>
        <v>8</v>
      </c>
      <c r="O225" s="3" t="s">
        <v>3</v>
      </c>
      <c r="P225" s="4" t="str">
        <f t="shared" si="1"/>
        <v>223 : [13,12,8],</v>
      </c>
      <c r="Q225" s="4" t="str">
        <f t="shared" si="2"/>
        <v>223 : 3,</v>
      </c>
    </row>
    <row r="226">
      <c r="A226" s="3" t="s">
        <v>377</v>
      </c>
      <c r="B226" s="5">
        <v>139550.0</v>
      </c>
      <c r="C226" s="10">
        <v>224.0</v>
      </c>
      <c r="D226" s="3" t="s">
        <v>282</v>
      </c>
      <c r="E226" s="3">
        <f t="array" ref="E226">xlookup(D226,Sheet3!A:A,Sheet3!B:B)</f>
        <v>1</v>
      </c>
      <c r="F226" s="3" t="s">
        <v>30</v>
      </c>
      <c r="G226" s="3">
        <f t="array" ref="G226">xlookup(F226,Sheet2!A:A,Sheet2!B:B)</f>
        <v>13</v>
      </c>
      <c r="H226" s="3" t="s">
        <v>378</v>
      </c>
      <c r="I226" s="3" t="str">
        <f t="array" ref="I226">JOIN("", SORT(MID(LOWER(H226), SEQUENCE(LEN(H226)), 1)))</f>
        <v>     ,,aaaaaaaabddeeeggghhhiiiilllmmnnnoprrrrrrrrsssuwy</v>
      </c>
      <c r="J226" s="3" t="s">
        <v>114</v>
      </c>
      <c r="K226" s="3">
        <f t="array" ref="K226">xlookup(J226,Sheet2!A:A,Sheet2!B:B)</f>
        <v>12</v>
      </c>
      <c r="L226" s="3" t="s">
        <v>378</v>
      </c>
      <c r="M226" s="3" t="s">
        <v>32</v>
      </c>
      <c r="N226" s="3">
        <f t="array" ref="N226">xlookup(M226,Sheet2!A:A,Sheet2!B:B)</f>
        <v>11</v>
      </c>
      <c r="O226" s="3" t="s">
        <v>378</v>
      </c>
      <c r="P226" s="4" t="str">
        <f t="shared" si="1"/>
        <v>224 : [13,12,11],</v>
      </c>
      <c r="Q226" s="4" t="str">
        <f t="shared" si="2"/>
        <v>224 : 1,</v>
      </c>
    </row>
    <row r="227">
      <c r="A227" s="3" t="s">
        <v>43</v>
      </c>
      <c r="B227" s="5">
        <v>179384.0</v>
      </c>
      <c r="C227" s="10">
        <v>225.0</v>
      </c>
      <c r="D227" s="3" t="s">
        <v>1</v>
      </c>
      <c r="E227" s="3">
        <f t="array" ref="E227">xlookup(D227,Sheet3!A:A,Sheet3!B:B)</f>
        <v>5</v>
      </c>
      <c r="F227" s="3" t="s">
        <v>28</v>
      </c>
      <c r="G227" s="3">
        <f t="array" ref="G227">xlookup(F227,Sheet2!A:A,Sheet2!B:B)</f>
        <v>32</v>
      </c>
      <c r="H227" s="3" t="s">
        <v>44</v>
      </c>
      <c r="I227" s="3" t="str">
        <f t="array" ref="I227">JOIN("", SORT(MID(LOWER(H227), SEQUENCE(LEN(H227)), 1)))</f>
        <v>     ,,aaaaacdefhhiiiiiiiklmnnprrrrtvyz</v>
      </c>
      <c r="J227" s="3" t="s">
        <v>30</v>
      </c>
      <c r="K227" s="3">
        <f t="array" ref="K227">xlookup(J227,Sheet2!A:A,Sheet2!B:B)</f>
        <v>13</v>
      </c>
      <c r="L227" s="3" t="s">
        <v>44</v>
      </c>
      <c r="M227" s="3" t="s">
        <v>2</v>
      </c>
      <c r="N227" s="3">
        <f t="array" ref="N227">xlookup(M227,Sheet2!A:A,Sheet2!B:B)</f>
        <v>25</v>
      </c>
      <c r="O227" s="3" t="s">
        <v>44</v>
      </c>
      <c r="P227" s="4" t="str">
        <f t="shared" si="1"/>
        <v>225 : [32,13,25],</v>
      </c>
      <c r="Q227" s="4" t="str">
        <f t="shared" si="2"/>
        <v>225 : 5,</v>
      </c>
    </row>
    <row r="228">
      <c r="A228" s="3" t="s">
        <v>379</v>
      </c>
      <c r="B228" s="5">
        <v>306570.0</v>
      </c>
      <c r="C228" s="10">
        <v>226.0</v>
      </c>
      <c r="D228" s="3" t="s">
        <v>282</v>
      </c>
      <c r="E228" s="3">
        <f t="array" ref="E228">xlookup(D228,Sheet3!A:A,Sheet3!B:B)</f>
        <v>1</v>
      </c>
      <c r="F228" s="3" t="s">
        <v>114</v>
      </c>
      <c r="G228" s="3">
        <f t="array" ref="G228">xlookup(F228,Sheet2!A:A,Sheet2!B:B)</f>
        <v>12</v>
      </c>
      <c r="H228" s="3" t="s">
        <v>380</v>
      </c>
      <c r="I228" s="3" t="str">
        <f t="array" ref="I228">JOIN("", SORT(MID(LOWER(H228), SEQUENCE(LEN(H228)), 1)))</f>
        <v>     ,,aaaaaaaacceeehhhiiiiilllmnnoprrrrssttyy</v>
      </c>
      <c r="J228" s="3" t="s">
        <v>47</v>
      </c>
      <c r="K228" s="3">
        <f t="array" ref="K228">xlookup(J228,Sheet2!A:A,Sheet2!B:B)</f>
        <v>27</v>
      </c>
      <c r="L228" s="3" t="s">
        <v>380</v>
      </c>
      <c r="M228" s="3" t="s">
        <v>30</v>
      </c>
      <c r="N228" s="3">
        <f t="array" ref="N228">xlookup(M228,Sheet2!A:A,Sheet2!B:B)</f>
        <v>13</v>
      </c>
      <c r="O228" s="3" t="s">
        <v>380</v>
      </c>
      <c r="P228" s="4" t="str">
        <f t="shared" si="1"/>
        <v>226 : [12,27,13],</v>
      </c>
      <c r="Q228" s="4" t="str">
        <f t="shared" si="2"/>
        <v>226 : 1,</v>
      </c>
    </row>
    <row r="229">
      <c r="A229" s="3" t="s">
        <v>45</v>
      </c>
      <c r="B229" s="5">
        <v>145711.0</v>
      </c>
      <c r="C229" s="10">
        <v>227.0</v>
      </c>
      <c r="D229" s="3" t="s">
        <v>1</v>
      </c>
      <c r="E229" s="3">
        <f t="array" ref="E229">xlookup(D229,Sheet3!A:A,Sheet3!B:B)</f>
        <v>5</v>
      </c>
      <c r="F229" s="3" t="s">
        <v>28</v>
      </c>
      <c r="G229" s="3">
        <f t="array" ref="G229">xlookup(F229,Sheet2!A:A,Sheet2!B:B)</f>
        <v>32</v>
      </c>
      <c r="H229" s="3" t="s">
        <v>46</v>
      </c>
      <c r="I229" s="3" t="str">
        <f t="array" ref="I229">JOIN("", SORT(MID(LOWER(H229), SEQUENCE(LEN(H229)), 1)))</f>
        <v>     ,,aaaaacdefhhiiiiiiiklmnnprrrrtvyz</v>
      </c>
      <c r="J229" s="3" t="s">
        <v>47</v>
      </c>
      <c r="K229" s="3">
        <f t="array" ref="K229">xlookup(J229,Sheet2!A:A,Sheet2!B:B)</f>
        <v>27</v>
      </c>
      <c r="L229" s="3" t="s">
        <v>46</v>
      </c>
      <c r="M229" s="3" t="s">
        <v>18</v>
      </c>
      <c r="N229" s="3">
        <f t="array" ref="N229">xlookup(M229,Sheet2!A:A,Sheet2!B:B)</f>
        <v>22</v>
      </c>
      <c r="O229" s="3" t="s">
        <v>46</v>
      </c>
      <c r="P229" s="4" t="str">
        <f t="shared" si="1"/>
        <v>227 : [32,27,22],</v>
      </c>
      <c r="Q229" s="4" t="str">
        <f t="shared" si="2"/>
        <v>227 : 5,</v>
      </c>
    </row>
    <row r="230">
      <c r="A230" s="3" t="s">
        <v>231</v>
      </c>
      <c r="B230" s="5">
        <v>109833.0</v>
      </c>
      <c r="C230" s="10">
        <v>228.0</v>
      </c>
      <c r="D230" s="3" t="s">
        <v>153</v>
      </c>
      <c r="E230" s="3">
        <f t="array" ref="E230">xlookup(D230,Sheet3!A:A,Sheet3!B:B)</f>
        <v>2</v>
      </c>
      <c r="F230" s="3" t="s">
        <v>32</v>
      </c>
      <c r="G230" s="3">
        <f t="array" ref="G230">xlookup(F230,Sheet2!A:A,Sheet2!B:B)</f>
        <v>11</v>
      </c>
      <c r="H230" s="3" t="s">
        <v>222</v>
      </c>
      <c r="I230" s="3" t="str">
        <f t="array" ref="I230">JOIN("", SORT(MID(LOWER(H230), SEQUENCE(LEN(H230)), 1)))</f>
        <v>     ,,aaaaaaaaaaaabddeghhhhiijjmmmnnorrrrrrsstuvwy</v>
      </c>
      <c r="J230" s="3" t="s">
        <v>47</v>
      </c>
      <c r="K230" s="3">
        <f t="array" ref="K230">xlookup(J230,Sheet2!A:A,Sheet2!B:B)</f>
        <v>27</v>
      </c>
      <c r="L230" s="3" t="s">
        <v>222</v>
      </c>
      <c r="M230" s="3" t="s">
        <v>111</v>
      </c>
      <c r="N230" s="3">
        <f t="array" ref="N230">xlookup(M230,Sheet2!A:A,Sheet2!B:B)</f>
        <v>28</v>
      </c>
      <c r="O230" s="3" t="s">
        <v>222</v>
      </c>
      <c r="P230" s="4" t="str">
        <f t="shared" si="1"/>
        <v>228 : [11,27,28],</v>
      </c>
      <c r="Q230" s="4" t="str">
        <f t="shared" si="2"/>
        <v>228 : 2,</v>
      </c>
    </row>
    <row r="231">
      <c r="A231" s="3" t="s">
        <v>381</v>
      </c>
      <c r="B231" s="5">
        <v>109386.0</v>
      </c>
      <c r="C231" s="10">
        <v>229.0</v>
      </c>
      <c r="D231" s="3" t="s">
        <v>282</v>
      </c>
      <c r="E231" s="3">
        <f t="array" ref="E231">xlookup(D231,Sheet3!A:A,Sheet3!B:B)</f>
        <v>1</v>
      </c>
      <c r="F231" s="3" t="s">
        <v>16</v>
      </c>
      <c r="G231" s="3">
        <f t="array" ref="G231">xlookup(F231,Sheet2!A:A,Sheet2!B:B)</f>
        <v>3</v>
      </c>
      <c r="H231" s="3" t="s">
        <v>3</v>
      </c>
      <c r="I231" s="3" t="str">
        <f t="array" ref="I231">JOIN("", SORT(MID(LOWER(H231), SEQUENCE(LEN(H231)), 1)))</f>
        <v>an</v>
      </c>
      <c r="J231" s="3" t="s">
        <v>212</v>
      </c>
      <c r="K231" s="3">
        <f t="array" ref="K231">xlookup(J231,Sheet2!A:A,Sheet2!B:B)</f>
        <v>2</v>
      </c>
      <c r="L231" s="3" t="s">
        <v>3</v>
      </c>
      <c r="M231" s="3" t="s">
        <v>96</v>
      </c>
      <c r="N231" s="3">
        <f t="array" ref="N231">xlookup(M231,Sheet2!A:A,Sheet2!B:B)</f>
        <v>47</v>
      </c>
      <c r="O231" s="3" t="s">
        <v>3</v>
      </c>
      <c r="P231" s="4" t="str">
        <f t="shared" si="1"/>
        <v>229 : [3,2,47],</v>
      </c>
      <c r="Q231" s="4" t="str">
        <f t="shared" si="2"/>
        <v>229 : 1,</v>
      </c>
    </row>
    <row r="232">
      <c r="A232" s="3" t="s">
        <v>382</v>
      </c>
      <c r="B232" s="5">
        <v>320476.0</v>
      </c>
      <c r="C232" s="10">
        <v>230.0</v>
      </c>
      <c r="D232" s="3" t="s">
        <v>282</v>
      </c>
      <c r="E232" s="3">
        <f t="array" ref="E232">xlookup(D232,Sheet3!A:A,Sheet3!B:B)</f>
        <v>1</v>
      </c>
      <c r="F232" s="3" t="s">
        <v>74</v>
      </c>
      <c r="G232" s="3">
        <f t="array" ref="G232">xlookup(F232,Sheet2!A:A,Sheet2!B:B)</f>
        <v>50</v>
      </c>
      <c r="H232" s="3" t="s">
        <v>383</v>
      </c>
      <c r="I232" s="3" t="str">
        <f t="array" ref="I232">JOIN("", SORT(MID(LOWER(H232), SEQUENCE(LEN(H232)), 1)))</f>
        <v>   ,aacddeehijnoorstvyy</v>
      </c>
      <c r="J232" s="3" t="s">
        <v>7</v>
      </c>
      <c r="K232" s="3">
        <f t="array" ref="K232">xlookup(J232,Sheet2!A:A,Sheet2!B:B)</f>
        <v>15</v>
      </c>
      <c r="L232" s="3" t="s">
        <v>383</v>
      </c>
      <c r="M232" s="3" t="s">
        <v>72</v>
      </c>
      <c r="N232" s="3">
        <f t="array" ref="N232">xlookup(M232,Sheet2!A:A,Sheet2!B:B)</f>
        <v>34</v>
      </c>
      <c r="O232" s="3" t="s">
        <v>383</v>
      </c>
      <c r="P232" s="4" t="str">
        <f t="shared" si="1"/>
        <v>230 : [50,15,34],</v>
      </c>
      <c r="Q232" s="4" t="str">
        <f t="shared" si="2"/>
        <v>230 : 1,</v>
      </c>
    </row>
    <row r="233">
      <c r="A233" s="3" t="s">
        <v>612</v>
      </c>
      <c r="B233" s="5">
        <v>301453.0</v>
      </c>
      <c r="C233" s="10">
        <v>231.0</v>
      </c>
      <c r="D233" s="3" t="s">
        <v>459</v>
      </c>
      <c r="E233" s="3">
        <f t="array" ref="E233">xlookup(D233,Sheet3!A:A,Sheet3!B:B)</f>
        <v>0</v>
      </c>
      <c r="F233" s="3" t="s">
        <v>20</v>
      </c>
      <c r="G233" s="3">
        <f t="array" ref="G233">xlookup(F233,Sheet2!A:A,Sheet2!B:B)</f>
        <v>48</v>
      </c>
      <c r="H233" s="3" t="s">
        <v>613</v>
      </c>
      <c r="I233" s="3" t="str">
        <f t="array" ref="I233">JOIN("", SORT(MID(LOWER(H233), SEQUENCE(LEN(H233)), 1)))</f>
        <v>     ,,aaaaaaaaabbddghhiiilnnrrrsstyy</v>
      </c>
      <c r="J233" s="3" t="s">
        <v>4</v>
      </c>
      <c r="K233" s="3">
        <f t="array" ref="K233">xlookup(J233,Sheet2!A:A,Sheet2!B:B)</f>
        <v>23</v>
      </c>
      <c r="L233" s="3" t="s">
        <v>3</v>
      </c>
      <c r="M233" s="3" t="s">
        <v>309</v>
      </c>
      <c r="N233" s="3">
        <f t="array" ref="N233">xlookup(M233,Sheet2!A:A,Sheet2!B:B)</f>
        <v>40</v>
      </c>
      <c r="O233" s="3" t="s">
        <v>3</v>
      </c>
      <c r="P233" s="4" t="str">
        <f t="shared" si="1"/>
        <v>231 : [48,23,40],</v>
      </c>
      <c r="Q233" s="4" t="str">
        <f t="shared" si="2"/>
        <v>231 : 0,</v>
      </c>
    </row>
    <row r="234">
      <c r="A234" s="3" t="s">
        <v>614</v>
      </c>
      <c r="B234" s="5">
        <v>136296.0</v>
      </c>
      <c r="C234" s="10">
        <v>232.0</v>
      </c>
      <c r="D234" s="3" t="s">
        <v>459</v>
      </c>
      <c r="E234" s="3">
        <f t="array" ref="E234">xlookup(D234,Sheet3!A:A,Sheet3!B:B)</f>
        <v>0</v>
      </c>
      <c r="F234" s="3" t="s">
        <v>74</v>
      </c>
      <c r="G234" s="3">
        <f t="array" ref="G234">xlookup(F234,Sheet2!A:A,Sheet2!B:B)</f>
        <v>50</v>
      </c>
      <c r="H234" s="3" t="s">
        <v>616</v>
      </c>
      <c r="I234" s="3" t="str">
        <f t="array" ref="I234">JOIN("", SORT(MID(LOWER(H234), SEQUENCE(LEN(H234)), 1)))</f>
        <v>       --,aaabbbcddeeeeeehijmmmmnoorrrstvyy</v>
      </c>
      <c r="J234" s="3" t="s">
        <v>7</v>
      </c>
      <c r="K234" s="3">
        <f t="array" ref="K234">xlookup(J234,Sheet2!A:A,Sheet2!B:B)</f>
        <v>15</v>
      </c>
      <c r="L234" s="3" t="s">
        <v>616</v>
      </c>
      <c r="M234" s="3" t="s">
        <v>72</v>
      </c>
      <c r="N234" s="3">
        <f t="array" ref="N234">xlookup(M234,Sheet2!A:A,Sheet2!B:B)</f>
        <v>34</v>
      </c>
      <c r="O234" s="3" t="s">
        <v>616</v>
      </c>
      <c r="P234" s="4" t="str">
        <f t="shared" si="1"/>
        <v>232 : [50,15,34],</v>
      </c>
      <c r="Q234" s="4" t="str">
        <f t="shared" si="2"/>
        <v>232 : 0,</v>
      </c>
    </row>
    <row r="235">
      <c r="A235" s="3" t="s">
        <v>48</v>
      </c>
      <c r="B235" s="5">
        <v>116685.0</v>
      </c>
      <c r="C235" s="10">
        <v>233.0</v>
      </c>
      <c r="D235" s="3" t="s">
        <v>1</v>
      </c>
      <c r="E235" s="3">
        <f t="array" ref="E235">xlookup(D235,Sheet3!A:A,Sheet3!B:B)</f>
        <v>5</v>
      </c>
      <c r="F235" s="3" t="s">
        <v>13</v>
      </c>
      <c r="G235" s="3">
        <f t="array" ref="G235">xlookup(F235,Sheet2!A:A,Sheet2!B:B)</f>
        <v>17</v>
      </c>
      <c r="H235" s="3" t="s">
        <v>3</v>
      </c>
      <c r="I235" s="3" t="str">
        <f t="array" ref="I235">JOIN("", SORT(MID(LOWER(H235), SEQUENCE(LEN(H235)), 1)))</f>
        <v>an</v>
      </c>
      <c r="J235" s="3" t="s">
        <v>4</v>
      </c>
      <c r="K235" s="3">
        <f t="array" ref="K235">xlookup(J235,Sheet2!A:A,Sheet2!B:B)</f>
        <v>23</v>
      </c>
      <c r="L235" s="3" t="s">
        <v>3</v>
      </c>
      <c r="M235" s="3" t="s">
        <v>12</v>
      </c>
      <c r="N235" s="3">
        <f t="array" ref="N235">xlookup(M235,Sheet2!A:A,Sheet2!B:B)</f>
        <v>41</v>
      </c>
      <c r="O235" s="3" t="s">
        <v>3</v>
      </c>
      <c r="P235" s="4" t="str">
        <f t="shared" si="1"/>
        <v>233 : [17,23,41],</v>
      </c>
      <c r="Q235" s="4" t="str">
        <f t="shared" si="2"/>
        <v>233 : 5,</v>
      </c>
    </row>
    <row r="236">
      <c r="A236" s="3" t="s">
        <v>102</v>
      </c>
      <c r="B236" s="5">
        <v>312654.0</v>
      </c>
      <c r="C236" s="10">
        <v>234.0</v>
      </c>
      <c r="D236" s="3" t="s">
        <v>60</v>
      </c>
      <c r="E236" s="3">
        <f t="array" ref="E236">xlookup(D236,Sheet3!A:A,Sheet3!B:B)</f>
        <v>4</v>
      </c>
      <c r="F236" s="3" t="s">
        <v>9</v>
      </c>
      <c r="G236" s="3">
        <f t="array" ref="G236">xlookup(F236,Sheet2!A:A,Sheet2!B:B)</f>
        <v>5</v>
      </c>
      <c r="H236" s="3" t="s">
        <v>71</v>
      </c>
      <c r="I236" s="3" t="str">
        <f t="array" ref="I236">JOIN("", SORT(MID(LOWER(H236), SEQUENCE(LEN(H236)), 1)))</f>
        <v>   ,abceeghiklmnooptuvwy</v>
      </c>
      <c r="J236" s="3" t="s">
        <v>10</v>
      </c>
      <c r="K236" s="3">
        <f t="array" ref="K236">xlookup(J236,Sheet2!A:A,Sheet2!B:B)</f>
        <v>9</v>
      </c>
      <c r="L236" s="3" t="s">
        <v>71</v>
      </c>
      <c r="M236" s="3" t="s">
        <v>72</v>
      </c>
      <c r="N236" s="3">
        <f t="array" ref="N236">xlookup(M236,Sheet2!A:A,Sheet2!B:B)</f>
        <v>34</v>
      </c>
      <c r="O236" s="3" t="s">
        <v>71</v>
      </c>
      <c r="P236" s="4" t="str">
        <f t="shared" si="1"/>
        <v>234 : [5,9,34],</v>
      </c>
      <c r="Q236" s="4" t="str">
        <f t="shared" si="2"/>
        <v>234 : 4,</v>
      </c>
    </row>
    <row r="237">
      <c r="A237" s="3" t="s">
        <v>617</v>
      </c>
      <c r="B237" s="5">
        <v>150327.0</v>
      </c>
      <c r="C237" s="10">
        <v>235.0</v>
      </c>
      <c r="D237" s="3" t="s">
        <v>459</v>
      </c>
      <c r="E237" s="3">
        <f t="array" ref="E237">xlookup(D237,Sheet3!A:A,Sheet3!B:B)</f>
        <v>0</v>
      </c>
      <c r="F237" s="3" t="s">
        <v>7</v>
      </c>
      <c r="G237" s="3">
        <f t="array" ref="G237">xlookup(F237,Sheet2!A:A,Sheet2!B:B)</f>
        <v>15</v>
      </c>
      <c r="H237" s="3" t="s">
        <v>1655</v>
      </c>
      <c r="I237" s="3" t="str">
        <f t="array" ref="I237">JOIN("", SORT(MID(LOWER(H237), SEQUENCE(LEN(H237)), 1)))</f>
        <v>       ,::aaaaabeeeeeiillmmmmmmrsstxy</v>
      </c>
      <c r="J237" s="3" t="s">
        <v>125</v>
      </c>
      <c r="K237" s="3">
        <f t="array" ref="K237">xlookup(J237,Sheet2!A:A,Sheet2!B:B)</f>
        <v>19</v>
      </c>
      <c r="L237" s="3" t="s">
        <v>619</v>
      </c>
      <c r="M237" s="3" t="s">
        <v>9</v>
      </c>
      <c r="N237" s="3">
        <f t="array" ref="N237">xlookup(M237,Sheet2!A:A,Sheet2!B:B)</f>
        <v>5</v>
      </c>
      <c r="O237" s="3" t="s">
        <v>619</v>
      </c>
      <c r="P237" s="4" t="str">
        <f t="shared" si="1"/>
        <v>235 : [15,19,5],</v>
      </c>
      <c r="Q237" s="4" t="str">
        <f t="shared" si="2"/>
        <v>235 : 0,</v>
      </c>
    </row>
    <row r="238">
      <c r="A238" s="3" t="s">
        <v>103</v>
      </c>
      <c r="B238" s="5">
        <v>306645.0</v>
      </c>
      <c r="C238" s="10">
        <v>236.0</v>
      </c>
      <c r="D238" s="3" t="s">
        <v>60</v>
      </c>
      <c r="E238" s="3">
        <f t="array" ref="E238">xlookup(D238,Sheet3!A:A,Sheet3!B:B)</f>
        <v>4</v>
      </c>
      <c r="F238" s="3" t="s">
        <v>15</v>
      </c>
      <c r="G238" s="3">
        <f t="array" ref="G238">xlookup(F238,Sheet2!A:A,Sheet2!B:B)</f>
        <v>0</v>
      </c>
      <c r="H238" s="3" t="s">
        <v>3</v>
      </c>
      <c r="I238" s="3" t="str">
        <f t="array" ref="I238">JOIN("", SORT(MID(LOWER(H238), SEQUENCE(LEN(H238)), 1)))</f>
        <v>an</v>
      </c>
      <c r="J238" s="3" t="s">
        <v>16</v>
      </c>
      <c r="K238" s="3">
        <f t="array" ref="K238">xlookup(J238,Sheet2!A:A,Sheet2!B:B)</f>
        <v>3</v>
      </c>
      <c r="L238" s="3" t="s">
        <v>3</v>
      </c>
      <c r="M238" s="3" t="s">
        <v>5</v>
      </c>
      <c r="N238" s="3">
        <f t="array" ref="N238">xlookup(M238,Sheet2!A:A,Sheet2!B:B)</f>
        <v>35</v>
      </c>
      <c r="O238" s="3" t="s">
        <v>3</v>
      </c>
      <c r="P238" s="4" t="str">
        <f t="shared" si="1"/>
        <v>236 : [0,3,35],</v>
      </c>
      <c r="Q238" s="4" t="str">
        <f t="shared" si="2"/>
        <v>236 : 4,</v>
      </c>
    </row>
    <row r="239">
      <c r="A239" s="3" t="s">
        <v>620</v>
      </c>
      <c r="B239" s="5">
        <v>127437.0</v>
      </c>
      <c r="C239" s="10">
        <v>237.0</v>
      </c>
      <c r="D239" s="3" t="s">
        <v>459</v>
      </c>
      <c r="E239" s="3">
        <f t="array" ref="E239">xlookup(D239,Sheet3!A:A,Sheet3!B:B)</f>
        <v>0</v>
      </c>
      <c r="F239" s="3" t="s">
        <v>18</v>
      </c>
      <c r="G239" s="3">
        <f t="array" ref="G239">xlookup(F239,Sheet2!A:A,Sheet2!B:B)</f>
        <v>22</v>
      </c>
      <c r="H239" s="3" t="s">
        <v>621</v>
      </c>
      <c r="I239" s="3" t="str">
        <f t="array" ref="I239">JOIN("", SORT(MID(LOWER(H239), SEQUENCE(LEN(H239)), 1)))</f>
        <v>      ,,aaaaaaaaadefhiiiiklllmnnnoprrsssyy</v>
      </c>
      <c r="J239" s="3" t="s">
        <v>21</v>
      </c>
      <c r="K239" s="3">
        <f t="array" ref="K239">xlookup(J239,Sheet2!A:A,Sheet2!B:B)</f>
        <v>10</v>
      </c>
      <c r="L239" s="3" t="s">
        <v>621</v>
      </c>
      <c r="M239" s="3" t="s">
        <v>42</v>
      </c>
      <c r="N239" s="3">
        <f t="array" ref="N239">xlookup(M239,Sheet2!A:A,Sheet2!B:B)</f>
        <v>14</v>
      </c>
      <c r="O239" s="3" t="s">
        <v>621</v>
      </c>
      <c r="P239" s="4" t="str">
        <f t="shared" si="1"/>
        <v>237 : [22,10,14],</v>
      </c>
      <c r="Q239" s="4" t="str">
        <f t="shared" si="2"/>
        <v>237 : 0,</v>
      </c>
    </row>
    <row r="240">
      <c r="A240" s="3" t="s">
        <v>384</v>
      </c>
      <c r="B240" s="5">
        <v>136455.0</v>
      </c>
      <c r="C240" s="10">
        <v>238.0</v>
      </c>
      <c r="D240" s="3" t="s">
        <v>282</v>
      </c>
      <c r="E240" s="3">
        <f t="array" ref="E240">xlookup(D240,Sheet3!A:A,Sheet3!B:B)</f>
        <v>1</v>
      </c>
      <c r="F240" s="3" t="s">
        <v>105</v>
      </c>
      <c r="G240" s="3">
        <f t="array" ref="G240">xlookup(F240,Sheet2!A:A,Sheet2!B:B)</f>
        <v>26</v>
      </c>
      <c r="H240" s="3" t="s">
        <v>3</v>
      </c>
      <c r="I240" s="3" t="str">
        <f t="array" ref="I240">JOIN("", SORT(MID(LOWER(H240), SEQUENCE(LEN(H240)), 1)))</f>
        <v>an</v>
      </c>
      <c r="J240" s="3" t="s">
        <v>2</v>
      </c>
      <c r="K240" s="3">
        <f t="array" ref="K240">xlookup(J240,Sheet2!A:A,Sheet2!B:B)</f>
        <v>25</v>
      </c>
      <c r="L240" s="3" t="s">
        <v>3</v>
      </c>
      <c r="M240" s="3" t="s">
        <v>167</v>
      </c>
      <c r="N240" s="3">
        <f t="array" ref="N240">xlookup(M240,Sheet2!A:A,Sheet2!B:B)</f>
        <v>33</v>
      </c>
      <c r="O240" s="3" t="s">
        <v>3</v>
      </c>
      <c r="P240" s="4" t="str">
        <f t="shared" si="1"/>
        <v>238 : [26,25,33],</v>
      </c>
      <c r="Q240" s="4" t="str">
        <f t="shared" si="2"/>
        <v>238 : 1,</v>
      </c>
    </row>
    <row r="241">
      <c r="A241" s="3" t="s">
        <v>622</v>
      </c>
      <c r="B241" s="5">
        <v>119813.0</v>
      </c>
      <c r="C241" s="10">
        <v>239.0</v>
      </c>
      <c r="D241" s="3" t="s">
        <v>459</v>
      </c>
      <c r="E241" s="3">
        <f t="array" ref="E241">xlookup(D241,Sheet3!A:A,Sheet3!B:B)</f>
        <v>0</v>
      </c>
      <c r="F241" s="3" t="s">
        <v>18</v>
      </c>
      <c r="G241" s="3">
        <f t="array" ref="G241">xlookup(F241,Sheet2!A:A,Sheet2!B:B)</f>
        <v>22</v>
      </c>
      <c r="H241" s="3" t="s">
        <v>623</v>
      </c>
      <c r="I241" s="3" t="str">
        <f t="array" ref="I241">JOIN("", SORT(MID(LOWER(H241), SEQUENCE(LEN(H241)), 1)))</f>
        <v>     ,,aaaaaaaaadefhiiiiklllmnnnoprrsssyy</v>
      </c>
      <c r="J241" s="3" t="s">
        <v>21</v>
      </c>
      <c r="K241" s="3">
        <f t="array" ref="K241">xlookup(J241,Sheet2!A:A,Sheet2!B:B)</f>
        <v>10</v>
      </c>
      <c r="L241" s="3" t="s">
        <v>624</v>
      </c>
      <c r="M241" s="3" t="s">
        <v>42</v>
      </c>
      <c r="N241" s="3">
        <f t="array" ref="N241">xlookup(M241,Sheet2!A:A,Sheet2!B:B)</f>
        <v>14</v>
      </c>
      <c r="O241" s="3" t="s">
        <v>623</v>
      </c>
      <c r="P241" s="4" t="str">
        <f t="shared" si="1"/>
        <v>239 : [22,10,14],</v>
      </c>
      <c r="Q241" s="4" t="str">
        <f t="shared" si="2"/>
        <v>239 : 0,</v>
      </c>
    </row>
    <row r="242">
      <c r="A242" s="3" t="s">
        <v>137</v>
      </c>
      <c r="B242" s="5">
        <v>110176.0</v>
      </c>
      <c r="C242" s="10">
        <v>240.0</v>
      </c>
      <c r="D242" s="3" t="s">
        <v>118</v>
      </c>
      <c r="E242" s="3">
        <f t="array" ref="E242">xlookup(D242,Sheet3!A:A,Sheet3!B:B)</f>
        <v>3</v>
      </c>
      <c r="F242" s="3" t="s">
        <v>35</v>
      </c>
      <c r="G242" s="3">
        <f t="array" ref="G242">xlookup(F242,Sheet2!A:A,Sheet2!B:B)</f>
        <v>45</v>
      </c>
      <c r="H242" s="3" t="s">
        <v>137</v>
      </c>
      <c r="I242" s="3" t="str">
        <f t="array" ref="I242">JOIN("", SORT(MID(LOWER(H242), SEQUENCE(LEN(H242)), 1)))</f>
        <v> aaabhhiillrst</v>
      </c>
      <c r="J242" s="3" t="s">
        <v>26</v>
      </c>
      <c r="K242" s="3">
        <f t="array" ref="K242">xlookup(J242,Sheet2!A:A,Sheet2!B:B)</f>
        <v>7</v>
      </c>
      <c r="L242" s="3" t="s">
        <v>137</v>
      </c>
      <c r="M242" s="3" t="s">
        <v>25</v>
      </c>
      <c r="N242" s="3">
        <f t="array" ref="N242">xlookup(M242,Sheet2!A:A,Sheet2!B:B)</f>
        <v>18</v>
      </c>
      <c r="O242" s="3" t="s">
        <v>137</v>
      </c>
      <c r="P242" s="4" t="str">
        <f t="shared" si="1"/>
        <v>240 : [45,7,18],</v>
      </c>
      <c r="Q242" s="4" t="str">
        <f t="shared" si="2"/>
        <v>240 : 3,</v>
      </c>
    </row>
    <row r="243">
      <c r="A243" s="3" t="s">
        <v>625</v>
      </c>
      <c r="B243" s="5">
        <v>171928.0</v>
      </c>
      <c r="C243" s="10">
        <v>241.0</v>
      </c>
      <c r="D243" s="3" t="s">
        <v>459</v>
      </c>
      <c r="E243" s="3">
        <f t="array" ref="E243">xlookup(D243,Sheet3!A:A,Sheet3!B:B)</f>
        <v>0</v>
      </c>
      <c r="F243" s="3" t="s">
        <v>238</v>
      </c>
      <c r="G243" s="3">
        <f t="array" ref="G243">xlookup(F243,Sheet2!A:A,Sheet2!B:B)</f>
        <v>37</v>
      </c>
      <c r="H243" s="3" t="s">
        <v>3</v>
      </c>
      <c r="I243" s="3" t="str">
        <f t="array" ref="I243">JOIN("", SORT(MID(LOWER(H243), SEQUENCE(LEN(H243)), 1)))</f>
        <v>an</v>
      </c>
      <c r="J243" s="3" t="s">
        <v>76</v>
      </c>
      <c r="K243" s="3">
        <f t="array" ref="K243">xlookup(J243,Sheet2!A:A,Sheet2!B:B)</f>
        <v>24</v>
      </c>
      <c r="L243" s="3" t="s">
        <v>3</v>
      </c>
      <c r="M243" s="3" t="s">
        <v>191</v>
      </c>
      <c r="N243" s="3">
        <f t="array" ref="N243">xlookup(M243,Sheet2!A:A,Sheet2!B:B)</f>
        <v>39</v>
      </c>
      <c r="O243" s="3" t="s">
        <v>3</v>
      </c>
      <c r="P243" s="4" t="str">
        <f t="shared" si="1"/>
        <v>241 : [37,24,39],</v>
      </c>
      <c r="Q243" s="4" t="str">
        <f t="shared" si="2"/>
        <v>241 : 0,</v>
      </c>
    </row>
    <row r="244">
      <c r="A244" s="3" t="s">
        <v>385</v>
      </c>
      <c r="B244" s="5">
        <v>119856.0</v>
      </c>
      <c r="C244" s="10">
        <v>242.0</v>
      </c>
      <c r="D244" s="3" t="s">
        <v>282</v>
      </c>
      <c r="E244" s="3">
        <f t="array" ref="E244">xlookup(D244,Sheet3!A:A,Sheet3!B:B)</f>
        <v>1</v>
      </c>
      <c r="F244" s="3" t="s">
        <v>18</v>
      </c>
      <c r="G244" s="3">
        <f t="array" ref="G244">xlookup(F244,Sheet2!A:A,Sheet2!B:B)</f>
        <v>22</v>
      </c>
      <c r="H244" s="3" t="s">
        <v>386</v>
      </c>
      <c r="I244" s="3" t="str">
        <f t="array" ref="I244">JOIN("", SORT(MID(LOWER(H244), SEQUENCE(LEN(H244)), 1)))</f>
        <v>      ,,aaaaaaaaadefhiiiiklllmnnnoprrsssyy</v>
      </c>
      <c r="J244" s="3" t="s">
        <v>21</v>
      </c>
      <c r="K244" s="3">
        <f t="array" ref="K244">xlookup(J244,Sheet2!A:A,Sheet2!B:B)</f>
        <v>10</v>
      </c>
      <c r="L244" s="3" t="s">
        <v>386</v>
      </c>
      <c r="M244" s="3" t="s">
        <v>42</v>
      </c>
      <c r="N244" s="3">
        <f t="array" ref="N244">xlookup(M244,Sheet2!A:A,Sheet2!B:B)</f>
        <v>14</v>
      </c>
      <c r="O244" s="3" t="s">
        <v>386</v>
      </c>
      <c r="P244" s="4" t="str">
        <f t="shared" si="1"/>
        <v>242 : [22,10,14],</v>
      </c>
      <c r="Q244" s="4" t="str">
        <f t="shared" si="2"/>
        <v>242 : 1,</v>
      </c>
    </row>
    <row r="245">
      <c r="A245" s="3" t="s">
        <v>104</v>
      </c>
      <c r="B245" s="5">
        <v>323614.0</v>
      </c>
      <c r="C245" s="10">
        <v>243.0</v>
      </c>
      <c r="D245" s="3" t="s">
        <v>60</v>
      </c>
      <c r="E245" s="3">
        <f t="array" ref="E245">xlookup(D245,Sheet3!A:A,Sheet3!B:B)</f>
        <v>4</v>
      </c>
      <c r="F245" s="3" t="s">
        <v>2</v>
      </c>
      <c r="G245" s="3">
        <f t="array" ref="G245">xlookup(F245,Sheet2!A:A,Sheet2!B:B)</f>
        <v>25</v>
      </c>
      <c r="H245" s="3" t="s">
        <v>3</v>
      </c>
      <c r="I245" s="3" t="str">
        <f t="array" ref="I245">JOIN("", SORT(MID(LOWER(H245), SEQUENCE(LEN(H245)), 1)))</f>
        <v>an</v>
      </c>
      <c r="J245" s="3" t="s">
        <v>39</v>
      </c>
      <c r="K245" s="3">
        <f t="array" ref="K245">xlookup(J245,Sheet2!A:A,Sheet2!B:B)</f>
        <v>20</v>
      </c>
      <c r="L245" s="3" t="s">
        <v>3</v>
      </c>
      <c r="M245" s="3" t="s">
        <v>105</v>
      </c>
      <c r="N245" s="3">
        <f t="array" ref="N245">xlookup(M245,Sheet2!A:A,Sheet2!B:B)</f>
        <v>26</v>
      </c>
      <c r="O245" s="3" t="s">
        <v>3</v>
      </c>
      <c r="P245" s="4" t="str">
        <f t="shared" si="1"/>
        <v>243 : [25,20,26],</v>
      </c>
      <c r="Q245" s="4" t="str">
        <f t="shared" si="2"/>
        <v>243 : 4,</v>
      </c>
    </row>
    <row r="246">
      <c r="A246" s="3" t="s">
        <v>387</v>
      </c>
      <c r="B246" s="5">
        <v>110246.0</v>
      </c>
      <c r="C246" s="10">
        <v>244.0</v>
      </c>
      <c r="D246" s="3" t="s">
        <v>282</v>
      </c>
      <c r="E246" s="3">
        <f t="array" ref="E246">xlookup(D246,Sheet3!A:A,Sheet3!B:B)</f>
        <v>1</v>
      </c>
      <c r="F246" s="3" t="s">
        <v>30</v>
      </c>
      <c r="G246" s="3">
        <f t="array" ref="G246">xlookup(F246,Sheet2!A:A,Sheet2!B:B)</f>
        <v>13</v>
      </c>
      <c r="H246" s="3" t="s">
        <v>388</v>
      </c>
      <c r="I246" s="3" t="str">
        <f t="array" ref="I246">JOIN("", SORT(MID(LOWER(H246), SEQUENCE(LEN(H246)), 1)))</f>
        <v>     ,,aaaaaaaabddeeggghhhhiiiiilllmmnnnoprrrrrrrrsssuwy</v>
      </c>
      <c r="J246" s="3" t="s">
        <v>114</v>
      </c>
      <c r="K246" s="3">
        <f t="array" ref="K246">xlookup(J246,Sheet2!A:A,Sheet2!B:B)</f>
        <v>12</v>
      </c>
      <c r="L246" s="3" t="s">
        <v>388</v>
      </c>
      <c r="M246" s="3" t="s">
        <v>32</v>
      </c>
      <c r="N246" s="3">
        <f t="array" ref="N246">xlookup(M246,Sheet2!A:A,Sheet2!B:B)</f>
        <v>11</v>
      </c>
      <c r="O246" s="3" t="s">
        <v>388</v>
      </c>
      <c r="P246" s="4" t="str">
        <f t="shared" si="1"/>
        <v>244 : [13,12,11],</v>
      </c>
      <c r="Q246" s="4" t="str">
        <f t="shared" si="2"/>
        <v>244 : 1,</v>
      </c>
    </row>
    <row r="247">
      <c r="A247" s="3" t="s">
        <v>626</v>
      </c>
      <c r="B247" s="5">
        <v>173955.0</v>
      </c>
      <c r="C247" s="10">
        <v>245.0</v>
      </c>
      <c r="D247" s="3" t="s">
        <v>459</v>
      </c>
      <c r="E247" s="3">
        <f t="array" ref="E247">xlookup(D247,Sheet3!A:A,Sheet3!B:B)</f>
        <v>0</v>
      </c>
      <c r="F247" s="3" t="s">
        <v>401</v>
      </c>
      <c r="G247" s="3">
        <f t="array" ref="G247">xlookup(F247,Sheet2!A:A,Sheet2!B:B)</f>
        <v>38</v>
      </c>
      <c r="H247" s="3" t="s">
        <v>455</v>
      </c>
      <c r="I247" s="3" t="str">
        <f t="array" ref="I247">JOIN("", SORT(MID(LOWER(H247), SEQUENCE(LEN(H247)), 1)))</f>
        <v>an</v>
      </c>
      <c r="J247" s="3" t="s">
        <v>238</v>
      </c>
      <c r="K247" s="3">
        <f t="array" ref="K247">xlookup(J247,Sheet2!A:A,Sheet2!B:B)</f>
        <v>37</v>
      </c>
      <c r="L247" s="3" t="s">
        <v>455</v>
      </c>
      <c r="M247" s="3" t="s">
        <v>309</v>
      </c>
      <c r="N247" s="3">
        <f t="array" ref="N247">xlookup(M247,Sheet2!A:A,Sheet2!B:B)</f>
        <v>40</v>
      </c>
      <c r="O247" s="3" t="s">
        <v>455</v>
      </c>
      <c r="P247" s="4" t="str">
        <f t="shared" si="1"/>
        <v>245 : [38,37,40],</v>
      </c>
      <c r="Q247" s="4" t="str">
        <f t="shared" si="2"/>
        <v>245 : 0,</v>
      </c>
    </row>
    <row r="248">
      <c r="A248" s="3" t="s">
        <v>138</v>
      </c>
      <c r="B248" s="5">
        <v>136893.0</v>
      </c>
      <c r="C248" s="10">
        <v>246.0</v>
      </c>
      <c r="D248" s="3" t="s">
        <v>118</v>
      </c>
      <c r="E248" s="3">
        <f t="array" ref="E248">xlookup(D248,Sheet3!A:A,Sheet3!B:B)</f>
        <v>3</v>
      </c>
      <c r="F248" s="3" t="s">
        <v>139</v>
      </c>
      <c r="G248" s="3">
        <f t="array" ref="G248">xlookup(F248,Sheet2!A:A,Sheet2!B:B)</f>
        <v>21</v>
      </c>
      <c r="H248" s="3" t="s">
        <v>140</v>
      </c>
      <c r="I248" s="3" t="str">
        <f t="array" ref="I248">JOIN("", SORT(MID(LOWER(H248), SEQUENCE(LEN(H248)), 1)))</f>
        <v>     ,,aaaaghiillmnnnooorrrrssstuuuuvz</v>
      </c>
      <c r="J248" s="3" t="s">
        <v>34</v>
      </c>
      <c r="K248" s="3">
        <f t="array" ref="K248">xlookup(J248,Sheet2!A:A,Sheet2!B:B)</f>
        <v>8</v>
      </c>
      <c r="L248" s="3" t="s">
        <v>140</v>
      </c>
      <c r="M248" s="3" t="s">
        <v>28</v>
      </c>
      <c r="N248" s="3">
        <f t="array" ref="N248">xlookup(M248,Sheet2!A:A,Sheet2!B:B)</f>
        <v>32</v>
      </c>
      <c r="O248" s="3" t="s">
        <v>140</v>
      </c>
      <c r="P248" s="4" t="str">
        <f t="shared" si="1"/>
        <v>246 : [21,8,32],</v>
      </c>
      <c r="Q248" s="4" t="str">
        <f t="shared" si="2"/>
        <v>246 : 3,</v>
      </c>
    </row>
    <row r="249">
      <c r="A249" s="3" t="s">
        <v>141</v>
      </c>
      <c r="B249" s="5">
        <v>136788.0</v>
      </c>
      <c r="C249" s="10">
        <v>247.0</v>
      </c>
      <c r="D249" s="3" t="s">
        <v>118</v>
      </c>
      <c r="E249" s="3">
        <f t="array" ref="E249">xlookup(D249,Sheet3!A:A,Sheet3!B:B)</f>
        <v>3</v>
      </c>
      <c r="F249" s="3" t="s">
        <v>139</v>
      </c>
      <c r="G249" s="3">
        <f t="array" ref="G249">xlookup(F249,Sheet2!A:A,Sheet2!B:B)</f>
        <v>21</v>
      </c>
      <c r="H249" s="3" t="s">
        <v>140</v>
      </c>
      <c r="I249" s="3" t="str">
        <f t="array" ref="I249">JOIN("", SORT(MID(LOWER(H249), SEQUENCE(LEN(H249)), 1)))</f>
        <v>     ,,aaaaghiillmnnnooorrrrssstuuuuvz</v>
      </c>
      <c r="J249" s="3" t="s">
        <v>34</v>
      </c>
      <c r="K249" s="3">
        <f t="array" ref="K249">xlookup(J249,Sheet2!A:A,Sheet2!B:B)</f>
        <v>8</v>
      </c>
      <c r="L249" s="3" t="s">
        <v>140</v>
      </c>
      <c r="M249" s="3" t="s">
        <v>28</v>
      </c>
      <c r="N249" s="3">
        <f t="array" ref="N249">xlookup(M249,Sheet2!A:A,Sheet2!B:B)</f>
        <v>32</v>
      </c>
      <c r="O249" s="3" t="s">
        <v>140</v>
      </c>
      <c r="P249" s="4" t="str">
        <f t="shared" si="1"/>
        <v>247 : [21,8,32],</v>
      </c>
      <c r="Q249" s="4" t="str">
        <f t="shared" si="2"/>
        <v>247 : 3,</v>
      </c>
    </row>
    <row r="250">
      <c r="A250" s="3" t="s">
        <v>142</v>
      </c>
      <c r="B250" s="5">
        <v>136796.0</v>
      </c>
      <c r="C250" s="10">
        <v>248.0</v>
      </c>
      <c r="D250" s="3" t="s">
        <v>118</v>
      </c>
      <c r="E250" s="3">
        <f t="array" ref="E250">xlookup(D250,Sheet3!A:A,Sheet3!B:B)</f>
        <v>3</v>
      </c>
      <c r="F250" s="3" t="s">
        <v>139</v>
      </c>
      <c r="G250" s="3">
        <f t="array" ref="G250">xlookup(F250,Sheet2!A:A,Sheet2!B:B)</f>
        <v>21</v>
      </c>
      <c r="H250" s="3" t="s">
        <v>143</v>
      </c>
      <c r="I250" s="3" t="str">
        <f t="array" ref="I250">JOIN("", SORT(MID(LOWER(H250), SEQUENCE(LEN(H250)), 1)))</f>
        <v>     ,,aaaaghiillmnnnooorrrrssstuuuuvz</v>
      </c>
      <c r="J250" s="3" t="s">
        <v>34</v>
      </c>
      <c r="K250" s="3">
        <f t="array" ref="K250">xlookup(J250,Sheet2!A:A,Sheet2!B:B)</f>
        <v>8</v>
      </c>
      <c r="L250" s="3" t="s">
        <v>143</v>
      </c>
      <c r="M250" s="3" t="s">
        <v>28</v>
      </c>
      <c r="N250" s="3">
        <f t="array" ref="N250">xlookup(M250,Sheet2!A:A,Sheet2!B:B)</f>
        <v>32</v>
      </c>
      <c r="O250" s="3" t="s">
        <v>143</v>
      </c>
      <c r="P250" s="4" t="str">
        <f t="shared" si="1"/>
        <v>248 : [21,8,32],</v>
      </c>
      <c r="Q250" s="4" t="str">
        <f t="shared" si="2"/>
        <v>248 : 3,</v>
      </c>
    </row>
    <row r="251">
      <c r="A251" s="3" t="s">
        <v>627</v>
      </c>
      <c r="B251" s="5">
        <v>304150.0</v>
      </c>
      <c r="C251" s="10">
        <v>249.0</v>
      </c>
      <c r="D251" s="3" t="s">
        <v>459</v>
      </c>
      <c r="E251" s="3">
        <f t="array" ref="E251">xlookup(D251,Sheet3!A:A,Sheet3!B:B)</f>
        <v>0</v>
      </c>
      <c r="F251" s="3" t="s">
        <v>76</v>
      </c>
      <c r="G251" s="3">
        <f t="array" ref="G251">xlookup(F251,Sheet2!A:A,Sheet2!B:B)</f>
        <v>24</v>
      </c>
      <c r="H251" s="3" t="s">
        <v>628</v>
      </c>
      <c r="I251" s="3" t="str">
        <f t="array" ref="I251">JOIN("", SORT(MID(LOWER(H251), SEQUENCE(LEN(H251)), 1)))</f>
        <v>    ,aadeegghhjlllmmnnnnooosyy</v>
      </c>
      <c r="J251" s="3" t="s">
        <v>74</v>
      </c>
      <c r="K251" s="3">
        <f t="array" ref="K251">xlookup(J251,Sheet2!A:A,Sheet2!B:B)</f>
        <v>50</v>
      </c>
      <c r="L251" s="3" t="s">
        <v>629</v>
      </c>
      <c r="M251" s="3" t="s">
        <v>10</v>
      </c>
      <c r="N251" s="3">
        <f t="array" ref="N251">xlookup(M251,Sheet2!A:A,Sheet2!B:B)</f>
        <v>9</v>
      </c>
      <c r="O251" s="3" t="s">
        <v>629</v>
      </c>
      <c r="P251" s="4" t="str">
        <f t="shared" si="1"/>
        <v>249 : [24,50,9],</v>
      </c>
      <c r="Q251" s="4" t="str">
        <f t="shared" si="2"/>
        <v>249 : 0,</v>
      </c>
    </row>
    <row r="252">
      <c r="A252" s="3" t="s">
        <v>630</v>
      </c>
      <c r="B252" s="5">
        <v>149804.0</v>
      </c>
      <c r="C252" s="10">
        <v>250.0</v>
      </c>
      <c r="D252" s="3" t="s">
        <v>459</v>
      </c>
      <c r="E252" s="3">
        <f t="array" ref="E252">xlookup(D252,Sheet3!A:A,Sheet3!B:B)</f>
        <v>0</v>
      </c>
      <c r="F252" s="3" t="s">
        <v>7</v>
      </c>
      <c r="G252" s="3">
        <f t="array" ref="G252">xlookup(F252,Sheet2!A:A,Sheet2!B:B)</f>
        <v>15</v>
      </c>
      <c r="H252" s="3" t="s">
        <v>632</v>
      </c>
      <c r="I252" s="3" t="str">
        <f t="array" ref="I252">JOIN("", SORT(MID(LOWER(H252), SEQUENCE(LEN(H252)), 1)))</f>
        <v>      ,::aaaaabeeeeeiillmmmmmmrsstxy</v>
      </c>
      <c r="J252" s="3" t="s">
        <v>125</v>
      </c>
      <c r="K252" s="3">
        <f t="array" ref="K252">xlookup(J252,Sheet2!A:A,Sheet2!B:B)</f>
        <v>19</v>
      </c>
      <c r="L252" s="3" t="s">
        <v>632</v>
      </c>
      <c r="M252" s="3" t="s">
        <v>9</v>
      </c>
      <c r="N252" s="3">
        <f t="array" ref="N252">xlookup(M252,Sheet2!A:A,Sheet2!B:B)</f>
        <v>5</v>
      </c>
      <c r="O252" s="3" t="s">
        <v>632</v>
      </c>
      <c r="P252" s="4" t="str">
        <f t="shared" si="1"/>
        <v>250 : [15,19,5],</v>
      </c>
      <c r="Q252" s="4" t="str">
        <f t="shared" si="2"/>
        <v>250 : 0,</v>
      </c>
    </row>
    <row r="253">
      <c r="A253" s="3" t="s">
        <v>106</v>
      </c>
      <c r="B253" s="5">
        <v>110137.0</v>
      </c>
      <c r="C253" s="10">
        <v>251.0</v>
      </c>
      <c r="D253" s="3" t="s">
        <v>60</v>
      </c>
      <c r="E253" s="3">
        <f t="array" ref="E253">xlookup(D253,Sheet3!A:A,Sheet3!B:B)</f>
        <v>4</v>
      </c>
      <c r="F253" s="3" t="s">
        <v>15</v>
      </c>
      <c r="G253" s="3">
        <f t="array" ref="G253">xlookup(F253,Sheet2!A:A,Sheet2!B:B)</f>
        <v>0</v>
      </c>
      <c r="H253" s="3" t="s">
        <v>3</v>
      </c>
      <c r="I253" s="3" t="str">
        <f t="array" ref="I253">JOIN("", SORT(MID(LOWER(H253), SEQUENCE(LEN(H253)), 1)))</f>
        <v>an</v>
      </c>
      <c r="J253" s="3" t="s">
        <v>16</v>
      </c>
      <c r="K253" s="3">
        <f t="array" ref="K253">xlookup(J253,Sheet2!A:A,Sheet2!B:B)</f>
        <v>3</v>
      </c>
      <c r="L253" s="3" t="s">
        <v>3</v>
      </c>
      <c r="M253" s="3" t="s">
        <v>12</v>
      </c>
      <c r="N253" s="3">
        <f t="array" ref="N253">xlookup(M253,Sheet2!A:A,Sheet2!B:B)</f>
        <v>41</v>
      </c>
      <c r="O253" s="3" t="s">
        <v>3</v>
      </c>
      <c r="P253" s="4" t="str">
        <f t="shared" si="1"/>
        <v>251 : [0,3,41],</v>
      </c>
      <c r="Q253" s="4" t="str">
        <f t="shared" si="2"/>
        <v>251 : 4,</v>
      </c>
    </row>
    <row r="254">
      <c r="A254" s="3" t="s">
        <v>633</v>
      </c>
      <c r="B254" s="5">
        <v>114084.0</v>
      </c>
      <c r="C254" s="10">
        <v>252.0</v>
      </c>
      <c r="D254" s="3" t="s">
        <v>459</v>
      </c>
      <c r="E254" s="3">
        <f t="array" ref="E254">xlookup(D254,Sheet3!A:A,Sheet3!B:B)</f>
        <v>0</v>
      </c>
      <c r="F254" s="3" t="s">
        <v>72</v>
      </c>
      <c r="G254" s="3">
        <f t="array" ref="G254">xlookup(F254,Sheet2!A:A,Sheet2!B:B)</f>
        <v>34</v>
      </c>
      <c r="H254" s="3" t="s">
        <v>298</v>
      </c>
      <c r="I254" s="3" t="str">
        <f t="array" ref="I254">JOIN("", SORT(MID(LOWER(H254), SEQUENCE(LEN(H254)), 1)))</f>
        <v>   ,aaccdeeeeeeeiillllmqrrssssy</v>
      </c>
      <c r="J254" s="3" t="s">
        <v>74</v>
      </c>
      <c r="K254" s="3">
        <f t="array" ref="K254">xlookup(J254,Sheet2!A:A,Sheet2!B:B)</f>
        <v>50</v>
      </c>
      <c r="L254" s="3" t="s">
        <v>634</v>
      </c>
      <c r="M254" s="3" t="s">
        <v>9</v>
      </c>
      <c r="N254" s="3">
        <f t="array" ref="N254">xlookup(M254,Sheet2!A:A,Sheet2!B:B)</f>
        <v>5</v>
      </c>
      <c r="O254" s="3" t="s">
        <v>298</v>
      </c>
      <c r="P254" s="4" t="str">
        <f t="shared" si="1"/>
        <v>252 : [34,50,5],</v>
      </c>
      <c r="Q254" s="4" t="str">
        <f t="shared" si="2"/>
        <v>252 : 0,</v>
      </c>
    </row>
    <row r="255">
      <c r="A255" s="3" t="s">
        <v>232</v>
      </c>
      <c r="B255" s="5">
        <v>110452.0</v>
      </c>
      <c r="C255" s="10">
        <v>253.0</v>
      </c>
      <c r="D255" s="3" t="s">
        <v>153</v>
      </c>
      <c r="E255" s="3">
        <f t="array" ref="E255">xlookup(D255,Sheet3!A:A,Sheet3!B:B)</f>
        <v>2</v>
      </c>
      <c r="F255" s="3" t="s">
        <v>15</v>
      </c>
      <c r="G255" s="3">
        <f t="array" ref="G255">xlookup(F255,Sheet2!A:A,Sheet2!B:B)</f>
        <v>0</v>
      </c>
      <c r="H255" s="3" t="s">
        <v>3</v>
      </c>
      <c r="I255" s="3" t="str">
        <f t="array" ref="I255">JOIN("", SORT(MID(LOWER(H255), SEQUENCE(LEN(H255)), 1)))</f>
        <v>an</v>
      </c>
      <c r="J255" s="3" t="s">
        <v>16</v>
      </c>
      <c r="K255" s="3">
        <f t="array" ref="K255">xlookup(J255,Sheet2!A:A,Sheet2!B:B)</f>
        <v>3</v>
      </c>
      <c r="L255" s="3" t="s">
        <v>3</v>
      </c>
      <c r="M255" s="3" t="s">
        <v>5</v>
      </c>
      <c r="N255" s="3">
        <f t="array" ref="N255">xlookup(M255,Sheet2!A:A,Sheet2!B:B)</f>
        <v>35</v>
      </c>
      <c r="O255" s="3" t="s">
        <v>3</v>
      </c>
      <c r="P255" s="4" t="str">
        <f t="shared" si="1"/>
        <v>253 : [0,3,35],</v>
      </c>
      <c r="Q255" s="4" t="str">
        <f t="shared" si="2"/>
        <v>253 : 2,</v>
      </c>
    </row>
    <row r="256">
      <c r="A256" s="3" t="s">
        <v>635</v>
      </c>
      <c r="B256" s="5">
        <v>311055.0</v>
      </c>
      <c r="C256" s="10">
        <v>254.0</v>
      </c>
      <c r="D256" s="3" t="s">
        <v>459</v>
      </c>
      <c r="E256" s="3">
        <f t="array" ref="E256">xlookup(D256,Sheet3!A:A,Sheet3!B:B)</f>
        <v>0</v>
      </c>
      <c r="F256" s="3" t="s">
        <v>7</v>
      </c>
      <c r="G256" s="3">
        <f t="array" ref="G256">xlookup(F256,Sheet2!A:A,Sheet2!B:B)</f>
        <v>15</v>
      </c>
      <c r="H256" s="3" t="s">
        <v>636</v>
      </c>
      <c r="I256" s="3" t="str">
        <f t="array" ref="I256">JOIN("", SORT(MID(LOWER(H256), SEQUENCE(LEN(H256)), 1)))</f>
        <v>   ,aaaadeeejllmnprtxy</v>
      </c>
      <c r="J256" s="3" t="s">
        <v>238</v>
      </c>
      <c r="K256" s="3">
        <f t="array" ref="K256">xlookup(J256,Sheet2!A:A,Sheet2!B:B)</f>
        <v>37</v>
      </c>
      <c r="L256" s="3" t="s">
        <v>3</v>
      </c>
      <c r="M256" s="3" t="s">
        <v>465</v>
      </c>
      <c r="N256" s="3">
        <f t="array" ref="N256">xlookup(M256,Sheet2!A:A,Sheet2!B:B)</f>
        <v>36</v>
      </c>
      <c r="O256" s="3" t="s">
        <v>3</v>
      </c>
      <c r="P256" s="4" t="str">
        <f t="shared" si="1"/>
        <v>254 : [15,37,36],</v>
      </c>
      <c r="Q256" s="4" t="str">
        <f t="shared" si="2"/>
        <v>254 : 0,</v>
      </c>
    </row>
    <row r="257">
      <c r="A257" s="3" t="s">
        <v>389</v>
      </c>
      <c r="B257" s="5">
        <v>157686.0</v>
      </c>
      <c r="C257" s="10">
        <v>255.0</v>
      </c>
      <c r="D257" s="3" t="s">
        <v>282</v>
      </c>
      <c r="E257" s="3">
        <f t="array" ref="E257">xlookup(D257,Sheet3!A:A,Sheet3!B:B)</f>
        <v>1</v>
      </c>
      <c r="F257" s="3" t="s">
        <v>20</v>
      </c>
      <c r="G257" s="3">
        <f t="array" ref="G257">xlookup(F257,Sheet2!A:A,Sheet2!B:B)</f>
        <v>48</v>
      </c>
      <c r="H257" s="3" t="s">
        <v>390</v>
      </c>
      <c r="I257" s="3" t="str">
        <f t="array" ref="I257">JOIN("", SORT(MID(LOWER(H257), SEQUENCE(LEN(H257)), 1)))</f>
        <v>     ,,aaaaaaaaaaaaaccdeeehiijkklmnnnnnnorrrxy</v>
      </c>
      <c r="J257" s="3" t="s">
        <v>170</v>
      </c>
      <c r="K257" s="3">
        <f t="array" ref="K257">xlookup(J257,Sheet2!A:A,Sheet2!B:B)</f>
        <v>16</v>
      </c>
      <c r="L257" s="3" t="s">
        <v>390</v>
      </c>
      <c r="M257" s="3" t="s">
        <v>25</v>
      </c>
      <c r="N257" s="3">
        <f t="array" ref="N257">xlookup(M257,Sheet2!A:A,Sheet2!B:B)</f>
        <v>18</v>
      </c>
      <c r="O257" s="3" t="s">
        <v>390</v>
      </c>
      <c r="P257" s="4" t="str">
        <f t="shared" si="1"/>
        <v>255 : [48,16,18],</v>
      </c>
      <c r="Q257" s="4" t="str">
        <f t="shared" si="2"/>
        <v>255 : 1,</v>
      </c>
    </row>
    <row r="258">
      <c r="A258" s="3" t="s">
        <v>637</v>
      </c>
      <c r="B258" s="5">
        <v>195481.0</v>
      </c>
      <c r="C258" s="10">
        <v>256.0</v>
      </c>
      <c r="D258" s="3" t="s">
        <v>459</v>
      </c>
      <c r="E258" s="3">
        <f t="array" ref="E258">xlookup(D258,Sheet3!A:A,Sheet3!B:B)</f>
        <v>0</v>
      </c>
      <c r="F258" s="3" t="s">
        <v>109</v>
      </c>
      <c r="G258" s="3">
        <f t="array" ref="G258">xlookup(F258,Sheet2!A:A,Sheet2!B:B)</f>
        <v>49</v>
      </c>
      <c r="H258" s="3" t="s">
        <v>638</v>
      </c>
      <c r="I258" s="3" t="str">
        <f t="array" ref="I258">JOIN("", SORT(MID(LOWER(H258), SEQUENCE(LEN(H258)), 1)))</f>
        <v>     ,,aaaaaaaaabddeeggghhiiijkllmnnnnnorrrrsstuy</v>
      </c>
      <c r="J258" s="3" t="s">
        <v>184</v>
      </c>
      <c r="K258" s="3">
        <f t="array" ref="K258">xlookup(J258,Sheet2!A:A,Sheet2!B:B)</f>
        <v>4</v>
      </c>
      <c r="L258" s="3" t="s">
        <v>639</v>
      </c>
      <c r="M258" s="3" t="s">
        <v>63</v>
      </c>
      <c r="N258" s="3">
        <f t="array" ref="N258">xlookup(M258,Sheet2!A:A,Sheet2!B:B)</f>
        <v>29</v>
      </c>
      <c r="O258" s="3" t="s">
        <v>640</v>
      </c>
      <c r="P258" s="4" t="str">
        <f t="shared" si="1"/>
        <v>256 : [49,4,29],</v>
      </c>
      <c r="Q258" s="4" t="str">
        <f t="shared" si="2"/>
        <v>256 : 0,</v>
      </c>
    </row>
    <row r="259">
      <c r="A259" s="3" t="s">
        <v>641</v>
      </c>
      <c r="B259" s="5">
        <v>203347.0</v>
      </c>
      <c r="C259" s="10">
        <v>257.0</v>
      </c>
      <c r="D259" s="3" t="s">
        <v>459</v>
      </c>
      <c r="E259" s="3">
        <f t="array" ref="E259">xlookup(D259,Sheet3!A:A,Sheet3!B:B)</f>
        <v>0</v>
      </c>
      <c r="F259" s="3" t="s">
        <v>34</v>
      </c>
      <c r="G259" s="3">
        <f t="array" ref="G259">xlookup(F259,Sheet2!A:A,Sheet2!B:B)</f>
        <v>8</v>
      </c>
      <c r="H259" s="3" t="s">
        <v>3</v>
      </c>
      <c r="I259" s="3" t="str">
        <f t="array" ref="I259">JOIN("", SORT(MID(LOWER(H259), SEQUENCE(LEN(H259)), 1)))</f>
        <v>an</v>
      </c>
      <c r="J259" s="3" t="s">
        <v>109</v>
      </c>
      <c r="K259" s="3">
        <f t="array" ref="K259">xlookup(J259,Sheet2!A:A,Sheet2!B:B)</f>
        <v>49</v>
      </c>
      <c r="L259" s="3" t="s">
        <v>3</v>
      </c>
      <c r="M259" s="3" t="s">
        <v>20</v>
      </c>
      <c r="N259" s="3">
        <f t="array" ref="N259">xlookup(M259,Sheet2!A:A,Sheet2!B:B)</f>
        <v>48</v>
      </c>
      <c r="O259" s="3" t="s">
        <v>3</v>
      </c>
      <c r="P259" s="4" t="str">
        <f t="shared" si="1"/>
        <v>257 : [8,49,48],</v>
      </c>
      <c r="Q259" s="4" t="str">
        <f t="shared" si="2"/>
        <v>257 : 0,</v>
      </c>
    </row>
    <row r="260">
      <c r="A260" s="3" t="s">
        <v>391</v>
      </c>
      <c r="B260" s="5">
        <v>138182.0</v>
      </c>
      <c r="C260" s="10">
        <v>258.0</v>
      </c>
      <c r="D260" s="3" t="s">
        <v>282</v>
      </c>
      <c r="E260" s="3">
        <f t="array" ref="E260">xlookup(D260,Sheet3!A:A,Sheet3!B:B)</f>
        <v>1</v>
      </c>
      <c r="F260" s="3" t="s">
        <v>38</v>
      </c>
      <c r="G260" s="3">
        <f t="array" ref="G260">xlookup(F260,Sheet2!A:A,Sheet2!B:B)</f>
        <v>6</v>
      </c>
      <c r="H260" s="3" t="s">
        <v>3</v>
      </c>
      <c r="I260" s="3" t="str">
        <f t="array" ref="I260">JOIN("", SORT(MID(LOWER(H260), SEQUENCE(LEN(H260)), 1)))</f>
        <v>an</v>
      </c>
      <c r="J260" s="3" t="s">
        <v>167</v>
      </c>
      <c r="K260" s="3">
        <f t="array" ref="K260">xlookup(J260,Sheet2!A:A,Sheet2!B:B)</f>
        <v>33</v>
      </c>
      <c r="L260" s="3" t="s">
        <v>3</v>
      </c>
      <c r="M260" s="3" t="s">
        <v>40</v>
      </c>
      <c r="N260" s="3">
        <f t="array" ref="N260">xlookup(M260,Sheet2!A:A,Sheet2!B:B)</f>
        <v>44</v>
      </c>
      <c r="O260" s="3" t="s">
        <v>3</v>
      </c>
      <c r="P260" s="4" t="str">
        <f t="shared" si="1"/>
        <v>258 : [6,33,44],</v>
      </c>
      <c r="Q260" s="4" t="str">
        <f t="shared" si="2"/>
        <v>258 : 1,</v>
      </c>
    </row>
    <row r="261">
      <c r="A261" s="3" t="s">
        <v>643</v>
      </c>
      <c r="B261" s="5">
        <v>150429.0</v>
      </c>
      <c r="C261" s="10">
        <v>259.0</v>
      </c>
      <c r="D261" s="3" t="s">
        <v>459</v>
      </c>
      <c r="E261" s="3">
        <f t="array" ref="E261">xlookup(D261,Sheet3!A:A,Sheet3!B:B)</f>
        <v>0</v>
      </c>
      <c r="F261" s="3" t="s">
        <v>20</v>
      </c>
      <c r="G261" s="3">
        <f t="array" ref="G261">xlookup(F261,Sheet2!A:A,Sheet2!B:B)</f>
        <v>48</v>
      </c>
      <c r="H261" s="3" t="s">
        <v>644</v>
      </c>
      <c r="I261" s="3" t="str">
        <f t="array" ref="I261">JOIN("", SORT(MID(LOWER(H261), SEQUENCE(LEN(H261)), 1)))</f>
        <v>     ,,aaaaaaaaaaaaaccdeeehiijkklmnnnnnnorrrxy</v>
      </c>
      <c r="J261" s="3" t="s">
        <v>170</v>
      </c>
      <c r="K261" s="3">
        <f t="array" ref="K261">xlookup(J261,Sheet2!A:A,Sheet2!B:B)</f>
        <v>16</v>
      </c>
      <c r="L261" s="3" t="s">
        <v>644</v>
      </c>
      <c r="M261" s="3" t="s">
        <v>25</v>
      </c>
      <c r="N261" s="3">
        <f t="array" ref="N261">xlookup(M261,Sheet2!A:A,Sheet2!B:B)</f>
        <v>18</v>
      </c>
      <c r="O261" s="3" t="s">
        <v>644</v>
      </c>
      <c r="P261" s="4" t="str">
        <f t="shared" si="1"/>
        <v>259 : [48,16,18],</v>
      </c>
      <c r="Q261" s="4" t="str">
        <f t="shared" si="2"/>
        <v>259 : 0,</v>
      </c>
    </row>
    <row r="262">
      <c r="A262" s="3" t="s">
        <v>645</v>
      </c>
      <c r="B262" s="5">
        <v>148270.0</v>
      </c>
      <c r="C262" s="10">
        <v>260.0</v>
      </c>
      <c r="D262" s="3" t="s">
        <v>459</v>
      </c>
      <c r="E262" s="3">
        <f t="array" ref="E262">xlookup(D262,Sheet3!A:A,Sheet3!B:B)</f>
        <v>0</v>
      </c>
      <c r="F262" s="3" t="s">
        <v>18</v>
      </c>
      <c r="G262" s="3">
        <f t="array" ref="G262">xlookup(F262,Sheet2!A:A,Sheet2!B:B)</f>
        <v>22</v>
      </c>
      <c r="H262" s="3" t="s">
        <v>646</v>
      </c>
      <c r="I262" s="3" t="str">
        <f t="array" ref="I262">JOIN("", SORT(MID(LOWER(H262), SEQUENCE(LEN(H262)), 1)))</f>
        <v>   ,aaaaabbdeegiiillnnoopqrrsuu</v>
      </c>
      <c r="J262" s="3" t="s">
        <v>74</v>
      </c>
      <c r="K262" s="3">
        <f t="array" ref="K262">xlookup(J262,Sheet2!A:A,Sheet2!B:B)</f>
        <v>50</v>
      </c>
      <c r="L262" s="3" t="s">
        <v>646</v>
      </c>
      <c r="M262" s="3" t="s">
        <v>76</v>
      </c>
      <c r="N262" s="3">
        <f t="array" ref="N262">xlookup(M262,Sheet2!A:A,Sheet2!B:B)</f>
        <v>24</v>
      </c>
      <c r="O262" s="3" t="s">
        <v>646</v>
      </c>
      <c r="P262" s="4" t="str">
        <f t="shared" si="1"/>
        <v>260 : [22,50,24],</v>
      </c>
      <c r="Q262" s="4" t="str">
        <f t="shared" si="2"/>
        <v>260 : 0,</v>
      </c>
    </row>
    <row r="263">
      <c r="A263" s="3" t="s">
        <v>107</v>
      </c>
      <c r="B263" s="5">
        <v>152840.0</v>
      </c>
      <c r="C263" s="10">
        <v>261.0</v>
      </c>
      <c r="D263" s="3" t="s">
        <v>60</v>
      </c>
      <c r="E263" s="3">
        <f t="array" ref="E263">xlookup(D263,Sheet3!A:A,Sheet3!B:B)</f>
        <v>4</v>
      </c>
      <c r="F263" s="3" t="s">
        <v>25</v>
      </c>
      <c r="G263" s="3">
        <f t="array" ref="G263">xlookup(F263,Sheet2!A:A,Sheet2!B:B)</f>
        <v>18</v>
      </c>
      <c r="H263" s="3" t="s">
        <v>3</v>
      </c>
      <c r="I263" s="3" t="str">
        <f t="array" ref="I263">JOIN("", SORT(MID(LOWER(H263), SEQUENCE(LEN(H263)), 1)))</f>
        <v>an</v>
      </c>
      <c r="J263" s="3" t="s">
        <v>30</v>
      </c>
      <c r="K263" s="3">
        <f t="array" ref="K263">xlookup(J263,Sheet2!A:A,Sheet2!B:B)</f>
        <v>13</v>
      </c>
      <c r="L263" s="3" t="s">
        <v>3</v>
      </c>
      <c r="M263" s="3" t="s">
        <v>32</v>
      </c>
      <c r="N263" s="3">
        <f t="array" ref="N263">xlookup(M263,Sheet2!A:A,Sheet2!B:B)</f>
        <v>11</v>
      </c>
      <c r="O263" s="3" t="s">
        <v>3</v>
      </c>
      <c r="P263" s="4" t="str">
        <f t="shared" si="1"/>
        <v>261 : [18,13,11],</v>
      </c>
      <c r="Q263" s="4" t="str">
        <f t="shared" si="2"/>
        <v>261 : 4,</v>
      </c>
    </row>
    <row r="264">
      <c r="A264" s="3" t="s">
        <v>233</v>
      </c>
      <c r="B264" s="5">
        <v>138394.0</v>
      </c>
      <c r="C264" s="10">
        <v>262.0</v>
      </c>
      <c r="D264" s="3" t="s">
        <v>153</v>
      </c>
      <c r="E264" s="3">
        <f t="array" ref="E264">xlookup(D264,Sheet3!A:A,Sheet3!B:B)</f>
        <v>2</v>
      </c>
      <c r="F264" s="3" t="s">
        <v>2</v>
      </c>
      <c r="G264" s="3">
        <f t="array" ref="G264">xlookup(F264,Sheet2!A:A,Sheet2!B:B)</f>
        <v>25</v>
      </c>
      <c r="H264" s="3" t="s">
        <v>3</v>
      </c>
      <c r="I264" s="3" t="str">
        <f t="array" ref="I264">JOIN("", SORT(MID(LOWER(H264), SEQUENCE(LEN(H264)), 1)))</f>
        <v>an</v>
      </c>
      <c r="J264" s="3" t="s">
        <v>204</v>
      </c>
      <c r="K264" s="3">
        <f t="array" ref="K264">xlookup(J264,Sheet2!A:A,Sheet2!B:B)</f>
        <v>43</v>
      </c>
      <c r="L264" s="3" t="s">
        <v>3</v>
      </c>
      <c r="M264" s="3" t="s">
        <v>167</v>
      </c>
      <c r="N264" s="3">
        <f t="array" ref="N264">xlookup(M264,Sheet2!A:A,Sheet2!B:B)</f>
        <v>33</v>
      </c>
      <c r="O264" s="3" t="s">
        <v>3</v>
      </c>
      <c r="P264" s="4" t="str">
        <f t="shared" si="1"/>
        <v>262 : [25,43,33],</v>
      </c>
      <c r="Q264" s="4" t="str">
        <f t="shared" si="2"/>
        <v>262 : 2,</v>
      </c>
    </row>
    <row r="265">
      <c r="A265" s="3" t="s">
        <v>392</v>
      </c>
      <c r="B265" s="5">
        <v>186690.0</v>
      </c>
      <c r="C265" s="10">
        <v>263.0</v>
      </c>
      <c r="D265" s="3" t="s">
        <v>282</v>
      </c>
      <c r="E265" s="3">
        <f t="array" ref="E265">xlookup(D265,Sheet3!A:A,Sheet3!B:B)</f>
        <v>1</v>
      </c>
      <c r="F265" s="3" t="s">
        <v>207</v>
      </c>
      <c r="G265" s="3">
        <f t="array" ref="G265">xlookup(F265,Sheet2!A:A,Sheet2!B:B)</f>
        <v>1</v>
      </c>
      <c r="H265" s="3" t="s">
        <v>3</v>
      </c>
      <c r="I265" s="3" t="str">
        <f t="array" ref="I265">JOIN("", SORT(MID(LOWER(H265), SEQUENCE(LEN(H265)), 1)))</f>
        <v>an</v>
      </c>
      <c r="J265" s="3" t="s">
        <v>39</v>
      </c>
      <c r="K265" s="3">
        <f t="array" ref="K265">xlookup(J265,Sheet2!A:A,Sheet2!B:B)</f>
        <v>20</v>
      </c>
      <c r="L265" s="3" t="s">
        <v>3</v>
      </c>
      <c r="M265" s="3" t="s">
        <v>96</v>
      </c>
      <c r="N265" s="3">
        <f t="array" ref="N265">xlookup(M265,Sheet2!A:A,Sheet2!B:B)</f>
        <v>47</v>
      </c>
      <c r="O265" s="3" t="s">
        <v>3</v>
      </c>
      <c r="P265" s="4" t="str">
        <f t="shared" si="1"/>
        <v>263 : [1,20,47],</v>
      </c>
      <c r="Q265" s="4" t="str">
        <f t="shared" si="2"/>
        <v>263 : 1,</v>
      </c>
    </row>
    <row r="266">
      <c r="A266" s="3" t="s">
        <v>647</v>
      </c>
      <c r="B266" s="5">
        <v>189122.0</v>
      </c>
      <c r="C266" s="10">
        <v>264.0</v>
      </c>
      <c r="D266" s="3" t="s">
        <v>459</v>
      </c>
      <c r="E266" s="3">
        <f t="array" ref="E266">xlookup(D266,Sheet3!A:A,Sheet3!B:B)</f>
        <v>0</v>
      </c>
      <c r="F266" s="3" t="s">
        <v>64</v>
      </c>
      <c r="G266" s="3">
        <f t="array" ref="G266">xlookup(F266,Sheet2!A:A,Sheet2!B:B)</f>
        <v>30</v>
      </c>
      <c r="H266" s="3" t="s">
        <v>648</v>
      </c>
      <c r="I266" s="3" t="str">
        <f t="array" ref="I266">JOIN("", SORT(MID(LOWER(H266), SEQUENCE(LEN(H266)), 1)))</f>
        <v>   ,aaaaaddeeiiklmnnprrruvvwy</v>
      </c>
      <c r="J266" s="3" t="s">
        <v>111</v>
      </c>
      <c r="K266" s="3">
        <f t="array" ref="K266">xlookup(J266,Sheet2!A:A,Sheet2!B:B)</f>
        <v>28</v>
      </c>
      <c r="L266" s="3" t="s">
        <v>648</v>
      </c>
      <c r="M266" s="3" t="s">
        <v>47</v>
      </c>
      <c r="N266" s="3">
        <f t="array" ref="N266">xlookup(M266,Sheet2!A:A,Sheet2!B:B)</f>
        <v>27</v>
      </c>
      <c r="O266" s="3" t="s">
        <v>649</v>
      </c>
      <c r="P266" s="4" t="str">
        <f t="shared" si="1"/>
        <v>264 : [30,28,27],</v>
      </c>
      <c r="Q266" s="4" t="str">
        <f t="shared" si="2"/>
        <v>264 : 0,</v>
      </c>
    </row>
    <row r="267">
      <c r="A267" s="3" t="s">
        <v>650</v>
      </c>
      <c r="B267" s="5">
        <v>318753.0</v>
      </c>
      <c r="C267" s="10">
        <v>265.0</v>
      </c>
      <c r="D267" s="3" t="s">
        <v>459</v>
      </c>
      <c r="E267" s="3">
        <f t="array" ref="E267">xlookup(D267,Sheet3!A:A,Sheet3!B:B)</f>
        <v>0</v>
      </c>
      <c r="F267" s="3" t="s">
        <v>64</v>
      </c>
      <c r="G267" s="3">
        <f t="array" ref="G267">xlookup(F267,Sheet2!A:A,Sheet2!B:B)</f>
        <v>30</v>
      </c>
      <c r="H267" s="3" t="s">
        <v>651</v>
      </c>
      <c r="I267" s="3" t="str">
        <f t="array" ref="I267">JOIN("", SORT(MID(LOWER(H267), SEQUENCE(LEN(H267)), 1)))</f>
        <v>    ,aaaaaddddeeeiiklmnnprrrruvvwyy</v>
      </c>
      <c r="J267" s="3" t="s">
        <v>111</v>
      </c>
      <c r="K267" s="3">
        <f t="array" ref="K267">xlookup(J267,Sheet2!A:A,Sheet2!B:B)</f>
        <v>28</v>
      </c>
      <c r="L267" s="3" t="s">
        <v>651</v>
      </c>
      <c r="M267" s="3" t="s">
        <v>47</v>
      </c>
      <c r="N267" s="3">
        <f t="array" ref="N267">xlookup(M267,Sheet2!A:A,Sheet2!B:B)</f>
        <v>27</v>
      </c>
      <c r="O267" s="3" t="s">
        <v>651</v>
      </c>
      <c r="P267" s="4" t="str">
        <f t="shared" si="1"/>
        <v>265 : [30,28,27],</v>
      </c>
      <c r="Q267" s="4" t="str">
        <f t="shared" si="2"/>
        <v>265 : 0,</v>
      </c>
    </row>
    <row r="268">
      <c r="A268" s="3" t="s">
        <v>652</v>
      </c>
      <c r="B268" s="5">
        <v>151566.0</v>
      </c>
      <c r="C268" s="10">
        <v>266.0</v>
      </c>
      <c r="D268" s="3" t="s">
        <v>459</v>
      </c>
      <c r="E268" s="3">
        <f t="array" ref="E268">xlookup(D268,Sheet3!A:A,Sheet3!B:B)</f>
        <v>0</v>
      </c>
      <c r="F268" s="3" t="s">
        <v>18</v>
      </c>
      <c r="G268" s="3">
        <f t="array" ref="G268">xlookup(F268,Sheet2!A:A,Sheet2!B:B)</f>
        <v>22</v>
      </c>
      <c r="H268" s="3" t="s">
        <v>653</v>
      </c>
      <c r="I268" s="3" t="str">
        <f t="array" ref="I268">JOIN("", SORT(MID(LOWER(H268), SEQUENCE(LEN(H268)), 1)))</f>
        <v>     ,,aaaaaaaadggghhhhiikmnnnnoqrrstu</v>
      </c>
      <c r="J268" s="3" t="s">
        <v>64</v>
      </c>
      <c r="K268" s="3">
        <f t="array" ref="K268">xlookup(J268,Sheet2!A:A,Sheet2!B:B)</f>
        <v>30</v>
      </c>
      <c r="L268" s="3" t="s">
        <v>653</v>
      </c>
      <c r="M268" s="3" t="s">
        <v>61</v>
      </c>
      <c r="N268" s="3">
        <f t="array" ref="N268">xlookup(M268,Sheet2!A:A,Sheet2!B:B)</f>
        <v>31</v>
      </c>
      <c r="O268" s="3" t="s">
        <v>653</v>
      </c>
      <c r="P268" s="4" t="str">
        <f t="shared" si="1"/>
        <v>266 : [22,30,31],</v>
      </c>
      <c r="Q268" s="4" t="str">
        <f t="shared" si="2"/>
        <v>266 : 0,</v>
      </c>
    </row>
    <row r="269">
      <c r="A269" s="3" t="s">
        <v>654</v>
      </c>
      <c r="B269" s="5">
        <v>151825.0</v>
      </c>
      <c r="C269" s="10">
        <v>267.0</v>
      </c>
      <c r="D269" s="3" t="s">
        <v>459</v>
      </c>
      <c r="E269" s="3">
        <f t="array" ref="E269">xlookup(D269,Sheet3!A:A,Sheet3!B:B)</f>
        <v>0</v>
      </c>
      <c r="F269" s="3" t="s">
        <v>18</v>
      </c>
      <c r="G269" s="3">
        <f t="array" ref="G269">xlookup(F269,Sheet2!A:A,Sheet2!B:B)</f>
        <v>22</v>
      </c>
      <c r="H269" s="3" t="s">
        <v>655</v>
      </c>
      <c r="I269" s="3" t="str">
        <f t="array" ref="I269">JOIN("", SORT(MID(LOWER(H269), SEQUENCE(LEN(H269)), 1)))</f>
        <v>     ,,aaaaaaaadggghhhhiikmnnnnoqrrstu</v>
      </c>
      <c r="J269" s="3" t="s">
        <v>64</v>
      </c>
      <c r="K269" s="3">
        <f t="array" ref="K269">xlookup(J269,Sheet2!A:A,Sheet2!B:B)</f>
        <v>30</v>
      </c>
      <c r="L269" s="3" t="s">
        <v>655</v>
      </c>
      <c r="M269" s="3" t="s">
        <v>61</v>
      </c>
      <c r="N269" s="3">
        <f t="array" ref="N269">xlookup(M269,Sheet2!A:A,Sheet2!B:B)</f>
        <v>31</v>
      </c>
      <c r="O269" s="3" t="s">
        <v>655</v>
      </c>
      <c r="P269" s="4" t="str">
        <f t="shared" si="1"/>
        <v>267 : [22,30,31],</v>
      </c>
      <c r="Q269" s="4" t="str">
        <f t="shared" si="2"/>
        <v>267 : 0,</v>
      </c>
    </row>
    <row r="270">
      <c r="A270" s="3" t="s">
        <v>656</v>
      </c>
      <c r="B270" s="5">
        <v>161592.0</v>
      </c>
      <c r="C270" s="10">
        <v>268.0</v>
      </c>
      <c r="D270" s="3" t="s">
        <v>459</v>
      </c>
      <c r="E270" s="3">
        <f t="array" ref="E270">xlookup(D270,Sheet3!A:A,Sheet3!B:B)</f>
        <v>0</v>
      </c>
      <c r="F270" s="3" t="s">
        <v>18</v>
      </c>
      <c r="G270" s="3">
        <f t="array" ref="G270">xlookup(F270,Sheet2!A:A,Sheet2!B:B)</f>
        <v>22</v>
      </c>
      <c r="H270" s="3" t="s">
        <v>655</v>
      </c>
      <c r="I270" s="3" t="str">
        <f t="array" ref="I270">JOIN("", SORT(MID(LOWER(H270), SEQUENCE(LEN(H270)), 1)))</f>
        <v>     ,,aaaaaaaadggghhhhiikmnnnnoqrrstu</v>
      </c>
      <c r="J270" s="3" t="s">
        <v>64</v>
      </c>
      <c r="K270" s="3">
        <f t="array" ref="K270">xlookup(J270,Sheet2!A:A,Sheet2!B:B)</f>
        <v>30</v>
      </c>
      <c r="L270" s="3" t="s">
        <v>655</v>
      </c>
      <c r="M270" s="3" t="s">
        <v>61</v>
      </c>
      <c r="N270" s="3">
        <f t="array" ref="N270">xlookup(M270,Sheet2!A:A,Sheet2!B:B)</f>
        <v>31</v>
      </c>
      <c r="O270" s="3" t="s">
        <v>655</v>
      </c>
      <c r="P270" s="4" t="str">
        <f t="shared" si="1"/>
        <v>268 : [22,30,31],</v>
      </c>
      <c r="Q270" s="4" t="str">
        <f t="shared" si="2"/>
        <v>268 : 0,</v>
      </c>
    </row>
    <row r="271">
      <c r="A271" s="3" t="s">
        <v>657</v>
      </c>
      <c r="B271" s="5">
        <v>150671.0</v>
      </c>
      <c r="C271" s="10">
        <v>269.0</v>
      </c>
      <c r="D271" s="3" t="s">
        <v>459</v>
      </c>
      <c r="E271" s="3">
        <f t="array" ref="E271">xlookup(D271,Sheet3!A:A,Sheet3!B:B)</f>
        <v>0</v>
      </c>
      <c r="F271" s="3" t="s">
        <v>401</v>
      </c>
      <c r="G271" s="3">
        <f t="array" ref="G271">xlookup(F271,Sheet2!A:A,Sheet2!B:B)</f>
        <v>38</v>
      </c>
      <c r="H271" s="3" t="s">
        <v>3</v>
      </c>
      <c r="I271" s="3" t="str">
        <f t="array" ref="I271">JOIN("", SORT(MID(LOWER(H271), SEQUENCE(LEN(H271)), 1)))</f>
        <v>an</v>
      </c>
      <c r="J271" s="3" t="s">
        <v>465</v>
      </c>
      <c r="K271" s="3">
        <f t="array" ref="K271">xlookup(J271,Sheet2!A:A,Sheet2!B:B)</f>
        <v>36</v>
      </c>
      <c r="L271" s="3" t="s">
        <v>3</v>
      </c>
      <c r="M271" s="3" t="s">
        <v>5</v>
      </c>
      <c r="N271" s="3">
        <f t="array" ref="N271">xlookup(M271,Sheet2!A:A,Sheet2!B:B)</f>
        <v>35</v>
      </c>
      <c r="O271" s="3" t="s">
        <v>3</v>
      </c>
      <c r="P271" s="4" t="str">
        <f t="shared" si="1"/>
        <v>269 : [38,36,35],</v>
      </c>
      <c r="Q271" s="4" t="str">
        <f t="shared" si="2"/>
        <v>269 : 0,</v>
      </c>
    </row>
    <row r="272">
      <c r="A272" s="3" t="s">
        <v>658</v>
      </c>
      <c r="B272" s="5">
        <v>118487.0</v>
      </c>
      <c r="C272" s="10">
        <v>270.0</v>
      </c>
      <c r="D272" s="3" t="s">
        <v>459</v>
      </c>
      <c r="E272" s="3">
        <f t="array" ref="E272">xlookup(D272,Sheet3!A:A,Sheet3!B:B)</f>
        <v>0</v>
      </c>
      <c r="F272" s="3" t="s">
        <v>18</v>
      </c>
      <c r="G272" s="3">
        <f t="array" ref="G272">xlookup(F272,Sheet2!A:A,Sheet2!B:B)</f>
        <v>22</v>
      </c>
      <c r="H272" s="3" t="s">
        <v>659</v>
      </c>
      <c r="I272" s="3" t="str">
        <f t="array" ref="I272">JOIN("", SORT(MID(LOWER(H272), SEQUENCE(LEN(H272)), 1)))</f>
        <v>   ,aaaaabbdeegiiillnnoopqrrsuu</v>
      </c>
      <c r="J272" s="3" t="s">
        <v>74</v>
      </c>
      <c r="K272" s="3">
        <f t="array" ref="K272">xlookup(J272,Sheet2!A:A,Sheet2!B:B)</f>
        <v>50</v>
      </c>
      <c r="L272" s="3" t="s">
        <v>659</v>
      </c>
      <c r="M272" s="3" t="s">
        <v>76</v>
      </c>
      <c r="N272" s="3">
        <f t="array" ref="N272">xlookup(M272,Sheet2!A:A,Sheet2!B:B)</f>
        <v>24</v>
      </c>
      <c r="O272" s="3" t="s">
        <v>659</v>
      </c>
      <c r="P272" s="4" t="str">
        <f t="shared" si="1"/>
        <v>270 : [22,50,24],</v>
      </c>
      <c r="Q272" s="4" t="str">
        <f t="shared" si="2"/>
        <v>270 : 0,</v>
      </c>
    </row>
    <row r="273">
      <c r="A273" s="3" t="s">
        <v>234</v>
      </c>
      <c r="B273" s="5">
        <v>137962.0</v>
      </c>
      <c r="C273" s="10">
        <v>271.0</v>
      </c>
      <c r="D273" s="3" t="s">
        <v>153</v>
      </c>
      <c r="E273" s="3">
        <f t="array" ref="E273">xlookup(D273,Sheet3!A:A,Sheet3!B:B)</f>
        <v>2</v>
      </c>
      <c r="F273" s="3" t="s">
        <v>40</v>
      </c>
      <c r="G273" s="3">
        <f t="array" ref="G273">xlookup(F273,Sheet2!A:A,Sheet2!B:B)</f>
        <v>44</v>
      </c>
      <c r="H273" s="3" t="s">
        <v>234</v>
      </c>
      <c r="I273" s="3" t="str">
        <f t="array" ref="I273">JOIN("", SORT(MID(LOWER(H273), SEQUENCE(LEN(H273)), 1)))</f>
        <v> aaadeeffklnrsx</v>
      </c>
      <c r="J273" s="3" t="s">
        <v>38</v>
      </c>
      <c r="K273" s="3">
        <f t="array" ref="K273">xlookup(J273,Sheet2!A:A,Sheet2!B:B)</f>
        <v>6</v>
      </c>
      <c r="L273" s="3" t="s">
        <v>234</v>
      </c>
      <c r="M273" s="3" t="s">
        <v>2</v>
      </c>
      <c r="N273" s="3">
        <f t="array" ref="N273">xlookup(M273,Sheet2!A:A,Sheet2!B:B)</f>
        <v>25</v>
      </c>
      <c r="O273" s="3" t="s">
        <v>234</v>
      </c>
      <c r="P273" s="4" t="str">
        <f t="shared" si="1"/>
        <v>271 : [44,6,25],</v>
      </c>
      <c r="Q273" s="4" t="str">
        <f t="shared" si="2"/>
        <v>271 : 2,</v>
      </c>
    </row>
    <row r="274">
      <c r="A274" s="3" t="s">
        <v>393</v>
      </c>
      <c r="B274" s="5">
        <v>148203.0</v>
      </c>
      <c r="C274" s="10">
        <v>272.0</v>
      </c>
      <c r="D274" s="3" t="s">
        <v>282</v>
      </c>
      <c r="E274" s="3">
        <f t="array" ref="E274">xlookup(D274,Sheet3!A:A,Sheet3!B:B)</f>
        <v>1</v>
      </c>
      <c r="F274" s="3" t="s">
        <v>16</v>
      </c>
      <c r="G274" s="3">
        <f t="array" ref="G274">xlookup(F274,Sheet2!A:A,Sheet2!B:B)</f>
        <v>3</v>
      </c>
      <c r="H274" s="3" t="s">
        <v>3</v>
      </c>
      <c r="I274" s="3" t="str">
        <f t="array" ref="I274">JOIN("", SORT(MID(LOWER(H274), SEQUENCE(LEN(H274)), 1)))</f>
        <v>an</v>
      </c>
      <c r="J274" s="3" t="s">
        <v>124</v>
      </c>
      <c r="K274" s="3">
        <f t="array" ref="K274">xlookup(J274,Sheet2!A:A,Sheet2!B:B)</f>
        <v>46</v>
      </c>
      <c r="L274" s="3" t="s">
        <v>3</v>
      </c>
      <c r="M274" s="3" t="s">
        <v>42</v>
      </c>
      <c r="N274" s="3">
        <f t="array" ref="N274">xlookup(M274,Sheet2!A:A,Sheet2!B:B)</f>
        <v>14</v>
      </c>
      <c r="O274" s="3" t="s">
        <v>3</v>
      </c>
      <c r="P274" s="4" t="str">
        <f t="shared" si="1"/>
        <v>272 : [3,46,14],</v>
      </c>
      <c r="Q274" s="4" t="str">
        <f t="shared" si="2"/>
        <v>272 : 1,</v>
      </c>
    </row>
    <row r="275">
      <c r="A275" s="3" t="s">
        <v>660</v>
      </c>
      <c r="B275" s="5">
        <v>310859.0</v>
      </c>
      <c r="C275" s="10">
        <v>273.0</v>
      </c>
      <c r="D275" s="3" t="s">
        <v>459</v>
      </c>
      <c r="E275" s="3">
        <f t="array" ref="E275">xlookup(D275,Sheet3!A:A,Sheet3!B:B)</f>
        <v>0</v>
      </c>
      <c r="F275" s="3" t="s">
        <v>7</v>
      </c>
      <c r="G275" s="3">
        <f t="array" ref="G275">xlookup(F275,Sheet2!A:A,Sheet2!B:B)</f>
        <v>15</v>
      </c>
      <c r="H275" s="3" t="s">
        <v>661</v>
      </c>
      <c r="I275" s="3" t="str">
        <f t="array" ref="I275">JOIN("", SORT(MID(LOWER(H275), SEQUENCE(LEN(H275)), 1)))</f>
        <v>   ,aaaaaaaaaeeehhijkllmnnprrss</v>
      </c>
      <c r="J275" s="3" t="s">
        <v>10</v>
      </c>
      <c r="K275" s="3">
        <f t="array" ref="K275">xlookup(J275,Sheet2!A:A,Sheet2!B:B)</f>
        <v>9</v>
      </c>
      <c r="L275" s="3" t="s">
        <v>661</v>
      </c>
      <c r="M275" s="3" t="s">
        <v>28</v>
      </c>
      <c r="N275" s="3">
        <f t="array" ref="N275">xlookup(M275,Sheet2!A:A,Sheet2!B:B)</f>
        <v>32</v>
      </c>
      <c r="O275" s="3" t="s">
        <v>661</v>
      </c>
      <c r="P275" s="4" t="str">
        <f t="shared" si="1"/>
        <v>273 : [15,9,32],</v>
      </c>
      <c r="Q275" s="4" t="str">
        <f t="shared" si="2"/>
        <v>273 : 0,</v>
      </c>
    </row>
    <row r="276">
      <c r="A276" s="3" t="s">
        <v>662</v>
      </c>
      <c r="B276" s="5">
        <v>153365.0</v>
      </c>
      <c r="C276" s="10">
        <v>274.0</v>
      </c>
      <c r="D276" s="3" t="s">
        <v>459</v>
      </c>
      <c r="E276" s="3">
        <f t="array" ref="E276">xlookup(D276,Sheet3!A:A,Sheet3!B:B)</f>
        <v>0</v>
      </c>
      <c r="F276" s="3" t="s">
        <v>7</v>
      </c>
      <c r="G276" s="3">
        <f t="array" ref="G276">xlookup(F276,Sheet2!A:A,Sheet2!B:B)</f>
        <v>15</v>
      </c>
      <c r="H276" s="3" t="s">
        <v>663</v>
      </c>
      <c r="I276" s="3" t="str">
        <f t="array" ref="I276">JOIN("", SORT(MID(LOWER(H276), SEQUENCE(LEN(H276)), 1)))</f>
        <v>   ,aaaaaaaaaeeehhijkllmnnprrss</v>
      </c>
      <c r="J276" s="3" t="s">
        <v>10</v>
      </c>
      <c r="K276" s="3">
        <f t="array" ref="K276">xlookup(J276,Sheet2!A:A,Sheet2!B:B)</f>
        <v>9</v>
      </c>
      <c r="L276" s="3" t="s">
        <v>663</v>
      </c>
      <c r="M276" s="3" t="s">
        <v>28</v>
      </c>
      <c r="N276" s="3">
        <f t="array" ref="N276">xlookup(M276,Sheet2!A:A,Sheet2!B:B)</f>
        <v>32</v>
      </c>
      <c r="O276" s="3" t="s">
        <v>663</v>
      </c>
      <c r="P276" s="4" t="str">
        <f t="shared" si="1"/>
        <v>274 : [15,9,32],</v>
      </c>
      <c r="Q276" s="4" t="str">
        <f t="shared" si="2"/>
        <v>274 : 0,</v>
      </c>
    </row>
    <row r="277">
      <c r="A277" s="3" t="s">
        <v>235</v>
      </c>
      <c r="B277" s="5">
        <v>119049.0</v>
      </c>
      <c r="C277" s="10">
        <v>275.0</v>
      </c>
      <c r="D277" s="3" t="s">
        <v>153</v>
      </c>
      <c r="E277" s="3">
        <f t="array" ref="E277">xlookup(D277,Sheet3!A:A,Sheet3!B:B)</f>
        <v>2</v>
      </c>
      <c r="F277" s="3" t="s">
        <v>10</v>
      </c>
      <c r="G277" s="3">
        <f t="array" ref="G277">xlookup(F277,Sheet2!A:A,Sheet2!B:B)</f>
        <v>9</v>
      </c>
      <c r="H277" s="3" t="s">
        <v>236</v>
      </c>
      <c r="I277" s="3" t="str">
        <f t="array" ref="I277">JOIN("", SORT(MID(LOWER(H277), SEQUENCE(LEN(H277)), 1)))</f>
        <v>   ,aaaaaabdegiijkllmnnnrsty</v>
      </c>
      <c r="J277" s="3" t="s">
        <v>9</v>
      </c>
      <c r="K277" s="3">
        <f t="array" ref="K277">xlookup(J277,Sheet2!A:A,Sheet2!B:B)</f>
        <v>5</v>
      </c>
      <c r="L277" s="3" t="s">
        <v>236</v>
      </c>
      <c r="M277" s="3" t="s">
        <v>74</v>
      </c>
      <c r="N277" s="3">
        <f t="array" ref="N277">xlookup(M277,Sheet2!A:A,Sheet2!B:B)</f>
        <v>50</v>
      </c>
      <c r="O277" s="3" t="s">
        <v>236</v>
      </c>
      <c r="P277" s="4" t="str">
        <f t="shared" si="1"/>
        <v>275 : [9,5,50],</v>
      </c>
      <c r="Q277" s="4" t="str">
        <f t="shared" si="2"/>
        <v>275 : 2,</v>
      </c>
    </row>
    <row r="278">
      <c r="A278" s="3" t="s">
        <v>664</v>
      </c>
      <c r="B278" s="5">
        <v>306014.0</v>
      </c>
      <c r="C278" s="10">
        <v>276.0</v>
      </c>
      <c r="D278" s="3" t="s">
        <v>459</v>
      </c>
      <c r="E278" s="3">
        <f t="array" ref="E278">xlookup(D278,Sheet3!A:A,Sheet3!B:B)</f>
        <v>0</v>
      </c>
      <c r="F278" s="3" t="s">
        <v>7</v>
      </c>
      <c r="G278" s="3">
        <f t="array" ref="G278">xlookup(F278,Sheet2!A:A,Sheet2!B:B)</f>
        <v>15</v>
      </c>
      <c r="H278" s="3" t="s">
        <v>3</v>
      </c>
      <c r="I278" s="3" t="str">
        <f t="array" ref="I278">JOIN("", SORT(MID(LOWER(H278), SEQUENCE(LEN(H278)), 1)))</f>
        <v>an</v>
      </c>
      <c r="J278" s="3" t="s">
        <v>16</v>
      </c>
      <c r="K278" s="3">
        <f t="array" ref="K278">xlookup(J278,Sheet2!A:A,Sheet2!B:B)</f>
        <v>3</v>
      </c>
      <c r="L278" s="3" t="s">
        <v>3</v>
      </c>
      <c r="M278" s="3" t="s">
        <v>9</v>
      </c>
      <c r="N278" s="3">
        <f t="array" ref="N278">xlookup(M278,Sheet2!A:A,Sheet2!B:B)</f>
        <v>5</v>
      </c>
      <c r="O278" s="3" t="s">
        <v>3</v>
      </c>
      <c r="P278" s="4" t="str">
        <f t="shared" si="1"/>
        <v>276 : [15,3,5],</v>
      </c>
      <c r="Q278" s="4" t="str">
        <f t="shared" si="2"/>
        <v>276 : 0,</v>
      </c>
    </row>
    <row r="279">
      <c r="A279" s="3" t="s">
        <v>144</v>
      </c>
      <c r="B279" s="5">
        <v>306538.0</v>
      </c>
      <c r="C279" s="10">
        <v>277.0</v>
      </c>
      <c r="D279" s="3" t="s">
        <v>118</v>
      </c>
      <c r="E279" s="3">
        <f t="array" ref="E279">xlookup(D279,Sheet3!A:A,Sheet3!B:B)</f>
        <v>3</v>
      </c>
      <c r="F279" s="3" t="s">
        <v>72</v>
      </c>
      <c r="G279" s="3">
        <f t="array" ref="G279">xlookup(F279,Sheet2!A:A,Sheet2!B:B)</f>
        <v>34</v>
      </c>
      <c r="H279" s="3" t="s">
        <v>145</v>
      </c>
      <c r="I279" s="3" t="str">
        <f t="array" ref="I279">JOIN("", SORT(MID(LOWER(H279), SEQUENCE(LEN(H279)), 1)))</f>
        <v>   ,aaeiiijjlmmnorrs</v>
      </c>
      <c r="J279" s="3" t="s">
        <v>10</v>
      </c>
      <c r="K279" s="3">
        <f t="array" ref="K279">xlookup(J279,Sheet2!A:A,Sheet2!B:B)</f>
        <v>9</v>
      </c>
      <c r="L279" s="3" t="s">
        <v>145</v>
      </c>
      <c r="M279" s="3" t="s">
        <v>76</v>
      </c>
      <c r="N279" s="3">
        <f t="array" ref="N279">xlookup(M279,Sheet2!A:A,Sheet2!B:B)</f>
        <v>24</v>
      </c>
      <c r="O279" s="3" t="s">
        <v>145</v>
      </c>
      <c r="P279" s="4" t="str">
        <f t="shared" si="1"/>
        <v>277 : [34,9,24],</v>
      </c>
      <c r="Q279" s="4" t="str">
        <f t="shared" si="2"/>
        <v>277 : 3,</v>
      </c>
    </row>
    <row r="280">
      <c r="A280" s="3" t="s">
        <v>394</v>
      </c>
      <c r="B280" s="5">
        <v>184382.0</v>
      </c>
      <c r="C280" s="10">
        <v>278.0</v>
      </c>
      <c r="D280" s="3" t="s">
        <v>282</v>
      </c>
      <c r="E280" s="3">
        <f t="array" ref="E280">xlookup(D280,Sheet3!A:A,Sheet3!B:B)</f>
        <v>1</v>
      </c>
      <c r="F280" s="3" t="s">
        <v>207</v>
      </c>
      <c r="G280" s="3">
        <f t="array" ref="G280">xlookup(F280,Sheet2!A:A,Sheet2!B:B)</f>
        <v>1</v>
      </c>
      <c r="H280" s="3" t="s">
        <v>3</v>
      </c>
      <c r="I280" s="3" t="str">
        <f t="array" ref="I280">JOIN("", SORT(MID(LOWER(H280), SEQUENCE(LEN(H280)), 1)))</f>
        <v>an</v>
      </c>
      <c r="J280" s="3" t="s">
        <v>2</v>
      </c>
      <c r="K280" s="3">
        <f t="array" ref="K280">xlookup(J280,Sheet2!A:A,Sheet2!B:B)</f>
        <v>25</v>
      </c>
      <c r="L280" s="3" t="s">
        <v>3</v>
      </c>
      <c r="M280" s="3" t="s">
        <v>105</v>
      </c>
      <c r="N280" s="3">
        <f t="array" ref="N280">xlookup(M280,Sheet2!A:A,Sheet2!B:B)</f>
        <v>26</v>
      </c>
      <c r="O280" s="3" t="s">
        <v>3</v>
      </c>
      <c r="P280" s="4" t="str">
        <f t="shared" si="1"/>
        <v>278 : [1,25,26],</v>
      </c>
      <c r="Q280" s="4" t="str">
        <f t="shared" si="2"/>
        <v>278 : 1,</v>
      </c>
    </row>
    <row r="281">
      <c r="A281" s="3" t="s">
        <v>146</v>
      </c>
      <c r="B281" s="5">
        <v>110481.0</v>
      </c>
      <c r="C281" s="10">
        <v>279.0</v>
      </c>
      <c r="D281" s="3" t="s">
        <v>118</v>
      </c>
      <c r="E281" s="3">
        <f t="array" ref="E281">xlookup(D281,Sheet3!A:A,Sheet3!B:B)</f>
        <v>3</v>
      </c>
      <c r="F281" s="3" t="s">
        <v>111</v>
      </c>
      <c r="G281" s="3">
        <f t="array" ref="G281">xlookup(F281,Sheet2!A:A,Sheet2!B:B)</f>
        <v>28</v>
      </c>
      <c r="H281" s="3" t="s">
        <v>147</v>
      </c>
      <c r="I281" s="3" t="str">
        <f t="array" ref="I281">JOIN("", SORT(MID(LOWER(H281), SEQUENCE(LEN(H281)), 1)))</f>
        <v>     ,,aaaaaaaaddeeeehhhhikkmmnnnpprsssttuvvyyz</v>
      </c>
      <c r="J281" s="3" t="s">
        <v>34</v>
      </c>
      <c r="K281" s="3">
        <f t="array" ref="K281">xlookup(J281,Sheet2!A:A,Sheet2!B:B)</f>
        <v>8</v>
      </c>
      <c r="L281" s="3" t="s">
        <v>147</v>
      </c>
      <c r="M281" s="3" t="s">
        <v>109</v>
      </c>
      <c r="N281" s="3">
        <f t="array" ref="N281">xlookup(M281,Sheet2!A:A,Sheet2!B:B)</f>
        <v>49</v>
      </c>
      <c r="O281" s="3" t="s">
        <v>147</v>
      </c>
      <c r="P281" s="4" t="str">
        <f t="shared" si="1"/>
        <v>279 : [28,8,49],</v>
      </c>
      <c r="Q281" s="4" t="str">
        <f t="shared" si="2"/>
        <v>279 : 3,</v>
      </c>
    </row>
    <row r="282">
      <c r="A282" s="3" t="s">
        <v>665</v>
      </c>
      <c r="B282" s="5">
        <v>150645.0</v>
      </c>
      <c r="C282" s="10">
        <v>280.0</v>
      </c>
      <c r="D282" s="3" t="s">
        <v>459</v>
      </c>
      <c r="E282" s="3">
        <f t="array" ref="E282">xlookup(D282,Sheet3!A:A,Sheet3!B:B)</f>
        <v>0</v>
      </c>
      <c r="F282" s="3" t="s">
        <v>21</v>
      </c>
      <c r="G282" s="3">
        <f t="array" ref="G282">xlookup(F282,Sheet2!A:A,Sheet2!B:B)</f>
        <v>10</v>
      </c>
      <c r="H282" s="3" t="s">
        <v>3</v>
      </c>
      <c r="I282" s="3" t="str">
        <f t="array" ref="I282">JOIN("", SORT(MID(LOWER(H282), SEQUENCE(LEN(H282)), 1)))</f>
        <v>an</v>
      </c>
      <c r="J282" s="3" t="s">
        <v>465</v>
      </c>
      <c r="K282" s="3">
        <f t="array" ref="K282">xlookup(J282,Sheet2!A:A,Sheet2!B:B)</f>
        <v>36</v>
      </c>
      <c r="L282" s="3" t="s">
        <v>3</v>
      </c>
      <c r="M282" s="3" t="s">
        <v>26</v>
      </c>
      <c r="N282" s="3">
        <f t="array" ref="N282">xlookup(M282,Sheet2!A:A,Sheet2!B:B)</f>
        <v>7</v>
      </c>
      <c r="O282" s="3" t="s">
        <v>3</v>
      </c>
      <c r="P282" s="4" t="str">
        <f t="shared" si="1"/>
        <v>280 : [10,36,7],</v>
      </c>
      <c r="Q282" s="4" t="str">
        <f t="shared" si="2"/>
        <v>280 : 0,</v>
      </c>
    </row>
    <row r="283">
      <c r="A283" s="3" t="s">
        <v>666</v>
      </c>
      <c r="B283" s="5">
        <v>177631.0</v>
      </c>
      <c r="C283" s="10">
        <v>281.0</v>
      </c>
      <c r="D283" s="3" t="s">
        <v>459</v>
      </c>
      <c r="E283" s="3">
        <f t="array" ref="E283">xlookup(D283,Sheet3!A:A,Sheet3!B:B)</f>
        <v>0</v>
      </c>
      <c r="F283" s="3" t="s">
        <v>465</v>
      </c>
      <c r="G283" s="3">
        <f t="array" ref="G283">xlookup(F283,Sheet2!A:A,Sheet2!B:B)</f>
        <v>36</v>
      </c>
      <c r="H283" s="3" t="s">
        <v>3</v>
      </c>
      <c r="I283" s="3" t="str">
        <f t="array" ref="I283">JOIN("", SORT(MID(LOWER(H283), SEQUENCE(LEN(H283)), 1)))</f>
        <v>an</v>
      </c>
      <c r="J283" s="3" t="s">
        <v>105</v>
      </c>
      <c r="K283" s="3">
        <f t="array" ref="K283">xlookup(J283,Sheet2!A:A,Sheet2!B:B)</f>
        <v>26</v>
      </c>
      <c r="L283" s="3" t="s">
        <v>3</v>
      </c>
      <c r="M283" s="3" t="s">
        <v>5</v>
      </c>
      <c r="N283" s="3">
        <f t="array" ref="N283">xlookup(M283,Sheet2!A:A,Sheet2!B:B)</f>
        <v>35</v>
      </c>
      <c r="O283" s="3" t="s">
        <v>3</v>
      </c>
      <c r="P283" s="4" t="str">
        <f t="shared" si="1"/>
        <v>281 : [36,26,35],</v>
      </c>
      <c r="Q283" s="4" t="str">
        <f t="shared" si="2"/>
        <v>281 : 0,</v>
      </c>
    </row>
    <row r="284">
      <c r="A284" s="3" t="s">
        <v>395</v>
      </c>
      <c r="B284" s="5">
        <v>314091.0</v>
      </c>
      <c r="C284" s="10">
        <v>282.0</v>
      </c>
      <c r="D284" s="3" t="s">
        <v>282</v>
      </c>
      <c r="E284" s="3">
        <f t="array" ref="E284">xlookup(D284,Sheet3!A:A,Sheet3!B:B)</f>
        <v>1</v>
      </c>
      <c r="F284" s="3" t="s">
        <v>18</v>
      </c>
      <c r="G284" s="3">
        <f t="array" ref="G284">xlookup(F284,Sheet2!A:A,Sheet2!B:B)</f>
        <v>22</v>
      </c>
      <c r="H284" s="3" t="s">
        <v>3</v>
      </c>
      <c r="I284" s="3" t="str">
        <f t="array" ref="I284">JOIN("", SORT(MID(LOWER(H284), SEQUENCE(LEN(H284)), 1)))</f>
        <v>an</v>
      </c>
      <c r="J284" s="3" t="s">
        <v>39</v>
      </c>
      <c r="K284" s="3">
        <f t="array" ref="K284">xlookup(J284,Sheet2!A:A,Sheet2!B:B)</f>
        <v>20</v>
      </c>
      <c r="L284" s="3" t="s">
        <v>3</v>
      </c>
      <c r="M284" s="3" t="s">
        <v>20</v>
      </c>
      <c r="N284" s="3">
        <f t="array" ref="N284">xlookup(M284,Sheet2!A:A,Sheet2!B:B)</f>
        <v>48</v>
      </c>
      <c r="O284" s="3" t="s">
        <v>3</v>
      </c>
      <c r="P284" s="4" t="str">
        <f t="shared" si="1"/>
        <v>282 : [22,20,48],</v>
      </c>
      <c r="Q284" s="4" t="str">
        <f t="shared" si="2"/>
        <v>282 : 1,</v>
      </c>
    </row>
    <row r="285">
      <c r="A285" s="3" t="s">
        <v>667</v>
      </c>
      <c r="B285" s="5">
        <v>150437.0</v>
      </c>
      <c r="C285" s="10">
        <v>283.0</v>
      </c>
      <c r="D285" s="3" t="s">
        <v>459</v>
      </c>
      <c r="E285" s="3">
        <f t="array" ref="E285">xlookup(D285,Sheet3!A:A,Sheet3!B:B)</f>
        <v>0</v>
      </c>
      <c r="F285" s="3" t="s">
        <v>30</v>
      </c>
      <c r="G285" s="3">
        <f t="array" ref="G285">xlookup(F285,Sheet2!A:A,Sheet2!B:B)</f>
        <v>13</v>
      </c>
      <c r="H285" s="3" t="s">
        <v>668</v>
      </c>
      <c r="I285" s="3" t="str">
        <f t="array" ref="I285">JOIN("", SORT(MID(LOWER(H285), SEQUENCE(LEN(H285)), 1)))</f>
        <v>   ,aaaaaaabccddhhiiiijklllmmnnrrssuw</v>
      </c>
      <c r="J285" s="3" t="s">
        <v>114</v>
      </c>
      <c r="K285" s="3">
        <f t="array" ref="K285">xlookup(J285,Sheet2!A:A,Sheet2!B:B)</f>
        <v>12</v>
      </c>
      <c r="L285" s="3" t="s">
        <v>668</v>
      </c>
      <c r="M285" s="3" t="s">
        <v>10</v>
      </c>
      <c r="N285" s="3">
        <f t="array" ref="N285">xlookup(M285,Sheet2!A:A,Sheet2!B:B)</f>
        <v>9</v>
      </c>
      <c r="O285" s="3" t="s">
        <v>668</v>
      </c>
      <c r="P285" s="4" t="str">
        <f t="shared" si="1"/>
        <v>283 : [13,12,9],</v>
      </c>
      <c r="Q285" s="4" t="str">
        <f t="shared" si="2"/>
        <v>283 : 0,</v>
      </c>
    </row>
    <row r="286">
      <c r="A286" s="3" t="s">
        <v>669</v>
      </c>
      <c r="B286" s="5">
        <v>151002.0</v>
      </c>
      <c r="C286" s="10">
        <v>284.0</v>
      </c>
      <c r="D286" s="3" t="s">
        <v>459</v>
      </c>
      <c r="E286" s="3">
        <f t="array" ref="E286">xlookup(D286,Sheet3!A:A,Sheet3!B:B)</f>
        <v>0</v>
      </c>
      <c r="F286" s="3" t="s">
        <v>30</v>
      </c>
      <c r="G286" s="3">
        <f t="array" ref="G286">xlookup(F286,Sheet2!A:A,Sheet2!B:B)</f>
        <v>13</v>
      </c>
      <c r="H286" s="3" t="s">
        <v>670</v>
      </c>
      <c r="I286" s="3" t="str">
        <f t="array" ref="I286">JOIN("", SORT(MID(LOWER(H286), SEQUENCE(LEN(H286)), 1)))</f>
        <v>   ,aaaaaaabccddhhiiiijklllmmnnrrssuw</v>
      </c>
      <c r="J286" s="3" t="s">
        <v>114</v>
      </c>
      <c r="K286" s="3">
        <f t="array" ref="K286">xlookup(J286,Sheet2!A:A,Sheet2!B:B)</f>
        <v>12</v>
      </c>
      <c r="L286" s="3" t="s">
        <v>670</v>
      </c>
      <c r="M286" s="3" t="s">
        <v>10</v>
      </c>
      <c r="N286" s="3">
        <f t="array" ref="N286">xlookup(M286,Sheet2!A:A,Sheet2!B:B)</f>
        <v>9</v>
      </c>
      <c r="O286" s="3" t="s">
        <v>670</v>
      </c>
      <c r="P286" s="4" t="str">
        <f t="shared" si="1"/>
        <v>284 : [13,12,9],</v>
      </c>
      <c r="Q286" s="4" t="str">
        <f t="shared" si="2"/>
        <v>284 : 0,</v>
      </c>
    </row>
    <row r="287">
      <c r="A287" s="3" t="s">
        <v>49</v>
      </c>
      <c r="B287" s="5">
        <v>493020.0</v>
      </c>
      <c r="C287" s="10">
        <v>285.0</v>
      </c>
      <c r="D287" s="3" t="s">
        <v>1</v>
      </c>
      <c r="E287" s="3">
        <f t="array" ref="E287">xlookup(D287,Sheet3!A:A,Sheet3!B:B)</f>
        <v>5</v>
      </c>
      <c r="F287" s="3" t="s">
        <v>18</v>
      </c>
      <c r="G287" s="3">
        <f t="array" ref="G287">xlookup(F287,Sheet2!A:A,Sheet2!B:B)</f>
        <v>22</v>
      </c>
      <c r="H287" s="3" t="s">
        <v>19</v>
      </c>
      <c r="I287" s="3" t="str">
        <f t="array" ref="I287">JOIN("", SORT(MID(LOWER(H287), SEQUENCE(LEN(H287)), 1)))</f>
        <v>     ,,aaaaaaabdeghhhhhhiiiiijjklmnnnnorsssttuuvyz</v>
      </c>
      <c r="J287" s="3" t="s">
        <v>7</v>
      </c>
      <c r="K287" s="3">
        <f t="array" ref="K287">xlookup(J287,Sheet2!A:A,Sheet2!B:B)</f>
        <v>15</v>
      </c>
      <c r="L287" s="3" t="s">
        <v>50</v>
      </c>
      <c r="M287" s="3" t="s">
        <v>7</v>
      </c>
      <c r="N287" s="3">
        <f t="array" ref="N287">xlookup(M287,Sheet2!A:A,Sheet2!B:B)</f>
        <v>15</v>
      </c>
      <c r="O287" s="3" t="s">
        <v>51</v>
      </c>
      <c r="P287" s="4" t="str">
        <f t="shared" si="1"/>
        <v>285 : [22,15,15],</v>
      </c>
      <c r="Q287" s="4" t="str">
        <f t="shared" si="2"/>
        <v>285 : 5,</v>
      </c>
    </row>
    <row r="288">
      <c r="A288" s="3" t="s">
        <v>237</v>
      </c>
      <c r="B288" s="5">
        <v>148321.0</v>
      </c>
      <c r="C288" s="10">
        <v>286.0</v>
      </c>
      <c r="D288" s="3" t="s">
        <v>153</v>
      </c>
      <c r="E288" s="3">
        <f t="array" ref="E288">xlookup(D288,Sheet3!A:A,Sheet3!B:B)</f>
        <v>2</v>
      </c>
      <c r="F288" s="3" t="s">
        <v>7</v>
      </c>
      <c r="G288" s="3">
        <f t="array" ref="G288">xlookup(F288,Sheet2!A:A,Sheet2!B:B)</f>
        <v>15</v>
      </c>
      <c r="H288" s="3" t="s">
        <v>3</v>
      </c>
      <c r="I288" s="3" t="str">
        <f t="array" ref="I288">JOIN("", SORT(MID(LOWER(H288), SEQUENCE(LEN(H288)), 1)))</f>
        <v>an</v>
      </c>
      <c r="J288" s="3" t="s">
        <v>9</v>
      </c>
      <c r="K288" s="3">
        <f t="array" ref="K288">xlookup(J288,Sheet2!A:A,Sheet2!B:B)</f>
        <v>5</v>
      </c>
      <c r="L288" s="3" t="s">
        <v>3</v>
      </c>
      <c r="M288" s="3" t="s">
        <v>238</v>
      </c>
      <c r="N288" s="3">
        <f t="array" ref="N288">xlookup(M288,Sheet2!A:A,Sheet2!B:B)</f>
        <v>37</v>
      </c>
      <c r="O288" s="3" t="s">
        <v>3</v>
      </c>
      <c r="P288" s="4" t="str">
        <f t="shared" si="1"/>
        <v>286 : [15,5,37],</v>
      </c>
      <c r="Q288" s="4" t="str">
        <f t="shared" si="2"/>
        <v>286 : 2,</v>
      </c>
    </row>
    <row r="289">
      <c r="A289" s="3" t="s">
        <v>239</v>
      </c>
      <c r="B289" s="5">
        <v>171913.0</v>
      </c>
      <c r="C289" s="10">
        <v>287.0</v>
      </c>
      <c r="D289" s="3" t="s">
        <v>153</v>
      </c>
      <c r="E289" s="3">
        <f t="array" ref="E289">xlookup(D289,Sheet3!A:A,Sheet3!B:B)</f>
        <v>2</v>
      </c>
      <c r="F289" s="3" t="s">
        <v>105</v>
      </c>
      <c r="G289" s="3">
        <f t="array" ref="G289">xlookup(F289,Sheet2!A:A,Sheet2!B:B)</f>
        <v>26</v>
      </c>
      <c r="H289" s="3" t="s">
        <v>3</v>
      </c>
      <c r="I289" s="3" t="str">
        <f t="array" ref="I289">JOIN("", SORT(MID(LOWER(H289), SEQUENCE(LEN(H289)), 1)))</f>
        <v>an</v>
      </c>
      <c r="J289" s="3" t="s">
        <v>207</v>
      </c>
      <c r="K289" s="3">
        <f t="array" ref="K289">xlookup(J289,Sheet2!A:A,Sheet2!B:B)</f>
        <v>1</v>
      </c>
      <c r="L289" s="3" t="s">
        <v>3</v>
      </c>
      <c r="M289" s="3" t="s">
        <v>39</v>
      </c>
      <c r="N289" s="3">
        <f t="array" ref="N289">xlookup(M289,Sheet2!A:A,Sheet2!B:B)</f>
        <v>20</v>
      </c>
      <c r="O289" s="3" t="s">
        <v>3</v>
      </c>
      <c r="P289" s="4" t="str">
        <f t="shared" si="1"/>
        <v>287 : [26,1,20],</v>
      </c>
      <c r="Q289" s="4" t="str">
        <f t="shared" si="2"/>
        <v>287 : 2,</v>
      </c>
    </row>
    <row r="290">
      <c r="A290" s="3" t="s">
        <v>396</v>
      </c>
      <c r="B290" s="5">
        <v>323704.0</v>
      </c>
      <c r="C290" s="10">
        <v>288.0</v>
      </c>
      <c r="D290" s="3" t="s">
        <v>282</v>
      </c>
      <c r="E290" s="3">
        <f t="array" ref="E290">xlookup(D290,Sheet3!A:A,Sheet3!B:B)</f>
        <v>1</v>
      </c>
      <c r="F290" s="3" t="s">
        <v>28</v>
      </c>
      <c r="G290" s="3">
        <f t="array" ref="G290">xlookup(F290,Sheet2!A:A,Sheet2!B:B)</f>
        <v>32</v>
      </c>
      <c r="H290" s="3" t="s">
        <v>397</v>
      </c>
      <c r="I290" s="3" t="str">
        <f t="array" ref="I290">JOIN("", SORT(MID(LOWER(H290), SEQUENCE(LEN(H290)), 1)))</f>
        <v>     ,,aaaaeeghhhhiiijjjlnnnnosssuu</v>
      </c>
      <c r="J290" s="3" t="s">
        <v>139</v>
      </c>
      <c r="K290" s="3">
        <f t="array" ref="K290">xlookup(J290,Sheet2!A:A,Sheet2!B:B)</f>
        <v>21</v>
      </c>
      <c r="L290" s="3" t="s">
        <v>397</v>
      </c>
      <c r="M290" s="3" t="s">
        <v>111</v>
      </c>
      <c r="N290" s="3">
        <f t="array" ref="N290">xlookup(M290,Sheet2!A:A,Sheet2!B:B)</f>
        <v>28</v>
      </c>
      <c r="O290" s="3" t="s">
        <v>397</v>
      </c>
      <c r="P290" s="4" t="str">
        <f t="shared" si="1"/>
        <v>288 : [32,21,28],</v>
      </c>
      <c r="Q290" s="4" t="str">
        <f t="shared" si="2"/>
        <v>288 : 1,</v>
      </c>
    </row>
    <row r="291">
      <c r="A291" s="3" t="s">
        <v>240</v>
      </c>
      <c r="B291" s="5">
        <v>124166.0</v>
      </c>
      <c r="C291" s="10">
        <v>289.0</v>
      </c>
      <c r="D291" s="3" t="s">
        <v>153</v>
      </c>
      <c r="E291" s="3">
        <f t="array" ref="E291">xlookup(D291,Sheet3!A:A,Sheet3!B:B)</f>
        <v>2</v>
      </c>
      <c r="F291" s="3" t="s">
        <v>61</v>
      </c>
      <c r="G291" s="3">
        <f t="array" ref="G291">xlookup(F291,Sheet2!A:A,Sheet2!B:B)</f>
        <v>31</v>
      </c>
      <c r="H291" s="3" t="s">
        <v>241</v>
      </c>
      <c r="I291" s="3" t="str">
        <f t="array" ref="I291">JOIN("", SORT(MID(LOWER(H291), SEQUENCE(LEN(H291)), 1)))</f>
        <v>   ,aaaaaaaaaaddghhiilllmnnnrstty</v>
      </c>
      <c r="J291" s="3" t="s">
        <v>64</v>
      </c>
      <c r="K291" s="3">
        <f t="array" ref="K291">xlookup(J291,Sheet2!A:A,Sheet2!B:B)</f>
        <v>30</v>
      </c>
      <c r="L291" s="3" t="s">
        <v>241</v>
      </c>
      <c r="M291" s="3" t="s">
        <v>63</v>
      </c>
      <c r="N291" s="3">
        <f t="array" ref="N291">xlookup(M291,Sheet2!A:A,Sheet2!B:B)</f>
        <v>29</v>
      </c>
      <c r="O291" s="3" t="s">
        <v>241</v>
      </c>
      <c r="P291" s="4" t="str">
        <f t="shared" si="1"/>
        <v>289 : [31,30,29],</v>
      </c>
      <c r="Q291" s="4" t="str">
        <f t="shared" si="2"/>
        <v>289 : 2,</v>
      </c>
    </row>
    <row r="292">
      <c r="A292" s="3" t="s">
        <v>242</v>
      </c>
      <c r="B292" s="5">
        <v>310874.0</v>
      </c>
      <c r="C292" s="10">
        <v>290.0</v>
      </c>
      <c r="D292" s="3" t="s">
        <v>153</v>
      </c>
      <c r="E292" s="3">
        <f t="array" ref="E292">xlookup(D292,Sheet3!A:A,Sheet3!B:B)</f>
        <v>2</v>
      </c>
      <c r="F292" s="3" t="s">
        <v>61</v>
      </c>
      <c r="G292" s="3">
        <f t="array" ref="G292">xlookup(F292,Sheet2!A:A,Sheet2!B:B)</f>
        <v>31</v>
      </c>
      <c r="H292" s="3" t="s">
        <v>243</v>
      </c>
      <c r="I292" s="3" t="str">
        <f t="array" ref="I292">JOIN("", SORT(MID(LOWER(H292), SEQUENCE(LEN(H292)), 1)))</f>
        <v>   ,aaaaaaaaaaddghhiilllmnnnrstty</v>
      </c>
      <c r="J292" s="3" t="s">
        <v>64</v>
      </c>
      <c r="K292" s="3">
        <f t="array" ref="K292">xlookup(J292,Sheet2!A:A,Sheet2!B:B)</f>
        <v>30</v>
      </c>
      <c r="L292" s="3" t="s">
        <v>243</v>
      </c>
      <c r="M292" s="3" t="s">
        <v>63</v>
      </c>
      <c r="N292" s="3">
        <f t="array" ref="N292">xlookup(M292,Sheet2!A:A,Sheet2!B:B)</f>
        <v>29</v>
      </c>
      <c r="O292" s="3" t="s">
        <v>243</v>
      </c>
      <c r="P292" s="4" t="str">
        <f t="shared" si="1"/>
        <v>290 : [31,30,29],</v>
      </c>
      <c r="Q292" s="4" t="str">
        <f t="shared" si="2"/>
        <v>290 : 2,</v>
      </c>
    </row>
    <row r="293">
      <c r="A293" s="3" t="s">
        <v>398</v>
      </c>
      <c r="B293" s="5">
        <v>138453.0</v>
      </c>
      <c r="C293" s="10">
        <v>291.0</v>
      </c>
      <c r="D293" s="3" t="s">
        <v>282</v>
      </c>
      <c r="E293" s="3">
        <f t="array" ref="E293">xlookup(D293,Sheet3!A:A,Sheet3!B:B)</f>
        <v>1</v>
      </c>
      <c r="F293" s="3" t="s">
        <v>28</v>
      </c>
      <c r="G293" s="3">
        <f t="array" ref="G293">xlookup(F293,Sheet2!A:A,Sheet2!B:B)</f>
        <v>32</v>
      </c>
      <c r="H293" s="3" t="s">
        <v>399</v>
      </c>
      <c r="I293" s="3" t="str">
        <f t="array" ref="I293">JOIN("", SORT(MID(LOWER(H293), SEQUENCE(LEN(H293)), 1)))</f>
        <v>     ,,aaaaeeghhhhiiijjjlnnnnosssuu</v>
      </c>
      <c r="J293" s="3" t="s">
        <v>139</v>
      </c>
      <c r="K293" s="3">
        <f t="array" ref="K293">xlookup(J293,Sheet2!A:A,Sheet2!B:B)</f>
        <v>21</v>
      </c>
      <c r="L293" s="3" t="s">
        <v>399</v>
      </c>
      <c r="M293" s="3" t="s">
        <v>111</v>
      </c>
      <c r="N293" s="3">
        <f t="array" ref="N293">xlookup(M293,Sheet2!A:A,Sheet2!B:B)</f>
        <v>28</v>
      </c>
      <c r="O293" s="3" t="s">
        <v>399</v>
      </c>
      <c r="P293" s="4" t="str">
        <f t="shared" si="1"/>
        <v>291 : [32,21,28],</v>
      </c>
      <c r="Q293" s="4" t="str">
        <f t="shared" si="2"/>
        <v>291 : 1,</v>
      </c>
    </row>
    <row r="294">
      <c r="A294" s="3" t="s">
        <v>400</v>
      </c>
      <c r="B294" s="5">
        <v>119273.0</v>
      </c>
      <c r="C294" s="10">
        <v>292.0</v>
      </c>
      <c r="D294" s="3" t="s">
        <v>282</v>
      </c>
      <c r="E294" s="3">
        <f t="array" ref="E294">xlookup(D294,Sheet3!A:A,Sheet3!B:B)</f>
        <v>1</v>
      </c>
      <c r="F294" s="3" t="s">
        <v>15</v>
      </c>
      <c r="G294" s="3">
        <f t="array" ref="G294">xlookup(F294,Sheet2!A:A,Sheet2!B:B)</f>
        <v>0</v>
      </c>
      <c r="H294" s="3" t="s">
        <v>3</v>
      </c>
      <c r="I294" s="3" t="str">
        <f t="array" ref="I294">JOIN("", SORT(MID(LOWER(H294), SEQUENCE(LEN(H294)), 1)))</f>
        <v>an</v>
      </c>
      <c r="J294" s="3" t="s">
        <v>16</v>
      </c>
      <c r="K294" s="3">
        <f t="array" ref="K294">xlookup(J294,Sheet2!A:A,Sheet2!B:B)</f>
        <v>3</v>
      </c>
      <c r="L294" s="3" t="s">
        <v>3</v>
      </c>
      <c r="M294" s="3" t="s">
        <v>401</v>
      </c>
      <c r="N294" s="3">
        <f t="array" ref="N294">xlookup(M294,Sheet2!A:A,Sheet2!B:B)</f>
        <v>38</v>
      </c>
      <c r="O294" s="3" t="s">
        <v>3</v>
      </c>
      <c r="P294" s="4" t="str">
        <f t="shared" si="1"/>
        <v>292 : [0,3,38],</v>
      </c>
      <c r="Q294" s="4" t="str">
        <f t="shared" si="2"/>
        <v>292 : 1,</v>
      </c>
    </row>
    <row r="295">
      <c r="A295" s="3" t="s">
        <v>671</v>
      </c>
      <c r="B295" s="5">
        <v>137911.0</v>
      </c>
      <c r="C295" s="10">
        <v>293.0</v>
      </c>
      <c r="D295" s="3" t="s">
        <v>459</v>
      </c>
      <c r="E295" s="3">
        <f t="array" ref="E295">xlookup(D295,Sheet3!A:A,Sheet3!B:B)</f>
        <v>0</v>
      </c>
      <c r="F295" s="3" t="s">
        <v>465</v>
      </c>
      <c r="G295" s="3">
        <f t="array" ref="G295">xlookup(F295,Sheet2!A:A,Sheet2!B:B)</f>
        <v>36</v>
      </c>
      <c r="H295" s="3" t="s">
        <v>3</v>
      </c>
      <c r="I295" s="3" t="str">
        <f t="array" ref="I295">JOIN("", SORT(MID(LOWER(H295), SEQUENCE(LEN(H295)), 1)))</f>
        <v>an</v>
      </c>
      <c r="J295" s="3" t="s">
        <v>309</v>
      </c>
      <c r="K295" s="3">
        <f t="array" ref="K295">xlookup(J295,Sheet2!A:A,Sheet2!B:B)</f>
        <v>40</v>
      </c>
      <c r="L295" s="3" t="s">
        <v>3</v>
      </c>
      <c r="M295" s="3" t="s">
        <v>401</v>
      </c>
      <c r="N295" s="3">
        <f t="array" ref="N295">xlookup(M295,Sheet2!A:A,Sheet2!B:B)</f>
        <v>38</v>
      </c>
      <c r="O295" s="3" t="s">
        <v>3</v>
      </c>
      <c r="P295" s="4" t="str">
        <f t="shared" si="1"/>
        <v>293 : [36,40,38],</v>
      </c>
      <c r="Q295" s="4" t="str">
        <f t="shared" si="2"/>
        <v>293 : 0,</v>
      </c>
    </row>
    <row r="296">
      <c r="A296" s="3" t="s">
        <v>244</v>
      </c>
      <c r="B296" s="5">
        <v>113775.0</v>
      </c>
      <c r="C296" s="10">
        <v>294.0</v>
      </c>
      <c r="D296" s="3" t="s">
        <v>153</v>
      </c>
      <c r="E296" s="3">
        <f t="array" ref="E296">xlookup(D296,Sheet3!A:A,Sheet3!B:B)</f>
        <v>2</v>
      </c>
      <c r="F296" s="3" t="s">
        <v>32</v>
      </c>
      <c r="G296" s="3">
        <f t="array" ref="G296">xlookup(F296,Sheet2!A:A,Sheet2!B:B)</f>
        <v>11</v>
      </c>
      <c r="H296" s="3" t="s">
        <v>3</v>
      </c>
      <c r="I296" s="3" t="str">
        <f t="array" ref="I296">JOIN("", SORT(MID(LOWER(H296), SEQUENCE(LEN(H296)), 1)))</f>
        <v>an</v>
      </c>
      <c r="J296" s="3" t="s">
        <v>25</v>
      </c>
      <c r="K296" s="3">
        <f t="array" ref="K296">xlookup(J296,Sheet2!A:A,Sheet2!B:B)</f>
        <v>18</v>
      </c>
      <c r="L296" s="3" t="s">
        <v>3</v>
      </c>
      <c r="M296" s="3" t="s">
        <v>114</v>
      </c>
      <c r="N296" s="3">
        <f t="array" ref="N296">xlookup(M296,Sheet2!A:A,Sheet2!B:B)</f>
        <v>12</v>
      </c>
      <c r="O296" s="3" t="s">
        <v>3</v>
      </c>
      <c r="P296" s="4" t="str">
        <f t="shared" si="1"/>
        <v>294 : [11,18,12],</v>
      </c>
      <c r="Q296" s="4" t="str">
        <f t="shared" si="2"/>
        <v>294 : 2,</v>
      </c>
    </row>
    <row r="297">
      <c r="A297" s="3" t="s">
        <v>245</v>
      </c>
      <c r="B297" s="5">
        <v>189124.0</v>
      </c>
      <c r="C297" s="10">
        <v>295.0</v>
      </c>
      <c r="D297" s="3" t="s">
        <v>153</v>
      </c>
      <c r="E297" s="3">
        <f t="array" ref="E297">xlookup(D297,Sheet3!A:A,Sheet3!B:B)</f>
        <v>2</v>
      </c>
      <c r="F297" s="3" t="s">
        <v>2</v>
      </c>
      <c r="G297" s="3">
        <f t="array" ref="G297">xlookup(F297,Sheet2!A:A,Sheet2!B:B)</f>
        <v>25</v>
      </c>
      <c r="H297" s="3" t="s">
        <v>3</v>
      </c>
      <c r="I297" s="3" t="str">
        <f t="array" ref="I297">JOIN("", SORT(MID(LOWER(H297), SEQUENCE(LEN(H297)), 1)))</f>
        <v>an</v>
      </c>
      <c r="J297" s="3" t="s">
        <v>204</v>
      </c>
      <c r="K297" s="3">
        <f t="array" ref="K297">xlookup(J297,Sheet2!A:A,Sheet2!B:B)</f>
        <v>43</v>
      </c>
      <c r="L297" s="3" t="s">
        <v>3</v>
      </c>
      <c r="M297" s="3" t="s">
        <v>120</v>
      </c>
      <c r="N297" s="3">
        <f t="array" ref="N297">xlookup(M297,Sheet2!A:A,Sheet2!B:B)</f>
        <v>42</v>
      </c>
      <c r="O297" s="3" t="s">
        <v>3</v>
      </c>
      <c r="P297" s="4" t="str">
        <f t="shared" si="1"/>
        <v>295 : [25,43,42],</v>
      </c>
      <c r="Q297" s="4" t="str">
        <f t="shared" si="2"/>
        <v>295 : 2,</v>
      </c>
    </row>
    <row r="298">
      <c r="A298" s="3" t="s">
        <v>672</v>
      </c>
      <c r="B298" s="5">
        <v>178492.0</v>
      </c>
      <c r="C298" s="10">
        <v>296.0</v>
      </c>
      <c r="D298" s="3" t="s">
        <v>459</v>
      </c>
      <c r="E298" s="3">
        <f t="array" ref="E298">xlookup(D298,Sheet3!A:A,Sheet3!B:B)</f>
        <v>0</v>
      </c>
      <c r="F298" s="3" t="s">
        <v>109</v>
      </c>
      <c r="G298" s="3">
        <f t="array" ref="G298">xlookup(F298,Sheet2!A:A,Sheet2!B:B)</f>
        <v>49</v>
      </c>
      <c r="H298" s="3" t="s">
        <v>673</v>
      </c>
      <c r="I298" s="3" t="str">
        <f t="array" ref="I298">JOIN("", SORT(MID(LOWER(H298), SEQUENCE(LEN(H298)), 1)))</f>
        <v>     ,,aaabcdeeeffgghiilmnnnnrrsssuuvw</v>
      </c>
      <c r="J298" s="3" t="s">
        <v>28</v>
      </c>
      <c r="K298" s="3">
        <f t="array" ref="K298">xlookup(J298,Sheet2!A:A,Sheet2!B:B)</f>
        <v>32</v>
      </c>
      <c r="L298" s="3" t="s">
        <v>673</v>
      </c>
      <c r="M298" s="3" t="s">
        <v>35</v>
      </c>
      <c r="N298" s="3">
        <f t="array" ref="N298">xlookup(M298,Sheet2!A:A,Sheet2!B:B)</f>
        <v>45</v>
      </c>
      <c r="O298" s="3" t="s">
        <v>673</v>
      </c>
      <c r="P298" s="4" t="str">
        <f t="shared" si="1"/>
        <v>296 : [49,32,45],</v>
      </c>
      <c r="Q298" s="4" t="str">
        <f t="shared" si="2"/>
        <v>296 : 0,</v>
      </c>
    </row>
    <row r="299">
      <c r="A299" s="3" t="s">
        <v>674</v>
      </c>
      <c r="B299" s="5">
        <v>150153.0</v>
      </c>
      <c r="C299" s="10">
        <v>297.0</v>
      </c>
      <c r="D299" s="3" t="s">
        <v>459</v>
      </c>
      <c r="E299" s="3">
        <f t="array" ref="E299">xlookup(D299,Sheet3!A:A,Sheet3!B:B)</f>
        <v>0</v>
      </c>
      <c r="F299" s="3" t="s">
        <v>109</v>
      </c>
      <c r="G299" s="3">
        <f t="array" ref="G299">xlookup(F299,Sheet2!A:A,Sheet2!B:B)</f>
        <v>49</v>
      </c>
      <c r="H299" s="3" t="s">
        <v>675</v>
      </c>
      <c r="I299" s="3" t="str">
        <f t="array" ref="I299">JOIN("", SORT(MID(LOWER(H299), SEQUENCE(LEN(H299)), 1)))</f>
        <v>     ,,aaabcdeeeffgghiilmnnnnrrsssuuvw</v>
      </c>
      <c r="J299" s="3" t="s">
        <v>28</v>
      </c>
      <c r="K299" s="3">
        <f t="array" ref="K299">xlookup(J299,Sheet2!A:A,Sheet2!B:B)</f>
        <v>32</v>
      </c>
      <c r="L299" s="3" t="s">
        <v>675</v>
      </c>
      <c r="M299" s="3" t="s">
        <v>35</v>
      </c>
      <c r="N299" s="3">
        <f t="array" ref="N299">xlookup(M299,Sheet2!A:A,Sheet2!B:B)</f>
        <v>45</v>
      </c>
      <c r="O299" s="3" t="s">
        <v>675</v>
      </c>
      <c r="P299" s="4" t="str">
        <f t="shared" si="1"/>
        <v>297 : [49,32,45],</v>
      </c>
      <c r="Q299" s="4" t="str">
        <f t="shared" si="2"/>
        <v>297 : 0,</v>
      </c>
    </row>
    <row r="300">
      <c r="A300" s="3" t="s">
        <v>676</v>
      </c>
      <c r="B300" s="5">
        <v>151917.0</v>
      </c>
      <c r="C300" s="10">
        <v>298.0</v>
      </c>
      <c r="D300" s="3" t="s">
        <v>459</v>
      </c>
      <c r="E300" s="3">
        <f t="array" ref="E300">xlookup(D300,Sheet3!A:A,Sheet3!B:B)</f>
        <v>0</v>
      </c>
      <c r="F300" s="3" t="s">
        <v>109</v>
      </c>
      <c r="G300" s="3">
        <f t="array" ref="G300">xlookup(F300,Sheet2!A:A,Sheet2!B:B)</f>
        <v>49</v>
      </c>
      <c r="H300" s="3" t="s">
        <v>677</v>
      </c>
      <c r="I300" s="3" t="str">
        <f t="array" ref="I300">JOIN("", SORT(MID(LOWER(H300), SEQUENCE(LEN(H300)), 1)))</f>
        <v>     ,,aaabcdeeeffgghiilmnnnnrrsssuuvw</v>
      </c>
      <c r="J300" s="3" t="s">
        <v>28</v>
      </c>
      <c r="K300" s="3">
        <f t="array" ref="K300">xlookup(J300,Sheet2!A:A,Sheet2!B:B)</f>
        <v>32</v>
      </c>
      <c r="L300" s="3" t="s">
        <v>677</v>
      </c>
      <c r="M300" s="3" t="s">
        <v>35</v>
      </c>
      <c r="N300" s="3">
        <f t="array" ref="N300">xlookup(M300,Sheet2!A:A,Sheet2!B:B)</f>
        <v>45</v>
      </c>
      <c r="O300" s="3" t="s">
        <v>677</v>
      </c>
      <c r="P300" s="4" t="str">
        <f t="shared" si="1"/>
        <v>298 : [49,32,45],</v>
      </c>
      <c r="Q300" s="4" t="str">
        <f t="shared" si="2"/>
        <v>298 : 0,</v>
      </c>
    </row>
    <row r="301">
      <c r="A301" s="3" t="s">
        <v>402</v>
      </c>
      <c r="B301" s="5">
        <v>320421.0</v>
      </c>
      <c r="C301" s="10">
        <v>299.0</v>
      </c>
      <c r="D301" s="3" t="s">
        <v>282</v>
      </c>
      <c r="E301" s="3">
        <f t="array" ref="E301">xlookup(D301,Sheet3!A:A,Sheet3!B:B)</f>
        <v>1</v>
      </c>
      <c r="F301" s="3" t="s">
        <v>4</v>
      </c>
      <c r="G301" s="3">
        <f t="array" ref="G301">xlookup(F301,Sheet2!A:A,Sheet2!B:B)</f>
        <v>23</v>
      </c>
      <c r="H301" s="3" t="s">
        <v>3</v>
      </c>
      <c r="I301" s="3" t="str">
        <f t="array" ref="I301">JOIN("", SORT(MID(LOWER(H301), SEQUENCE(LEN(H301)), 1)))</f>
        <v>an</v>
      </c>
      <c r="J301" s="3" t="s">
        <v>120</v>
      </c>
      <c r="K301" s="3">
        <f t="array" ref="K301">xlookup(J301,Sheet2!A:A,Sheet2!B:B)</f>
        <v>42</v>
      </c>
      <c r="L301" s="3" t="s">
        <v>3</v>
      </c>
      <c r="M301" s="3" t="s">
        <v>2</v>
      </c>
      <c r="N301" s="3">
        <f t="array" ref="N301">xlookup(M301,Sheet2!A:A,Sheet2!B:B)</f>
        <v>25</v>
      </c>
      <c r="O301" s="3" t="s">
        <v>3</v>
      </c>
      <c r="P301" s="4" t="str">
        <f t="shared" si="1"/>
        <v>299 : [23,42,25],</v>
      </c>
      <c r="Q301" s="4" t="str">
        <f t="shared" si="2"/>
        <v>299 : 1,</v>
      </c>
    </row>
    <row r="302">
      <c r="A302" s="3" t="s">
        <v>403</v>
      </c>
      <c r="B302" s="5">
        <v>137945.0</v>
      </c>
      <c r="C302" s="10">
        <v>300.0</v>
      </c>
      <c r="D302" s="3" t="s">
        <v>282</v>
      </c>
      <c r="E302" s="3">
        <f t="array" ref="E302">xlookup(D302,Sheet3!A:A,Sheet3!B:B)</f>
        <v>1</v>
      </c>
      <c r="F302" s="3" t="s">
        <v>20</v>
      </c>
      <c r="G302" s="3">
        <f t="array" ref="G302">xlookup(F302,Sheet2!A:A,Sheet2!B:B)</f>
        <v>48</v>
      </c>
      <c r="H302" s="3" t="s">
        <v>404</v>
      </c>
      <c r="I302" s="3" t="str">
        <f t="array" ref="I302">JOIN("", SORT(MID(LOWER(H302), SEQUENCE(LEN(H302)), 1)))</f>
        <v>     ,,aaaaaaaaaaaaaccdeeehiijkklmnnnnnnorrrxy</v>
      </c>
      <c r="J302" s="3" t="s">
        <v>26</v>
      </c>
      <c r="K302" s="3">
        <f t="array" ref="K302">xlookup(J302,Sheet2!A:A,Sheet2!B:B)</f>
        <v>7</v>
      </c>
      <c r="L302" s="3" t="s">
        <v>404</v>
      </c>
      <c r="M302" s="3" t="s">
        <v>170</v>
      </c>
      <c r="N302" s="3">
        <f t="array" ref="N302">xlookup(M302,Sheet2!A:A,Sheet2!B:B)</f>
        <v>16</v>
      </c>
      <c r="O302" s="3" t="s">
        <v>404</v>
      </c>
      <c r="P302" s="4" t="str">
        <f t="shared" si="1"/>
        <v>300 : [48,7,16],</v>
      </c>
      <c r="Q302" s="4" t="str">
        <f t="shared" si="2"/>
        <v>300 : 1,</v>
      </c>
    </row>
    <row r="303">
      <c r="A303" s="3" t="s">
        <v>405</v>
      </c>
      <c r="B303" s="5">
        <v>503997.0</v>
      </c>
      <c r="C303" s="10">
        <v>301.0</v>
      </c>
      <c r="D303" s="3" t="s">
        <v>282</v>
      </c>
      <c r="E303" s="3">
        <f t="array" ref="E303">xlookup(D303,Sheet3!A:A,Sheet3!B:B)</f>
        <v>1</v>
      </c>
      <c r="F303" s="3" t="s">
        <v>63</v>
      </c>
      <c r="G303" s="3">
        <f t="array" ref="G303">xlookup(F303,Sheet2!A:A,Sheet2!B:B)</f>
        <v>29</v>
      </c>
      <c r="H303" s="3" t="s">
        <v>3</v>
      </c>
      <c r="I303" s="3" t="str">
        <f t="array" ref="I303">JOIN("", SORT(MID(LOWER(H303), SEQUENCE(LEN(H303)), 1)))</f>
        <v>an</v>
      </c>
      <c r="J303" s="3" t="s">
        <v>64</v>
      </c>
      <c r="K303" s="3">
        <f t="array" ref="K303">xlookup(J303,Sheet2!A:A,Sheet2!B:B)</f>
        <v>30</v>
      </c>
      <c r="L303" s="3" t="s">
        <v>3</v>
      </c>
      <c r="M303" s="3" t="s">
        <v>109</v>
      </c>
      <c r="N303" s="3">
        <f t="array" ref="N303">xlookup(M303,Sheet2!A:A,Sheet2!B:B)</f>
        <v>49</v>
      </c>
      <c r="O303" s="3" t="s">
        <v>3</v>
      </c>
      <c r="P303" s="4" t="str">
        <f t="shared" si="1"/>
        <v>301 : [29,30,49],</v>
      </c>
      <c r="Q303" s="4" t="str">
        <f t="shared" si="2"/>
        <v>301 : 1,</v>
      </c>
    </row>
    <row r="304">
      <c r="A304" s="3" t="s">
        <v>678</v>
      </c>
      <c r="B304" s="5">
        <v>151672.0</v>
      </c>
      <c r="C304" s="10">
        <v>302.0</v>
      </c>
      <c r="D304" s="3" t="s">
        <v>459</v>
      </c>
      <c r="E304" s="3">
        <f t="array" ref="E304">xlookup(D304,Sheet3!A:A,Sheet3!B:B)</f>
        <v>0</v>
      </c>
      <c r="F304" s="3" t="s">
        <v>96</v>
      </c>
      <c r="G304" s="3">
        <f t="array" ref="G304">xlookup(F304,Sheet2!A:A,Sheet2!B:B)</f>
        <v>47</v>
      </c>
      <c r="H304" s="3" t="s">
        <v>679</v>
      </c>
      <c r="I304" s="3" t="str">
        <f t="array" ref="I304">JOIN("", SORT(MID(LOWER(H304), SEQUENCE(LEN(H304)), 1)))</f>
        <v>   ,()adeeeeikmnnnoprrtw</v>
      </c>
      <c r="J304" s="3" t="s">
        <v>124</v>
      </c>
      <c r="K304" s="3">
        <f t="array" ref="K304">xlookup(J304,Sheet2!A:A,Sheet2!B:B)</f>
        <v>46</v>
      </c>
      <c r="L304" s="3" t="s">
        <v>679</v>
      </c>
      <c r="M304" s="3" t="s">
        <v>39</v>
      </c>
      <c r="N304" s="3">
        <f t="array" ref="N304">xlookup(M304,Sheet2!A:A,Sheet2!B:B)</f>
        <v>20</v>
      </c>
      <c r="O304" s="3" t="s">
        <v>679</v>
      </c>
      <c r="P304" s="4" t="str">
        <f t="shared" si="1"/>
        <v>302 : [47,46,20],</v>
      </c>
      <c r="Q304" s="4" t="str">
        <f t="shared" si="2"/>
        <v>302 : 0,</v>
      </c>
    </row>
    <row r="305">
      <c r="A305" s="3" t="s">
        <v>406</v>
      </c>
      <c r="B305" s="5">
        <v>118770.0</v>
      </c>
      <c r="C305" s="10">
        <v>303.0</v>
      </c>
      <c r="D305" s="3" t="s">
        <v>282</v>
      </c>
      <c r="E305" s="3">
        <f t="array" ref="E305">xlookup(D305,Sheet3!A:A,Sheet3!B:B)</f>
        <v>1</v>
      </c>
      <c r="F305" s="3" t="s">
        <v>120</v>
      </c>
      <c r="G305" s="3">
        <f t="array" ref="G305">xlookup(F305,Sheet2!A:A,Sheet2!B:B)</f>
        <v>42</v>
      </c>
      <c r="H305" s="3" t="s">
        <v>3</v>
      </c>
      <c r="I305" s="3" t="str">
        <f t="array" ref="I305">JOIN("", SORT(MID(LOWER(H305), SEQUENCE(LEN(H305)), 1)))</f>
        <v>an</v>
      </c>
      <c r="J305" s="3" t="s">
        <v>204</v>
      </c>
      <c r="K305" s="3">
        <f t="array" ref="K305">xlookup(J305,Sheet2!A:A,Sheet2!B:B)</f>
        <v>43</v>
      </c>
      <c r="L305" s="3" t="s">
        <v>3</v>
      </c>
      <c r="M305" s="3" t="s">
        <v>105</v>
      </c>
      <c r="N305" s="3">
        <f t="array" ref="N305">xlookup(M305,Sheet2!A:A,Sheet2!B:B)</f>
        <v>26</v>
      </c>
      <c r="O305" s="3" t="s">
        <v>3</v>
      </c>
      <c r="P305" s="4" t="str">
        <f t="shared" si="1"/>
        <v>303 : [42,43,26],</v>
      </c>
      <c r="Q305" s="4" t="str">
        <f t="shared" si="2"/>
        <v>303 : 1,</v>
      </c>
    </row>
    <row r="306">
      <c r="A306" s="3" t="s">
        <v>407</v>
      </c>
      <c r="B306" s="5">
        <v>149616.0</v>
      </c>
      <c r="C306" s="10">
        <v>304.0</v>
      </c>
      <c r="D306" s="3" t="s">
        <v>282</v>
      </c>
      <c r="E306" s="3">
        <f t="array" ref="E306">xlookup(D306,Sheet3!A:A,Sheet3!B:B)</f>
        <v>1</v>
      </c>
      <c r="F306" s="3" t="s">
        <v>204</v>
      </c>
      <c r="G306" s="3">
        <f t="array" ref="G306">xlookup(F306,Sheet2!A:A,Sheet2!B:B)</f>
        <v>43</v>
      </c>
      <c r="H306" s="3" t="s">
        <v>3</v>
      </c>
      <c r="I306" s="3" t="str">
        <f t="array" ref="I306">JOIN("", SORT(MID(LOWER(H306), SEQUENCE(LEN(H306)), 1)))</f>
        <v>an</v>
      </c>
      <c r="J306" s="3" t="s">
        <v>2</v>
      </c>
      <c r="K306" s="3">
        <f t="array" ref="K306">xlookup(J306,Sheet2!A:A,Sheet2!B:B)</f>
        <v>25</v>
      </c>
      <c r="L306" s="3" t="s">
        <v>3</v>
      </c>
      <c r="M306" s="3" t="s">
        <v>120</v>
      </c>
      <c r="N306" s="3">
        <f t="array" ref="N306">xlookup(M306,Sheet2!A:A,Sheet2!B:B)</f>
        <v>42</v>
      </c>
      <c r="O306" s="3" t="s">
        <v>3</v>
      </c>
      <c r="P306" s="4" t="str">
        <f t="shared" si="1"/>
        <v>304 : [43,25,42],</v>
      </c>
      <c r="Q306" s="4" t="str">
        <f t="shared" si="2"/>
        <v>304 : 1,</v>
      </c>
    </row>
    <row r="307">
      <c r="A307" s="3" t="s">
        <v>411</v>
      </c>
      <c r="B307" s="5">
        <v>148487.0</v>
      </c>
      <c r="C307" s="10">
        <v>305.0</v>
      </c>
      <c r="D307" s="3" t="s">
        <v>459</v>
      </c>
      <c r="E307" s="3">
        <f t="array" ref="E307">xlookup(D307,Sheet3!A:A,Sheet3!B:B)</f>
        <v>0</v>
      </c>
      <c r="F307" s="3" t="s">
        <v>72</v>
      </c>
      <c r="G307" s="3">
        <f t="array" ref="G307">xlookup(F307,Sheet2!A:A,Sheet2!B:B)</f>
        <v>34</v>
      </c>
      <c r="H307" s="3" t="s">
        <v>410</v>
      </c>
      <c r="I307" s="3" t="str">
        <f t="array" ref="I307">JOIN("", SORT(MID(LOWER(H307), SEQUENCE(LEN(H307)), 1)))</f>
        <v>   ,abbcdeeghiiijnnnnnorrsty</v>
      </c>
      <c r="J307" s="3" t="s">
        <v>7</v>
      </c>
      <c r="K307" s="3">
        <f t="array" ref="K307">xlookup(J307,Sheet2!A:A,Sheet2!B:B)</f>
        <v>15</v>
      </c>
      <c r="L307" s="3" t="s">
        <v>410</v>
      </c>
      <c r="M307" s="3" t="s">
        <v>10</v>
      </c>
      <c r="N307" s="3">
        <f t="array" ref="N307">xlookup(M307,Sheet2!A:A,Sheet2!B:B)</f>
        <v>9</v>
      </c>
      <c r="O307" s="3" t="s">
        <v>410</v>
      </c>
      <c r="P307" s="4" t="str">
        <f t="shared" si="1"/>
        <v>305 : [34,15,9],</v>
      </c>
      <c r="Q307" s="4" t="str">
        <f t="shared" si="2"/>
        <v>305 : 0,</v>
      </c>
    </row>
    <row r="308">
      <c r="A308" s="3" t="s">
        <v>246</v>
      </c>
      <c r="B308" s="5">
        <v>111838.0</v>
      </c>
      <c r="C308" s="10">
        <v>306.0</v>
      </c>
      <c r="D308" s="3" t="s">
        <v>153</v>
      </c>
      <c r="E308" s="3">
        <f t="array" ref="E308">xlookup(D308,Sheet3!A:A,Sheet3!B:B)</f>
        <v>2</v>
      </c>
      <c r="F308" s="3" t="s">
        <v>74</v>
      </c>
      <c r="G308" s="3">
        <f t="array" ref="G308">xlookup(F308,Sheet2!A:A,Sheet2!B:B)</f>
        <v>50</v>
      </c>
      <c r="H308" s="3" t="s">
        <v>247</v>
      </c>
      <c r="I308" s="3" t="str">
        <f t="array" ref="I308">JOIN("", SORT(MID(LOWER(H308), SEQUENCE(LEN(H308)), 1)))</f>
        <v>   ,aaaadddeehiikknnprrsvy</v>
      </c>
      <c r="J308" s="3" t="s">
        <v>76</v>
      </c>
      <c r="K308" s="3">
        <f t="array" ref="K308">xlookup(J308,Sheet2!A:A,Sheet2!B:B)</f>
        <v>24</v>
      </c>
      <c r="L308" s="3" t="s">
        <v>247</v>
      </c>
      <c r="M308" s="3" t="s">
        <v>72</v>
      </c>
      <c r="N308" s="3">
        <f t="array" ref="N308">xlookup(M308,Sheet2!A:A,Sheet2!B:B)</f>
        <v>34</v>
      </c>
      <c r="O308" s="3" t="s">
        <v>247</v>
      </c>
      <c r="P308" s="4" t="str">
        <f t="shared" si="1"/>
        <v>306 : [50,24,34],</v>
      </c>
      <c r="Q308" s="4" t="str">
        <f t="shared" si="2"/>
        <v>306 : 2,</v>
      </c>
    </row>
    <row r="309">
      <c r="A309" s="3" t="s">
        <v>408</v>
      </c>
      <c r="B309" s="5">
        <v>162280.0</v>
      </c>
      <c r="C309" s="10">
        <v>307.0</v>
      </c>
      <c r="D309" s="3" t="s">
        <v>282</v>
      </c>
      <c r="E309" s="3">
        <f t="array" ref="E309">xlookup(D309,Sheet3!A:A,Sheet3!B:B)</f>
        <v>1</v>
      </c>
      <c r="F309" s="3" t="s">
        <v>5</v>
      </c>
      <c r="G309" s="3">
        <f t="array" ref="G309">xlookup(F309,Sheet2!A:A,Sheet2!B:B)</f>
        <v>35</v>
      </c>
      <c r="H309" s="3" t="s">
        <v>3</v>
      </c>
      <c r="I309" s="3" t="str">
        <f t="array" ref="I309">JOIN("", SORT(MID(LOWER(H309), SEQUENCE(LEN(H309)), 1)))</f>
        <v>an</v>
      </c>
      <c r="J309" s="3" t="s">
        <v>18</v>
      </c>
      <c r="K309" s="3">
        <f t="array" ref="K309">xlookup(J309,Sheet2!A:A,Sheet2!B:B)</f>
        <v>22</v>
      </c>
      <c r="L309" s="3" t="s">
        <v>3</v>
      </c>
      <c r="M309" s="3" t="s">
        <v>105</v>
      </c>
      <c r="N309" s="3">
        <f t="array" ref="N309">xlookup(M309,Sheet2!A:A,Sheet2!B:B)</f>
        <v>26</v>
      </c>
      <c r="O309" s="3" t="s">
        <v>3</v>
      </c>
      <c r="P309" s="4" t="str">
        <f t="shared" si="1"/>
        <v>307 : [35,22,26],</v>
      </c>
      <c r="Q309" s="4" t="str">
        <f t="shared" si="2"/>
        <v>307 : 1,</v>
      </c>
    </row>
    <row r="310">
      <c r="A310" s="3" t="s">
        <v>409</v>
      </c>
      <c r="B310" s="5">
        <v>138608.0</v>
      </c>
      <c r="C310" s="10">
        <v>308.0</v>
      </c>
      <c r="D310" s="3" t="s">
        <v>282</v>
      </c>
      <c r="E310" s="3">
        <f t="array" ref="E310">xlookup(D310,Sheet3!A:A,Sheet3!B:B)</f>
        <v>1</v>
      </c>
      <c r="F310" s="3" t="s">
        <v>72</v>
      </c>
      <c r="G310" s="3">
        <f t="array" ref="G310">xlookup(F310,Sheet2!A:A,Sheet2!B:B)</f>
        <v>34</v>
      </c>
      <c r="H310" s="3" t="s">
        <v>411</v>
      </c>
      <c r="I310" s="3" t="str">
        <f t="array" ref="I310">JOIN("", SORT(MID(LOWER(H310), SEQUENCE(LEN(H310)), 1)))</f>
        <v> bcdeehinnorrsy</v>
      </c>
      <c r="J310" s="3" t="s">
        <v>7</v>
      </c>
      <c r="K310" s="3">
        <f t="array" ref="K310">xlookup(J310,Sheet2!A:A,Sheet2!B:B)</f>
        <v>15</v>
      </c>
      <c r="L310" s="3" t="s">
        <v>411</v>
      </c>
      <c r="M310" s="3" t="s">
        <v>10</v>
      </c>
      <c r="N310" s="3">
        <f t="array" ref="N310">xlookup(M310,Sheet2!A:A,Sheet2!B:B)</f>
        <v>9</v>
      </c>
      <c r="O310" s="3" t="s">
        <v>411</v>
      </c>
      <c r="P310" s="4" t="str">
        <f t="shared" si="1"/>
        <v>308 : [34,15,9],</v>
      </c>
      <c r="Q310" s="4" t="str">
        <f t="shared" si="2"/>
        <v>308 : 1,</v>
      </c>
    </row>
    <row r="311">
      <c r="A311" s="3" t="s">
        <v>52</v>
      </c>
      <c r="B311" s="5">
        <v>111512.0</v>
      </c>
      <c r="C311" s="10">
        <v>309.0</v>
      </c>
      <c r="D311" s="3" t="s">
        <v>1</v>
      </c>
      <c r="E311" s="3">
        <f t="array" ref="E311">xlookup(D311,Sheet3!A:A,Sheet3!B:B)</f>
        <v>5</v>
      </c>
      <c r="F311" s="3" t="s">
        <v>20</v>
      </c>
      <c r="G311" s="3">
        <f t="array" ref="G311">xlookup(F311,Sheet2!A:A,Sheet2!B:B)</f>
        <v>48</v>
      </c>
      <c r="H311" s="3" t="s">
        <v>53</v>
      </c>
      <c r="I311" s="3" t="str">
        <f t="array" ref="I311">JOIN("", SORT(MID(LOWER(H311), SEQUENCE(LEN(H311)), 1)))</f>
        <v>     ,,aaaaccehhiiiiilllllmooprrssuuuy</v>
      </c>
      <c r="J311" s="3" t="s">
        <v>21</v>
      </c>
      <c r="K311" s="3">
        <f t="array" ref="K311">xlookup(J311,Sheet2!A:A,Sheet2!B:B)</f>
        <v>10</v>
      </c>
      <c r="L311" s="3" t="s">
        <v>53</v>
      </c>
      <c r="M311" s="3" t="s">
        <v>34</v>
      </c>
      <c r="N311" s="3">
        <f t="array" ref="N311">xlookup(M311,Sheet2!A:A,Sheet2!B:B)</f>
        <v>8</v>
      </c>
      <c r="O311" s="3" t="s">
        <v>53</v>
      </c>
      <c r="P311" s="4" t="str">
        <f t="shared" si="1"/>
        <v>309 : [48,10,8],</v>
      </c>
      <c r="Q311" s="4" t="str">
        <f t="shared" si="2"/>
        <v>309 : 5,</v>
      </c>
    </row>
    <row r="312">
      <c r="A312" s="3" t="s">
        <v>248</v>
      </c>
      <c r="B312" s="5">
        <v>110571.0</v>
      </c>
      <c r="C312" s="10">
        <v>310.0</v>
      </c>
      <c r="D312" s="3" t="s">
        <v>153</v>
      </c>
      <c r="E312" s="3">
        <f t="array" ref="E312">xlookup(D312,Sheet3!A:A,Sheet3!B:B)</f>
        <v>2</v>
      </c>
      <c r="F312" s="3" t="s">
        <v>74</v>
      </c>
      <c r="G312" s="3">
        <f t="array" ref="G312">xlookup(F312,Sheet2!A:A,Sheet2!B:B)</f>
        <v>50</v>
      </c>
      <c r="H312" s="3" t="s">
        <v>249</v>
      </c>
      <c r="I312" s="3" t="str">
        <f t="array" ref="I312">JOIN("", SORT(MID(LOWER(H312), SEQUENCE(LEN(H312)), 1)))</f>
        <v>   ,aaaaaacehhillmnnnorsuy</v>
      </c>
      <c r="J312" s="3" t="s">
        <v>76</v>
      </c>
      <c r="K312" s="3">
        <f t="array" ref="K312">xlookup(J312,Sheet2!A:A,Sheet2!B:B)</f>
        <v>24</v>
      </c>
      <c r="L312" s="3" t="s">
        <v>249</v>
      </c>
      <c r="M312" s="3" t="s">
        <v>9</v>
      </c>
      <c r="N312" s="3">
        <f t="array" ref="N312">xlookup(M312,Sheet2!A:A,Sheet2!B:B)</f>
        <v>5</v>
      </c>
      <c r="O312" s="3" t="s">
        <v>249</v>
      </c>
      <c r="P312" s="4" t="str">
        <f t="shared" si="1"/>
        <v>310 : [50,24,5],</v>
      </c>
      <c r="Q312" s="4" t="str">
        <f t="shared" si="2"/>
        <v>310 : 2,</v>
      </c>
    </row>
    <row r="313">
      <c r="A313" s="3" t="s">
        <v>680</v>
      </c>
      <c r="B313" s="5">
        <v>180390.0</v>
      </c>
      <c r="C313" s="10">
        <v>311.0</v>
      </c>
      <c r="D313" s="3" t="s">
        <v>459</v>
      </c>
      <c r="E313" s="3">
        <f t="array" ref="E313">xlookup(D313,Sheet3!A:A,Sheet3!B:B)</f>
        <v>0</v>
      </c>
      <c r="F313" s="3" t="s">
        <v>7</v>
      </c>
      <c r="G313" s="3">
        <f t="array" ref="G313">xlookup(F313,Sheet2!A:A,Sheet2!B:B)</f>
        <v>15</v>
      </c>
      <c r="H313" s="3" t="s">
        <v>681</v>
      </c>
      <c r="I313" s="3" t="str">
        <f t="array" ref="I313">JOIN("", SORT(MID(LOWER(H313), SEQUENCE(LEN(H313)), 1)))</f>
        <v>    ,aacccdeeegillnnoorttuy</v>
      </c>
      <c r="J313" s="3" t="s">
        <v>4</v>
      </c>
      <c r="K313" s="3">
        <f t="array" ref="K313">xlookup(J313,Sheet2!A:A,Sheet2!B:B)</f>
        <v>23</v>
      </c>
      <c r="L313" s="3" t="s">
        <v>3</v>
      </c>
      <c r="M313" s="3" t="s">
        <v>42</v>
      </c>
      <c r="N313" s="3">
        <f t="array" ref="N313">xlookup(M313,Sheet2!A:A,Sheet2!B:B)</f>
        <v>14</v>
      </c>
      <c r="O313" s="3" t="s">
        <v>3</v>
      </c>
      <c r="P313" s="4" t="str">
        <f t="shared" si="1"/>
        <v>311 : [15,23,14],</v>
      </c>
      <c r="Q313" s="4" t="str">
        <f t="shared" si="2"/>
        <v>311 : 0,</v>
      </c>
    </row>
    <row r="314">
      <c r="A314" s="3" t="s">
        <v>682</v>
      </c>
      <c r="B314" s="5">
        <v>171656.0</v>
      </c>
      <c r="C314" s="10">
        <v>312.0</v>
      </c>
      <c r="D314" s="3" t="s">
        <v>459</v>
      </c>
      <c r="E314" s="3">
        <f t="array" ref="E314">xlookup(D314,Sheet3!A:A,Sheet3!B:B)</f>
        <v>0</v>
      </c>
      <c r="F314" s="3" t="s">
        <v>20</v>
      </c>
      <c r="G314" s="3">
        <f t="array" ref="G314">xlookup(F314,Sheet2!A:A,Sheet2!B:B)</f>
        <v>48</v>
      </c>
      <c r="H314" s="3" t="s">
        <v>3</v>
      </c>
      <c r="I314" s="3" t="str">
        <f t="array" ref="I314">JOIN("", SORT(MID(LOWER(H314), SEQUENCE(LEN(H314)), 1)))</f>
        <v>an</v>
      </c>
      <c r="J314" s="3" t="s">
        <v>109</v>
      </c>
      <c r="K314" s="3">
        <f t="array" ref="K314">xlookup(J314,Sheet2!A:A,Sheet2!B:B)</f>
        <v>49</v>
      </c>
      <c r="L314" s="3" t="s">
        <v>3</v>
      </c>
      <c r="M314" s="3" t="s">
        <v>7</v>
      </c>
      <c r="N314" s="3">
        <f t="array" ref="N314">xlookup(M314,Sheet2!A:A,Sheet2!B:B)</f>
        <v>15</v>
      </c>
      <c r="O314" s="3" t="s">
        <v>455</v>
      </c>
      <c r="P314" s="4" t="str">
        <f t="shared" si="1"/>
        <v>312 : [48,49,15],</v>
      </c>
      <c r="Q314" s="4" t="str">
        <f t="shared" si="2"/>
        <v>312 : 0,</v>
      </c>
    </row>
    <row r="315">
      <c r="A315" s="3" t="s">
        <v>412</v>
      </c>
      <c r="B315" s="5">
        <v>137122.0</v>
      </c>
      <c r="C315" s="10">
        <v>313.0</v>
      </c>
      <c r="D315" s="3" t="s">
        <v>282</v>
      </c>
      <c r="E315" s="3">
        <f t="array" ref="E315">xlookup(D315,Sheet3!A:A,Sheet3!B:B)</f>
        <v>1</v>
      </c>
      <c r="F315" s="3" t="s">
        <v>9</v>
      </c>
      <c r="G315" s="3">
        <f t="array" ref="G315">xlookup(F315,Sheet2!A:A,Sheet2!B:B)</f>
        <v>5</v>
      </c>
      <c r="H315" s="3" t="s">
        <v>414</v>
      </c>
      <c r="I315" s="3" t="str">
        <f t="array" ref="I315">JOIN("", SORT(MID(LOWER(H315), SEQUENCE(LEN(H315)), 1)))</f>
        <v> aabeiimnssy</v>
      </c>
      <c r="J315" s="3" t="s">
        <v>76</v>
      </c>
      <c r="K315" s="3">
        <f t="array" ref="K315">xlookup(J315,Sheet2!A:A,Sheet2!B:B)</f>
        <v>24</v>
      </c>
      <c r="L315" s="3" t="s">
        <v>414</v>
      </c>
      <c r="M315" s="3" t="s">
        <v>7</v>
      </c>
      <c r="N315" s="3">
        <f t="array" ref="N315">xlookup(M315,Sheet2!A:A,Sheet2!B:B)</f>
        <v>15</v>
      </c>
      <c r="O315" s="3" t="s">
        <v>414</v>
      </c>
      <c r="P315" s="4" t="str">
        <f t="shared" si="1"/>
        <v>313 : [5,24,15],</v>
      </c>
      <c r="Q315" s="4" t="str">
        <f t="shared" si="2"/>
        <v>313 : 1,</v>
      </c>
    </row>
    <row r="316">
      <c r="A316" s="3" t="s">
        <v>683</v>
      </c>
      <c r="B316" s="5">
        <v>137855.0</v>
      </c>
      <c r="C316" s="10">
        <v>314.0</v>
      </c>
      <c r="D316" s="3" t="s">
        <v>459</v>
      </c>
      <c r="E316" s="3">
        <f t="array" ref="E316">xlookup(D316,Sheet3!A:A,Sheet3!B:B)</f>
        <v>0</v>
      </c>
      <c r="F316" s="3" t="s">
        <v>9</v>
      </c>
      <c r="G316" s="3">
        <f t="array" ref="G316">xlookup(F316,Sheet2!A:A,Sheet2!B:B)</f>
        <v>5</v>
      </c>
      <c r="H316" s="3" t="s">
        <v>684</v>
      </c>
      <c r="I316" s="3" t="str">
        <f t="array" ref="I316">JOIN("", SORT(MID(LOWER(H316), SEQUENCE(LEN(H316)), 1)))</f>
        <v>     &amp;aaaaabbceehiiiimmnnorssuy</v>
      </c>
      <c r="J316" s="3" t="s">
        <v>76</v>
      </c>
      <c r="K316" s="3">
        <f t="array" ref="K316">xlookup(J316,Sheet2!A:A,Sheet2!B:B)</f>
        <v>24</v>
      </c>
      <c r="L316" s="3" t="s">
        <v>684</v>
      </c>
      <c r="M316" s="3" t="s">
        <v>7</v>
      </c>
      <c r="N316" s="3">
        <f t="array" ref="N316">xlookup(M316,Sheet2!A:A,Sheet2!B:B)</f>
        <v>15</v>
      </c>
      <c r="O316" s="3" t="s">
        <v>685</v>
      </c>
      <c r="P316" s="4" t="str">
        <f t="shared" si="1"/>
        <v>314 : [5,24,15],</v>
      </c>
      <c r="Q316" s="4" t="str">
        <f t="shared" si="2"/>
        <v>314 : 0,</v>
      </c>
    </row>
    <row r="317">
      <c r="A317" s="3" t="s">
        <v>415</v>
      </c>
      <c r="B317" s="5">
        <v>137374.0</v>
      </c>
      <c r="C317" s="10">
        <v>315.0</v>
      </c>
      <c r="D317" s="3" t="s">
        <v>282</v>
      </c>
      <c r="E317" s="3">
        <f t="array" ref="E317">xlookup(D317,Sheet3!A:A,Sheet3!B:B)</f>
        <v>1</v>
      </c>
      <c r="F317" s="3" t="s">
        <v>64</v>
      </c>
      <c r="G317" s="3">
        <f t="array" ref="G317">xlookup(F317,Sheet2!A:A,Sheet2!B:B)</f>
        <v>30</v>
      </c>
      <c r="H317" s="3" t="s">
        <v>416</v>
      </c>
      <c r="I317" s="3" t="str">
        <f t="array" ref="I317">JOIN("", SORT(MID(LOWER(H317), SEQUENCE(LEN(H317)), 1)))</f>
        <v>   ,aaeeeeiillmnouxxy</v>
      </c>
      <c r="J317" s="3" t="s">
        <v>28</v>
      </c>
      <c r="K317" s="3">
        <f t="array" ref="K317">xlookup(J317,Sheet2!A:A,Sheet2!B:B)</f>
        <v>32</v>
      </c>
      <c r="L317" s="3" t="s">
        <v>416</v>
      </c>
      <c r="M317" s="3" t="s">
        <v>96</v>
      </c>
      <c r="N317" s="3">
        <f t="array" ref="N317">xlookup(M317,Sheet2!A:A,Sheet2!B:B)</f>
        <v>47</v>
      </c>
      <c r="O317" s="3" t="s">
        <v>416</v>
      </c>
      <c r="P317" s="4" t="str">
        <f t="shared" si="1"/>
        <v>315 : [30,32,47],</v>
      </c>
      <c r="Q317" s="4" t="str">
        <f t="shared" si="2"/>
        <v>315 : 1,</v>
      </c>
    </row>
    <row r="318">
      <c r="A318" s="3" t="s">
        <v>417</v>
      </c>
      <c r="B318" s="5">
        <v>136889.0</v>
      </c>
      <c r="C318" s="10">
        <v>316.0</v>
      </c>
      <c r="D318" s="3" t="s">
        <v>282</v>
      </c>
      <c r="E318" s="3">
        <f t="array" ref="E318">xlookup(D318,Sheet3!A:A,Sheet3!B:B)</f>
        <v>1</v>
      </c>
      <c r="F318" s="3" t="s">
        <v>64</v>
      </c>
      <c r="G318" s="3">
        <f t="array" ref="G318">xlookup(F318,Sheet2!A:A,Sheet2!B:B)</f>
        <v>30</v>
      </c>
      <c r="H318" s="3" t="s">
        <v>416</v>
      </c>
      <c r="I318" s="3" t="str">
        <f t="array" ref="I318">JOIN("", SORT(MID(LOWER(H318), SEQUENCE(LEN(H318)), 1)))</f>
        <v>   ,aaeeeeiillmnouxxy</v>
      </c>
      <c r="J318" s="3" t="s">
        <v>28</v>
      </c>
      <c r="K318" s="3">
        <f t="array" ref="K318">xlookup(J318,Sheet2!A:A,Sheet2!B:B)</f>
        <v>32</v>
      </c>
      <c r="L318" s="3" t="s">
        <v>416</v>
      </c>
      <c r="M318" s="3" t="s">
        <v>96</v>
      </c>
      <c r="N318" s="3">
        <f t="array" ref="N318">xlookup(M318,Sheet2!A:A,Sheet2!B:B)</f>
        <v>47</v>
      </c>
      <c r="O318" s="3" t="s">
        <v>416</v>
      </c>
      <c r="P318" s="4" t="str">
        <f t="shared" si="1"/>
        <v>316 : [30,32,47],</v>
      </c>
      <c r="Q318" s="4" t="str">
        <f t="shared" si="2"/>
        <v>316 : 1,</v>
      </c>
    </row>
    <row r="319">
      <c r="A319" s="3" t="s">
        <v>686</v>
      </c>
      <c r="B319" s="5">
        <v>323044.0</v>
      </c>
      <c r="C319" s="10">
        <v>317.0</v>
      </c>
      <c r="D319" s="3" t="s">
        <v>459</v>
      </c>
      <c r="E319" s="3">
        <f t="array" ref="E319">xlookup(D319,Sheet3!A:A,Sheet3!B:B)</f>
        <v>0</v>
      </c>
      <c r="F319" s="3" t="s">
        <v>35</v>
      </c>
      <c r="G319" s="3">
        <f t="array" ref="G319">xlookup(F319,Sheet2!A:A,Sheet2!B:B)</f>
        <v>45</v>
      </c>
      <c r="H319" s="3" t="s">
        <v>687</v>
      </c>
      <c r="I319" s="3" t="str">
        <f t="array" ref="I319">JOIN("", SORT(MID(LOWER(H319), SEQUENCE(LEN(H319)), 1)))</f>
        <v>     ,,aaaaaaaaaaccdhhhhiiiiiikkklmnprrrrsstttuw</v>
      </c>
      <c r="J319" s="3" t="s">
        <v>111</v>
      </c>
      <c r="K319" s="3">
        <f t="array" ref="K319">xlookup(J319,Sheet2!A:A,Sheet2!B:B)</f>
        <v>28</v>
      </c>
      <c r="L319" s="3" t="s">
        <v>687</v>
      </c>
      <c r="M319" s="3" t="s">
        <v>114</v>
      </c>
      <c r="N319" s="3">
        <f t="array" ref="N319">xlookup(M319,Sheet2!A:A,Sheet2!B:B)</f>
        <v>12</v>
      </c>
      <c r="O319" s="3" t="s">
        <v>687</v>
      </c>
      <c r="P319" s="4" t="str">
        <f t="shared" si="1"/>
        <v>317 : [45,28,12],</v>
      </c>
      <c r="Q319" s="4" t="str">
        <f t="shared" si="2"/>
        <v>317 : 0,</v>
      </c>
    </row>
    <row r="320">
      <c r="A320" s="3" t="s">
        <v>688</v>
      </c>
      <c r="B320" s="5">
        <v>192465.0</v>
      </c>
      <c r="C320" s="10">
        <v>318.0</v>
      </c>
      <c r="D320" s="3" t="s">
        <v>459</v>
      </c>
      <c r="E320" s="3">
        <f t="array" ref="E320">xlookup(D320,Sheet3!A:A,Sheet3!B:B)</f>
        <v>0</v>
      </c>
      <c r="F320" s="3" t="s">
        <v>35</v>
      </c>
      <c r="G320" s="3">
        <f t="array" ref="G320">xlookup(F320,Sheet2!A:A,Sheet2!B:B)</f>
        <v>45</v>
      </c>
      <c r="H320" s="3" t="s">
        <v>689</v>
      </c>
      <c r="I320" s="3" t="str">
        <f t="array" ref="I320">JOIN("", SORT(MID(LOWER(H320), SEQUENCE(LEN(H320)), 1)))</f>
        <v>     ,,aaaaaaaaaaccdhhhhiiiiiikklmnprrrrrsstttuw</v>
      </c>
      <c r="J320" s="3" t="s">
        <v>111</v>
      </c>
      <c r="K320" s="3">
        <f t="array" ref="K320">xlookup(J320,Sheet2!A:A,Sheet2!B:B)</f>
        <v>28</v>
      </c>
      <c r="L320" s="3" t="s">
        <v>689</v>
      </c>
      <c r="M320" s="3" t="s">
        <v>114</v>
      </c>
      <c r="N320" s="3">
        <f t="array" ref="N320">xlookup(M320,Sheet2!A:A,Sheet2!B:B)</f>
        <v>12</v>
      </c>
      <c r="O320" s="3" t="s">
        <v>689</v>
      </c>
      <c r="P320" s="4" t="str">
        <f t="shared" si="1"/>
        <v>318 : [45,28,12],</v>
      </c>
      <c r="Q320" s="4" t="str">
        <f t="shared" si="2"/>
        <v>318 : 0,</v>
      </c>
    </row>
    <row r="321">
      <c r="A321" s="3" t="s">
        <v>690</v>
      </c>
      <c r="B321" s="5">
        <v>110366.0</v>
      </c>
      <c r="C321" s="10">
        <v>319.0</v>
      </c>
      <c r="D321" s="3" t="s">
        <v>459</v>
      </c>
      <c r="E321" s="3">
        <f t="array" ref="E321">xlookup(D321,Sheet3!A:A,Sheet3!B:B)</f>
        <v>0</v>
      </c>
      <c r="F321" s="3" t="s">
        <v>74</v>
      </c>
      <c r="G321" s="3">
        <f t="array" ref="G321">xlookup(F321,Sheet2!A:A,Sheet2!B:B)</f>
        <v>50</v>
      </c>
      <c r="H321" s="3" t="s">
        <v>691</v>
      </c>
      <c r="I321" s="3" t="str">
        <f t="array" ref="I321">JOIN("", SORT(MID(LOWER(H321), SEQUENCE(LEN(H321)), 1)))</f>
        <v>   ,aaaaaacehhillmnnnorsuy</v>
      </c>
      <c r="J321" s="3" t="s">
        <v>76</v>
      </c>
      <c r="K321" s="3">
        <f t="array" ref="K321">xlookup(J321,Sheet2!A:A,Sheet2!B:B)</f>
        <v>24</v>
      </c>
      <c r="L321" s="3" t="s">
        <v>691</v>
      </c>
      <c r="M321" s="3" t="s">
        <v>9</v>
      </c>
      <c r="N321" s="3">
        <f t="array" ref="N321">xlookup(M321,Sheet2!A:A,Sheet2!B:B)</f>
        <v>5</v>
      </c>
      <c r="O321" s="3" t="s">
        <v>691</v>
      </c>
      <c r="P321" s="4" t="str">
        <f t="shared" si="1"/>
        <v>319 : [50,24,5],</v>
      </c>
      <c r="Q321" s="4" t="str">
        <f t="shared" si="2"/>
        <v>319 : 0,</v>
      </c>
    </row>
    <row r="322">
      <c r="A322" s="3" t="s">
        <v>1656</v>
      </c>
      <c r="B322" s="3" t="s">
        <v>1657</v>
      </c>
      <c r="C322" s="10">
        <v>320.0</v>
      </c>
      <c r="D322" s="3" t="s">
        <v>459</v>
      </c>
      <c r="E322" s="3">
        <f t="array" ref="E322">xlookup(D322,Sheet3!A:A,Sheet3!B:B)</f>
        <v>0</v>
      </c>
      <c r="F322" s="3" t="s">
        <v>28</v>
      </c>
      <c r="G322" s="3">
        <f t="array" ref="G322">xlookup(F322,Sheet2!A:A,Sheet2!B:B)</f>
        <v>32</v>
      </c>
      <c r="H322" s="3" t="s">
        <v>3</v>
      </c>
      <c r="I322" s="3" t="str">
        <f t="array" ref="I322">JOIN("", SORT(MID(LOWER(H322), SEQUENCE(LEN(H322)), 1)))</f>
        <v>an</v>
      </c>
      <c r="J322" s="3" t="s">
        <v>34</v>
      </c>
      <c r="K322" s="3">
        <f t="array" ref="K322">xlookup(J322,Sheet2!A:A,Sheet2!B:B)</f>
        <v>8</v>
      </c>
      <c r="L322" s="3" t="s">
        <v>3</v>
      </c>
      <c r="M322" s="3" t="s">
        <v>109</v>
      </c>
      <c r="N322" s="3">
        <f t="array" ref="N322">xlookup(M322,Sheet2!A:A,Sheet2!B:B)</f>
        <v>49</v>
      </c>
      <c r="O322" s="3" t="s">
        <v>3</v>
      </c>
      <c r="P322" s="4" t="str">
        <f t="shared" si="1"/>
        <v>320 : [32,8,49],</v>
      </c>
      <c r="Q322" s="4" t="str">
        <f t="shared" si="2"/>
        <v>320 : 0,</v>
      </c>
    </row>
    <row r="323">
      <c r="A323" s="3" t="s">
        <v>418</v>
      </c>
      <c r="B323" s="5">
        <v>111847.0</v>
      </c>
      <c r="C323" s="10">
        <v>321.0</v>
      </c>
      <c r="D323" s="3" t="s">
        <v>282</v>
      </c>
      <c r="E323" s="3">
        <f t="array" ref="E323">xlookup(D323,Sheet3!A:A,Sheet3!B:B)</f>
        <v>1</v>
      </c>
      <c r="F323" s="3" t="s">
        <v>7</v>
      </c>
      <c r="G323" s="3">
        <f t="array" ref="G323">xlookup(F323,Sheet2!A:A,Sheet2!B:B)</f>
        <v>15</v>
      </c>
      <c r="H323" s="3" t="s">
        <v>419</v>
      </c>
      <c r="I323" s="3" t="str">
        <f t="array" ref="I323">JOIN("", SORT(MID(LOWER(H323), SEQUENCE(LEN(H323)), 1)))</f>
        <v>   ,aacdhlprrttuuuuvy</v>
      </c>
      <c r="J323" s="3" t="s">
        <v>125</v>
      </c>
      <c r="K323" s="3">
        <f t="array" ref="K323">xlookup(J323,Sheet2!A:A,Sheet2!B:B)</f>
        <v>19</v>
      </c>
      <c r="L323" s="3" t="s">
        <v>419</v>
      </c>
      <c r="M323" s="3" t="s">
        <v>10</v>
      </c>
      <c r="N323" s="3">
        <f t="array" ref="N323">xlookup(M323,Sheet2!A:A,Sheet2!B:B)</f>
        <v>9</v>
      </c>
      <c r="O323" s="3" t="s">
        <v>419</v>
      </c>
      <c r="P323" s="4" t="str">
        <f t="shared" si="1"/>
        <v>321 : [15,19,9],</v>
      </c>
      <c r="Q323" s="4" t="str">
        <f t="shared" si="2"/>
        <v>321 : 1,</v>
      </c>
    </row>
    <row r="324">
      <c r="A324" s="3" t="s">
        <v>420</v>
      </c>
      <c r="B324" s="5">
        <v>181685.0</v>
      </c>
      <c r="C324" s="10">
        <v>322.0</v>
      </c>
      <c r="D324" s="3" t="s">
        <v>282</v>
      </c>
      <c r="E324" s="3">
        <f t="array" ref="E324">xlookup(D324,Sheet3!A:A,Sheet3!B:B)</f>
        <v>1</v>
      </c>
      <c r="F324" s="3" t="s">
        <v>7</v>
      </c>
      <c r="G324" s="3">
        <f t="array" ref="G324">xlookup(F324,Sheet2!A:A,Sheet2!B:B)</f>
        <v>15</v>
      </c>
      <c r="H324" s="3" t="s">
        <v>421</v>
      </c>
      <c r="I324" s="3" t="str">
        <f t="array" ref="I324">JOIN("", SORT(MID(LOWER(H324), SEQUENCE(LEN(H324)), 1)))</f>
        <v>   ,aacdhlprrttuuuuvy</v>
      </c>
      <c r="J324" s="3" t="s">
        <v>125</v>
      </c>
      <c r="K324" s="3">
        <f t="array" ref="K324">xlookup(J324,Sheet2!A:A,Sheet2!B:B)</f>
        <v>19</v>
      </c>
      <c r="L324" s="3" t="s">
        <v>421</v>
      </c>
      <c r="M324" s="3" t="s">
        <v>10</v>
      </c>
      <c r="N324" s="3">
        <f t="array" ref="N324">xlookup(M324,Sheet2!A:A,Sheet2!B:B)</f>
        <v>9</v>
      </c>
      <c r="O324" s="3" t="s">
        <v>421</v>
      </c>
      <c r="P324" s="4" t="str">
        <f t="shared" si="1"/>
        <v>322 : [15,19,9],</v>
      </c>
      <c r="Q324" s="4" t="str">
        <f t="shared" si="2"/>
        <v>322 : 1,</v>
      </c>
    </row>
    <row r="325">
      <c r="A325" s="3" t="s">
        <v>693</v>
      </c>
      <c r="B325" s="5">
        <v>203326.0</v>
      </c>
      <c r="C325" s="10">
        <v>323.0</v>
      </c>
      <c r="D325" s="3" t="s">
        <v>459</v>
      </c>
      <c r="E325" s="3">
        <f t="array" ref="E325">xlookup(D325,Sheet3!A:A,Sheet3!B:B)</f>
        <v>0</v>
      </c>
      <c r="F325" s="3" t="s">
        <v>9</v>
      </c>
      <c r="G325" s="3">
        <f t="array" ref="G325">xlookup(F325,Sheet2!A:A,Sheet2!B:B)</f>
        <v>5</v>
      </c>
      <c r="H325" s="3" t="s">
        <v>694</v>
      </c>
      <c r="I325" s="3" t="str">
        <f t="array" ref="I325">JOIN("", SORT(MID(LOWER(H325), SEQUENCE(LEN(H325)), 1)))</f>
        <v>   ,aaaaaaaacdghhhhiiiikllmnnnnnrtuvy</v>
      </c>
      <c r="J325" s="3" t="s">
        <v>74</v>
      </c>
      <c r="K325" s="3">
        <f t="array" ref="K325">xlookup(J325,Sheet2!A:A,Sheet2!B:B)</f>
        <v>50</v>
      </c>
      <c r="L325" s="3" t="s">
        <v>694</v>
      </c>
      <c r="M325" s="3" t="s">
        <v>5</v>
      </c>
      <c r="N325" s="3">
        <f t="array" ref="N325">xlookup(M325,Sheet2!A:A,Sheet2!B:B)</f>
        <v>35</v>
      </c>
      <c r="O325" s="3" t="s">
        <v>694</v>
      </c>
      <c r="P325" s="4" t="str">
        <f t="shared" si="1"/>
        <v>323 : [5,50,35],</v>
      </c>
      <c r="Q325" s="4" t="str">
        <f t="shared" si="2"/>
        <v>323 : 0,</v>
      </c>
    </row>
    <row r="326">
      <c r="A326" s="3" t="s">
        <v>695</v>
      </c>
      <c r="B326" s="5">
        <v>197831.0</v>
      </c>
      <c r="C326" s="10">
        <v>324.0</v>
      </c>
      <c r="D326" s="3" t="s">
        <v>459</v>
      </c>
      <c r="E326" s="3">
        <f t="array" ref="E326">xlookup(D326,Sheet3!A:A,Sheet3!B:B)</f>
        <v>0</v>
      </c>
      <c r="F326" s="3" t="s">
        <v>9</v>
      </c>
      <c r="G326" s="3">
        <f t="array" ref="G326">xlookup(F326,Sheet2!A:A,Sheet2!B:B)</f>
        <v>5</v>
      </c>
      <c r="H326" s="3" t="s">
        <v>696</v>
      </c>
      <c r="I326" s="3" t="str">
        <f t="array" ref="I326">JOIN("", SORT(MID(LOWER(H326), SEQUENCE(LEN(H326)), 1)))</f>
        <v>   ,aaaaaaaacdghhhhiiiikllmnnnnnrtuvy</v>
      </c>
      <c r="J326" s="3" t="s">
        <v>74</v>
      </c>
      <c r="K326" s="3">
        <f t="array" ref="K326">xlookup(J326,Sheet2!A:A,Sheet2!B:B)</f>
        <v>50</v>
      </c>
      <c r="L326" s="3" t="s">
        <v>696</v>
      </c>
      <c r="M326" s="3" t="s">
        <v>5</v>
      </c>
      <c r="N326" s="3">
        <f t="array" ref="N326">xlookup(M326,Sheet2!A:A,Sheet2!B:B)</f>
        <v>35</v>
      </c>
      <c r="O326" s="3" t="s">
        <v>696</v>
      </c>
      <c r="P326" s="4" t="str">
        <f t="shared" si="1"/>
        <v>324 : [5,50,35],</v>
      </c>
      <c r="Q326" s="4" t="str">
        <f t="shared" si="2"/>
        <v>324 : 0,</v>
      </c>
    </row>
    <row r="327">
      <c r="A327" s="3" t="s">
        <v>697</v>
      </c>
      <c r="B327" s="5">
        <v>150390.0</v>
      </c>
      <c r="C327" s="10">
        <v>325.0</v>
      </c>
      <c r="D327" s="3" t="s">
        <v>459</v>
      </c>
      <c r="E327" s="3">
        <f t="array" ref="E327">xlookup(D327,Sheet3!A:A,Sheet3!B:B)</f>
        <v>0</v>
      </c>
      <c r="F327" s="3" t="s">
        <v>12</v>
      </c>
      <c r="G327" s="3">
        <f t="array" ref="G327">xlookup(F327,Sheet2!A:A,Sheet2!B:B)</f>
        <v>41</v>
      </c>
      <c r="H327" s="3" t="s">
        <v>3</v>
      </c>
      <c r="I327" s="3" t="str">
        <f t="array" ref="I327">JOIN("", SORT(MID(LOWER(H327), SEQUENCE(LEN(H327)), 1)))</f>
        <v>an</v>
      </c>
      <c r="J327" s="3" t="s">
        <v>184</v>
      </c>
      <c r="K327" s="3">
        <f t="array" ref="K327">xlookup(J327,Sheet2!A:A,Sheet2!B:B)</f>
        <v>4</v>
      </c>
      <c r="L327" s="3" t="s">
        <v>3</v>
      </c>
      <c r="M327" s="3" t="s">
        <v>139</v>
      </c>
      <c r="N327" s="3">
        <f t="array" ref="N327">xlookup(M327,Sheet2!A:A,Sheet2!B:B)</f>
        <v>21</v>
      </c>
      <c r="O327" s="3" t="s">
        <v>3</v>
      </c>
      <c r="P327" s="4" t="str">
        <f t="shared" si="1"/>
        <v>325 : [41,4,21],</v>
      </c>
      <c r="Q327" s="4" t="str">
        <f t="shared" si="2"/>
        <v>325 : 0,</v>
      </c>
    </row>
    <row r="328">
      <c r="A328" s="3" t="s">
        <v>698</v>
      </c>
      <c r="B328" s="5">
        <v>301529.0</v>
      </c>
      <c r="C328" s="10">
        <v>326.0</v>
      </c>
      <c r="D328" s="3" t="s">
        <v>459</v>
      </c>
      <c r="E328" s="3">
        <f t="array" ref="E328">xlookup(D328,Sheet3!A:A,Sheet3!B:B)</f>
        <v>0</v>
      </c>
      <c r="F328" s="3" t="s">
        <v>47</v>
      </c>
      <c r="G328" s="3">
        <f t="array" ref="G328">xlookup(F328,Sheet2!A:A,Sheet2!B:B)</f>
        <v>27</v>
      </c>
      <c r="H328" s="3" t="s">
        <v>3</v>
      </c>
      <c r="I328" s="3" t="str">
        <f t="array" ref="I328">JOIN("", SORT(MID(LOWER(H328), SEQUENCE(LEN(H328)), 1)))</f>
        <v>an</v>
      </c>
      <c r="J328" s="3" t="s">
        <v>111</v>
      </c>
      <c r="K328" s="3">
        <f t="array" ref="K328">xlookup(J328,Sheet2!A:A,Sheet2!B:B)</f>
        <v>28</v>
      </c>
      <c r="L328" s="3" t="s">
        <v>3</v>
      </c>
      <c r="M328" s="3" t="s">
        <v>28</v>
      </c>
      <c r="N328" s="3">
        <f t="array" ref="N328">xlookup(M328,Sheet2!A:A,Sheet2!B:B)</f>
        <v>32</v>
      </c>
      <c r="O328" s="3" t="s">
        <v>3</v>
      </c>
      <c r="P328" s="4" t="str">
        <f t="shared" si="1"/>
        <v>326 : [27,28,32],</v>
      </c>
      <c r="Q328" s="4" t="str">
        <f t="shared" si="2"/>
        <v>326 : 0,</v>
      </c>
    </row>
    <row r="329">
      <c r="A329" s="3" t="s">
        <v>699</v>
      </c>
      <c r="B329" s="5">
        <v>149907.0</v>
      </c>
      <c r="C329" s="10">
        <v>327.0</v>
      </c>
      <c r="D329" s="3" t="s">
        <v>459</v>
      </c>
      <c r="E329" s="3">
        <f t="array" ref="E329">xlookup(D329,Sheet3!A:A,Sheet3!B:B)</f>
        <v>0</v>
      </c>
      <c r="F329" s="3" t="s">
        <v>74</v>
      </c>
      <c r="G329" s="3">
        <f t="array" ref="G329">xlookup(F329,Sheet2!A:A,Sheet2!B:B)</f>
        <v>50</v>
      </c>
      <c r="H329" s="3" t="s">
        <v>700</v>
      </c>
      <c r="I329" s="3" t="str">
        <f t="array" ref="I329">JOIN("", SORT(MID(LOWER(H329), SEQUENCE(LEN(H329)), 1)))</f>
        <v>   ,aaaaaaaeehhkklnprtttuy</v>
      </c>
      <c r="J329" s="3" t="s">
        <v>76</v>
      </c>
      <c r="K329" s="3">
        <f t="array" ref="K329">xlookup(J329,Sheet2!A:A,Sheet2!B:B)</f>
        <v>24</v>
      </c>
      <c r="L329" s="3" t="s">
        <v>700</v>
      </c>
      <c r="M329" s="3" t="s">
        <v>7</v>
      </c>
      <c r="N329" s="3">
        <f t="array" ref="N329">xlookup(M329,Sheet2!A:A,Sheet2!B:B)</f>
        <v>15</v>
      </c>
      <c r="O329" s="3" t="s">
        <v>700</v>
      </c>
      <c r="P329" s="4" t="str">
        <f t="shared" si="1"/>
        <v>327 : [50,24,15],</v>
      </c>
      <c r="Q329" s="4" t="str">
        <f t="shared" si="2"/>
        <v>327 : 0,</v>
      </c>
    </row>
    <row r="330">
      <c r="A330" s="3" t="s">
        <v>701</v>
      </c>
      <c r="B330" s="5">
        <v>150418.0</v>
      </c>
      <c r="C330" s="10">
        <v>328.0</v>
      </c>
      <c r="D330" s="3" t="s">
        <v>459</v>
      </c>
      <c r="E330" s="3">
        <f t="array" ref="E330">xlookup(D330,Sheet3!A:A,Sheet3!B:B)</f>
        <v>0</v>
      </c>
      <c r="F330" s="3" t="s">
        <v>74</v>
      </c>
      <c r="G330" s="3">
        <f t="array" ref="G330">xlookup(F330,Sheet2!A:A,Sheet2!B:B)</f>
        <v>50</v>
      </c>
      <c r="H330" s="3" t="s">
        <v>700</v>
      </c>
      <c r="I330" s="3" t="str">
        <f t="array" ref="I330">JOIN("", SORT(MID(LOWER(H330), SEQUENCE(LEN(H330)), 1)))</f>
        <v>   ,aaaaaaaeehhkklnprtttuy</v>
      </c>
      <c r="J330" s="3" t="s">
        <v>76</v>
      </c>
      <c r="K330" s="3">
        <f t="array" ref="K330">xlookup(J330,Sheet2!A:A,Sheet2!B:B)</f>
        <v>24</v>
      </c>
      <c r="L330" s="3" t="s">
        <v>700</v>
      </c>
      <c r="M330" s="3" t="s">
        <v>7</v>
      </c>
      <c r="N330" s="3">
        <f t="array" ref="N330">xlookup(M330,Sheet2!A:A,Sheet2!B:B)</f>
        <v>15</v>
      </c>
      <c r="O330" s="3" t="s">
        <v>700</v>
      </c>
      <c r="P330" s="4" t="str">
        <f t="shared" si="1"/>
        <v>328 : [50,24,15],</v>
      </c>
      <c r="Q330" s="4" t="str">
        <f t="shared" si="2"/>
        <v>328 : 0,</v>
      </c>
    </row>
    <row r="331">
      <c r="A331" s="3" t="s">
        <v>54</v>
      </c>
      <c r="B331" s="5">
        <v>163664.0</v>
      </c>
      <c r="C331" s="10">
        <v>329.0</v>
      </c>
      <c r="D331" s="3" t="s">
        <v>1</v>
      </c>
      <c r="E331" s="3">
        <f t="array" ref="E331">xlookup(D331,Sheet3!A:A,Sheet3!B:B)</f>
        <v>5</v>
      </c>
      <c r="F331" s="3" t="s">
        <v>32</v>
      </c>
      <c r="G331" s="3">
        <f t="array" ref="G331">xlookup(F331,Sheet2!A:A,Sheet2!B:B)</f>
        <v>11</v>
      </c>
      <c r="H331" s="3" t="s">
        <v>55</v>
      </c>
      <c r="I331" s="3" t="str">
        <f t="array" ref="I331">JOIN("", SORT(MID(LOWER(H331), SEQUENCE(LEN(H331)), 1)))</f>
        <v>     ,,aaaabceeeghhiiiijklllllnooossuvy</v>
      </c>
      <c r="J331" s="3" t="s">
        <v>34</v>
      </c>
      <c r="K331" s="3">
        <f t="array" ref="K331">xlookup(J331,Sheet2!A:A,Sheet2!B:B)</f>
        <v>8</v>
      </c>
      <c r="L331" s="3" t="s">
        <v>55</v>
      </c>
      <c r="M331" s="3" t="s">
        <v>35</v>
      </c>
      <c r="N331" s="3">
        <f t="array" ref="N331">xlookup(M331,Sheet2!A:A,Sheet2!B:B)</f>
        <v>45</v>
      </c>
      <c r="O331" s="3" t="s">
        <v>55</v>
      </c>
      <c r="P331" s="4" t="str">
        <f t="shared" si="1"/>
        <v>329 : [11,8,45],</v>
      </c>
      <c r="Q331" s="4" t="str">
        <f t="shared" si="2"/>
        <v>329 : 5,</v>
      </c>
    </row>
    <row r="332">
      <c r="A332" s="3" t="s">
        <v>702</v>
      </c>
      <c r="B332" s="5">
        <v>182956.0</v>
      </c>
      <c r="C332" s="10">
        <v>330.0</v>
      </c>
      <c r="D332" s="3" t="s">
        <v>459</v>
      </c>
      <c r="E332" s="3">
        <f t="array" ref="E332">xlookup(D332,Sheet3!A:A,Sheet3!B:B)</f>
        <v>0</v>
      </c>
      <c r="F332" s="3" t="s">
        <v>309</v>
      </c>
      <c r="G332" s="3">
        <f t="array" ref="G332">xlookup(F332,Sheet2!A:A,Sheet2!B:B)</f>
        <v>40</v>
      </c>
      <c r="H332" s="3" t="s">
        <v>3</v>
      </c>
      <c r="I332" s="3" t="str">
        <f t="array" ref="I332">JOIN("", SORT(MID(LOWER(H332), SEQUENCE(LEN(H332)), 1)))</f>
        <v>an</v>
      </c>
      <c r="J332" s="3" t="s">
        <v>191</v>
      </c>
      <c r="K332" s="3">
        <f t="array" ref="K332">xlookup(J332,Sheet2!A:A,Sheet2!B:B)</f>
        <v>39</v>
      </c>
      <c r="L332" s="3" t="s">
        <v>3</v>
      </c>
      <c r="M332" s="3" t="s">
        <v>465</v>
      </c>
      <c r="N332" s="3">
        <f t="array" ref="N332">xlookup(M332,Sheet2!A:A,Sheet2!B:B)</f>
        <v>36</v>
      </c>
      <c r="O332" s="3" t="s">
        <v>3</v>
      </c>
      <c r="P332" s="4" t="str">
        <f t="shared" si="1"/>
        <v>330 : [40,39,36],</v>
      </c>
      <c r="Q332" s="4" t="str">
        <f t="shared" si="2"/>
        <v>330 : 0,</v>
      </c>
    </row>
    <row r="333">
      <c r="A333" s="3" t="s">
        <v>703</v>
      </c>
      <c r="B333" s="5">
        <v>152785.0</v>
      </c>
      <c r="C333" s="10">
        <v>331.0</v>
      </c>
      <c r="D333" s="3" t="s">
        <v>459</v>
      </c>
      <c r="E333" s="3">
        <f t="array" ref="E333">xlookup(D333,Sheet3!A:A,Sheet3!B:B)</f>
        <v>0</v>
      </c>
      <c r="F333" s="3" t="s">
        <v>20</v>
      </c>
      <c r="G333" s="3">
        <f t="array" ref="G333">xlookup(F333,Sheet2!A:A,Sheet2!B:B)</f>
        <v>48</v>
      </c>
      <c r="H333" s="3" t="s">
        <v>704</v>
      </c>
      <c r="I333" s="3" t="str">
        <f t="array" ref="I333">JOIN("", SORT(MID(LOWER(H333), SEQUENCE(LEN(H333)), 1)))</f>
        <v>     ,,aaaaaaaaabbddghhiiilnnrrrsstyy</v>
      </c>
      <c r="J333" s="3" t="s">
        <v>465</v>
      </c>
      <c r="K333" s="3">
        <f t="array" ref="K333">xlookup(J333,Sheet2!A:A,Sheet2!B:B)</f>
        <v>36</v>
      </c>
      <c r="L333" s="3" t="s">
        <v>3</v>
      </c>
      <c r="M333" s="3" t="s">
        <v>238</v>
      </c>
      <c r="N333" s="3">
        <f t="array" ref="N333">xlookup(M333,Sheet2!A:A,Sheet2!B:B)</f>
        <v>37</v>
      </c>
      <c r="O333" s="3" t="s">
        <v>3</v>
      </c>
      <c r="P333" s="4" t="str">
        <f t="shared" si="1"/>
        <v>331 : [48,36,37],</v>
      </c>
      <c r="Q333" s="4" t="str">
        <f t="shared" si="2"/>
        <v>331 : 0,</v>
      </c>
    </row>
    <row r="334">
      <c r="A334" s="3" t="s">
        <v>705</v>
      </c>
      <c r="B334" s="5">
        <v>311782.0</v>
      </c>
      <c r="C334" s="10">
        <v>332.0</v>
      </c>
      <c r="D334" s="3" t="s">
        <v>459</v>
      </c>
      <c r="E334" s="3">
        <f t="array" ref="E334">xlookup(D334,Sheet3!A:A,Sheet3!B:B)</f>
        <v>0</v>
      </c>
      <c r="F334" s="3" t="s">
        <v>184</v>
      </c>
      <c r="G334" s="3">
        <f t="array" ref="G334">xlookup(F334,Sheet2!A:A,Sheet2!B:B)</f>
        <v>4</v>
      </c>
      <c r="H334" s="3" t="s">
        <v>706</v>
      </c>
      <c r="I334" s="3" t="str">
        <f t="array" ref="I334">JOIN("", SORT(MID(LOWER(H334), SEQUENCE(LEN(H334)), 1)))</f>
        <v>      ,,aaaaaabbeeehhiijmmnnnnorrtttt</v>
      </c>
      <c r="J334" s="3" t="s">
        <v>64</v>
      </c>
      <c r="K334" s="3">
        <f t="array" ref="K334">xlookup(J334,Sheet2!A:A,Sheet2!B:B)</f>
        <v>30</v>
      </c>
      <c r="L334" s="3" t="s">
        <v>706</v>
      </c>
      <c r="M334" s="3" t="s">
        <v>111</v>
      </c>
      <c r="N334" s="3">
        <f t="array" ref="N334">xlookup(M334,Sheet2!A:A,Sheet2!B:B)</f>
        <v>28</v>
      </c>
      <c r="O334" s="3" t="s">
        <v>706</v>
      </c>
      <c r="P334" s="4" t="str">
        <f t="shared" si="1"/>
        <v>332 : [4,30,28],</v>
      </c>
      <c r="Q334" s="4" t="str">
        <f t="shared" si="2"/>
        <v>332 : 0,</v>
      </c>
    </row>
    <row r="335">
      <c r="A335" s="3" t="s">
        <v>707</v>
      </c>
      <c r="B335" s="3" t="s">
        <v>1658</v>
      </c>
      <c r="C335" s="10">
        <v>333.0</v>
      </c>
      <c r="D335" s="3" t="s">
        <v>459</v>
      </c>
      <c r="E335" s="3">
        <f t="array" ref="E335">xlookup(D335,Sheet3!A:A,Sheet3!B:B)</f>
        <v>0</v>
      </c>
      <c r="F335" s="3" t="s">
        <v>184</v>
      </c>
      <c r="G335" s="3">
        <f t="array" ref="G335">xlookup(F335,Sheet2!A:A,Sheet2!B:B)</f>
        <v>4</v>
      </c>
      <c r="H335" s="3" t="s">
        <v>708</v>
      </c>
      <c r="I335" s="3" t="str">
        <f t="array" ref="I335">JOIN("", SORT(MID(LOWER(H335), SEQUENCE(LEN(H335)), 1)))</f>
        <v>      ,,aaaaaabbeeehhiijmmnnnnorrtttt</v>
      </c>
      <c r="J335" s="3" t="s">
        <v>64</v>
      </c>
      <c r="K335" s="3">
        <f t="array" ref="K335">xlookup(J335,Sheet2!A:A,Sheet2!B:B)</f>
        <v>30</v>
      </c>
      <c r="L335" s="3" t="s">
        <v>708</v>
      </c>
      <c r="M335" s="3" t="s">
        <v>111</v>
      </c>
      <c r="N335" s="3">
        <f t="array" ref="N335">xlookup(M335,Sheet2!A:A,Sheet2!B:B)</f>
        <v>28</v>
      </c>
      <c r="O335" s="3" t="s">
        <v>708</v>
      </c>
      <c r="P335" s="4" t="str">
        <f t="shared" si="1"/>
        <v>333 : [4,30,28],</v>
      </c>
      <c r="Q335" s="4" t="str">
        <f t="shared" si="2"/>
        <v>333 : 0,</v>
      </c>
    </row>
    <row r="336">
      <c r="A336" s="3" t="s">
        <v>709</v>
      </c>
      <c r="B336" s="5">
        <v>191634.0</v>
      </c>
      <c r="C336" s="10">
        <v>334.0</v>
      </c>
      <c r="D336" s="3" t="s">
        <v>459</v>
      </c>
      <c r="E336" s="3">
        <f t="array" ref="E336">xlookup(D336,Sheet3!A:A,Sheet3!B:B)</f>
        <v>0</v>
      </c>
      <c r="F336" s="3" t="s">
        <v>184</v>
      </c>
      <c r="G336" s="3">
        <f t="array" ref="G336">xlookup(F336,Sheet2!A:A,Sheet2!B:B)</f>
        <v>4</v>
      </c>
      <c r="H336" s="3" t="s">
        <v>710</v>
      </c>
      <c r="I336" s="3" t="str">
        <f t="array" ref="I336">JOIN("", SORT(MID(LOWER(H336), SEQUENCE(LEN(H336)), 1)))</f>
        <v>      ,,aaaaaabbeeehhiijmmnnnnorrtttt</v>
      </c>
      <c r="J336" s="3" t="s">
        <v>64</v>
      </c>
      <c r="K336" s="3">
        <f t="array" ref="K336">xlookup(J336,Sheet2!A:A,Sheet2!B:B)</f>
        <v>30</v>
      </c>
      <c r="L336" s="3" t="s">
        <v>710</v>
      </c>
      <c r="M336" s="3" t="s">
        <v>111</v>
      </c>
      <c r="N336" s="3">
        <f t="array" ref="N336">xlookup(M336,Sheet2!A:A,Sheet2!B:B)</f>
        <v>28</v>
      </c>
      <c r="O336" s="3" t="s">
        <v>710</v>
      </c>
      <c r="P336" s="4" t="str">
        <f t="shared" si="1"/>
        <v>334 : [4,30,28],</v>
      </c>
      <c r="Q336" s="4" t="str">
        <f t="shared" si="2"/>
        <v>334 : 0,</v>
      </c>
    </row>
    <row r="337">
      <c r="A337" s="3" t="s">
        <v>711</v>
      </c>
      <c r="B337" s="5">
        <v>186129.0</v>
      </c>
      <c r="C337" s="10">
        <v>335.0</v>
      </c>
      <c r="D337" s="3" t="s">
        <v>459</v>
      </c>
      <c r="E337" s="3">
        <f t="array" ref="E337">xlookup(D337,Sheet3!A:A,Sheet3!B:B)</f>
        <v>0</v>
      </c>
      <c r="F337" s="3" t="s">
        <v>13</v>
      </c>
      <c r="G337" s="3">
        <f t="array" ref="G337">xlookup(F337,Sheet2!A:A,Sheet2!B:B)</f>
        <v>17</v>
      </c>
      <c r="H337" s="3" t="s">
        <v>3</v>
      </c>
      <c r="I337" s="3" t="str">
        <f t="array" ref="I337">JOIN("", SORT(MID(LOWER(H337), SEQUENCE(LEN(H337)), 1)))</f>
        <v>an</v>
      </c>
      <c r="J337" s="3" t="s">
        <v>401</v>
      </c>
      <c r="K337" s="3">
        <f t="array" ref="K337">xlookup(J337,Sheet2!A:A,Sheet2!B:B)</f>
        <v>38</v>
      </c>
      <c r="L337" s="3" t="s">
        <v>3</v>
      </c>
      <c r="M337" s="3" t="s">
        <v>5</v>
      </c>
      <c r="N337" s="3">
        <f t="array" ref="N337">xlookup(M337,Sheet2!A:A,Sheet2!B:B)</f>
        <v>35</v>
      </c>
      <c r="O337" s="3" t="s">
        <v>3</v>
      </c>
      <c r="P337" s="4" t="str">
        <f t="shared" si="1"/>
        <v>335 : [17,38,35],</v>
      </c>
      <c r="Q337" s="4" t="str">
        <f t="shared" si="2"/>
        <v>335 : 0,</v>
      </c>
    </row>
    <row r="338">
      <c r="A338" s="3" t="s">
        <v>712</v>
      </c>
      <c r="B338" s="5">
        <v>155451.0</v>
      </c>
      <c r="C338" s="10">
        <v>336.0</v>
      </c>
      <c r="D338" s="3" t="s">
        <v>459</v>
      </c>
      <c r="E338" s="3">
        <f t="array" ref="E338">xlookup(D338,Sheet3!A:A,Sheet3!B:B)</f>
        <v>0</v>
      </c>
      <c r="F338" s="3" t="s">
        <v>191</v>
      </c>
      <c r="G338" s="3">
        <f t="array" ref="G338">xlookup(F338,Sheet2!A:A,Sheet2!B:B)</f>
        <v>39</v>
      </c>
      <c r="H338" s="3" t="s">
        <v>3</v>
      </c>
      <c r="I338" s="3" t="str">
        <f t="array" ref="I338">JOIN("", SORT(MID(LOWER(H338), SEQUENCE(LEN(H338)), 1)))</f>
        <v>an</v>
      </c>
      <c r="J338" s="3" t="s">
        <v>465</v>
      </c>
      <c r="K338" s="3">
        <f t="array" ref="K338">xlookup(J338,Sheet2!A:A,Sheet2!B:B)</f>
        <v>36</v>
      </c>
      <c r="L338" s="3" t="s">
        <v>3</v>
      </c>
      <c r="M338" s="3" t="s">
        <v>309</v>
      </c>
      <c r="N338" s="3">
        <f t="array" ref="N338">xlookup(M338,Sheet2!A:A,Sheet2!B:B)</f>
        <v>40</v>
      </c>
      <c r="O338" s="3" t="s">
        <v>3</v>
      </c>
      <c r="P338" s="4" t="str">
        <f t="shared" si="1"/>
        <v>336 : [39,36,40],</v>
      </c>
      <c r="Q338" s="4" t="str">
        <f t="shared" si="2"/>
        <v>336 : 0,</v>
      </c>
    </row>
    <row r="339">
      <c r="A339" s="3" t="s">
        <v>250</v>
      </c>
      <c r="B339" s="5">
        <v>193973.0</v>
      </c>
      <c r="C339" s="10">
        <v>337.0</v>
      </c>
      <c r="D339" s="3" t="s">
        <v>153</v>
      </c>
      <c r="E339" s="3">
        <f t="array" ref="E339">xlookup(D339,Sheet3!A:A,Sheet3!B:B)</f>
        <v>2</v>
      </c>
      <c r="F339" s="3" t="s">
        <v>42</v>
      </c>
      <c r="G339" s="3">
        <f t="array" ref="G339">xlookup(F339,Sheet2!A:A,Sheet2!B:B)</f>
        <v>14</v>
      </c>
      <c r="H339" s="3" t="s">
        <v>3</v>
      </c>
      <c r="I339" s="3" t="str">
        <f t="array" ref="I339">JOIN("", SORT(MID(LOWER(H339), SEQUENCE(LEN(H339)), 1)))</f>
        <v>an</v>
      </c>
      <c r="J339" s="3" t="s">
        <v>212</v>
      </c>
      <c r="K339" s="3">
        <f t="array" ref="K339">xlookup(J339,Sheet2!A:A,Sheet2!B:B)</f>
        <v>2</v>
      </c>
      <c r="L339" s="3" t="s">
        <v>3</v>
      </c>
      <c r="M339" s="3" t="s">
        <v>5</v>
      </c>
      <c r="N339" s="3">
        <f t="array" ref="N339">xlookup(M339,Sheet2!A:A,Sheet2!B:B)</f>
        <v>35</v>
      </c>
      <c r="O339" s="3" t="s">
        <v>3</v>
      </c>
      <c r="P339" s="4" t="str">
        <f t="shared" si="1"/>
        <v>337 : [14,2,35],</v>
      </c>
      <c r="Q339" s="4" t="str">
        <f t="shared" si="2"/>
        <v>337 : 2,</v>
      </c>
    </row>
    <row r="340">
      <c r="A340" s="3" t="s">
        <v>713</v>
      </c>
      <c r="B340" s="5">
        <v>152330.0</v>
      </c>
      <c r="C340" s="10">
        <v>338.0</v>
      </c>
      <c r="D340" s="3" t="s">
        <v>459</v>
      </c>
      <c r="E340" s="3">
        <f t="array" ref="E340">xlookup(D340,Sheet3!A:A,Sheet3!B:B)</f>
        <v>0</v>
      </c>
      <c r="F340" s="3" t="s">
        <v>20</v>
      </c>
      <c r="G340" s="3">
        <f t="array" ref="G340">xlookup(F340,Sheet2!A:A,Sheet2!B:B)</f>
        <v>48</v>
      </c>
      <c r="H340" s="3" t="s">
        <v>714</v>
      </c>
      <c r="I340" s="3" t="str">
        <f t="array" ref="I340">JOIN("", SORT(MID(LOWER(H340), SEQUENCE(LEN(H340)), 1)))</f>
        <v>     ,,aaaaaaaaaaaaabcdghhiiiikkllnnnnnprrrstuuvvy</v>
      </c>
      <c r="J340" s="3" t="s">
        <v>25</v>
      </c>
      <c r="K340" s="3">
        <f t="array" ref="K340">xlookup(J340,Sheet2!A:A,Sheet2!B:B)</f>
        <v>18</v>
      </c>
      <c r="L340" s="3" t="s">
        <v>714</v>
      </c>
      <c r="M340" s="3" t="s">
        <v>34</v>
      </c>
      <c r="N340" s="3">
        <f t="array" ref="N340">xlookup(M340,Sheet2!A:A,Sheet2!B:B)</f>
        <v>8</v>
      </c>
      <c r="O340" s="3" t="s">
        <v>714</v>
      </c>
      <c r="P340" s="4" t="str">
        <f t="shared" si="1"/>
        <v>338 : [48,18,8],</v>
      </c>
      <c r="Q340" s="4" t="str">
        <f t="shared" si="2"/>
        <v>338 : 0,</v>
      </c>
    </row>
    <row r="341">
      <c r="A341" s="3" t="s">
        <v>715</v>
      </c>
      <c r="B341" s="5">
        <v>150960.0</v>
      </c>
      <c r="C341" s="10">
        <v>339.0</v>
      </c>
      <c r="D341" s="3" t="s">
        <v>459</v>
      </c>
      <c r="E341" s="3">
        <f t="array" ref="E341">xlookup(D341,Sheet3!A:A,Sheet3!B:B)</f>
        <v>0</v>
      </c>
      <c r="F341" s="3" t="s">
        <v>34</v>
      </c>
      <c r="G341" s="3">
        <f t="array" ref="G341">xlookup(F341,Sheet2!A:A,Sheet2!B:B)</f>
        <v>8</v>
      </c>
      <c r="H341" s="3" t="s">
        <v>716</v>
      </c>
      <c r="I341" s="3" t="str">
        <f t="array" ref="I341">JOIN("", SORT(MID(LOWER(H341), SEQUENCE(LEN(H341)), 1)))</f>
        <v>     ,,aaaceeeeghiklllnnnssuuvxyy</v>
      </c>
      <c r="J341" s="3" t="s">
        <v>28</v>
      </c>
      <c r="K341" s="3">
        <f t="array" ref="K341">xlookup(J341,Sheet2!A:A,Sheet2!B:B)</f>
        <v>32</v>
      </c>
      <c r="L341" s="3" t="s">
        <v>716</v>
      </c>
      <c r="M341" s="3" t="s">
        <v>401</v>
      </c>
      <c r="N341" s="3">
        <f t="array" ref="N341">xlookup(M341,Sheet2!A:A,Sheet2!B:B)</f>
        <v>38</v>
      </c>
      <c r="O341" s="3" t="s">
        <v>716</v>
      </c>
      <c r="P341" s="4" t="str">
        <f t="shared" si="1"/>
        <v>339 : [8,32,38],</v>
      </c>
      <c r="Q341" s="4" t="str">
        <f t="shared" si="2"/>
        <v>339 : 0,</v>
      </c>
    </row>
    <row r="342">
      <c r="A342" s="3" t="s">
        <v>717</v>
      </c>
      <c r="B342" s="5">
        <v>316391.0</v>
      </c>
      <c r="C342" s="10">
        <v>340.0</v>
      </c>
      <c r="D342" s="3" t="s">
        <v>459</v>
      </c>
      <c r="E342" s="3">
        <f t="array" ref="E342">xlookup(D342,Sheet3!A:A,Sheet3!B:B)</f>
        <v>0</v>
      </c>
      <c r="F342" s="3" t="s">
        <v>20</v>
      </c>
      <c r="G342" s="3">
        <f t="array" ref="G342">xlookup(F342,Sheet2!A:A,Sheet2!B:B)</f>
        <v>48</v>
      </c>
      <c r="H342" s="3" t="s">
        <v>718</v>
      </c>
      <c r="I342" s="3" t="str">
        <f t="array" ref="I342">JOIN("", SORT(MID(LOWER(H342), SEQUENCE(LEN(H342)), 1)))</f>
        <v>     ,,aaaaaaaaaaaaabcdghhiiiikkllnnnnnprrrstuuvvy</v>
      </c>
      <c r="J342" s="3" t="s">
        <v>25</v>
      </c>
      <c r="K342" s="3">
        <f t="array" ref="K342">xlookup(J342,Sheet2!A:A,Sheet2!B:B)</f>
        <v>18</v>
      </c>
      <c r="L342" s="3" t="s">
        <v>718</v>
      </c>
      <c r="M342" s="3" t="s">
        <v>34</v>
      </c>
      <c r="N342" s="3">
        <f t="array" ref="N342">xlookup(M342,Sheet2!A:A,Sheet2!B:B)</f>
        <v>8</v>
      </c>
      <c r="O342" s="3" t="s">
        <v>718</v>
      </c>
      <c r="P342" s="4" t="str">
        <f t="shared" si="1"/>
        <v>340 : [48,18,8],</v>
      </c>
      <c r="Q342" s="4" t="str">
        <f t="shared" si="2"/>
        <v>340 : 0,</v>
      </c>
    </row>
    <row r="343">
      <c r="A343" s="3" t="s">
        <v>56</v>
      </c>
      <c r="B343" s="5">
        <v>117812.0</v>
      </c>
      <c r="C343" s="10">
        <v>341.0</v>
      </c>
      <c r="D343" s="3" t="s">
        <v>1</v>
      </c>
      <c r="E343" s="3">
        <f t="array" ref="E343">xlookup(D343,Sheet3!A:A,Sheet3!B:B)</f>
        <v>5</v>
      </c>
      <c r="F343" s="3" t="s">
        <v>20</v>
      </c>
      <c r="G343" s="3">
        <f t="array" ref="G343">xlookup(F343,Sheet2!A:A,Sheet2!B:B)</f>
        <v>48</v>
      </c>
      <c r="H343" s="3" t="s">
        <v>57</v>
      </c>
      <c r="I343" s="3" t="str">
        <f t="array" ref="I343">JOIN("", SORT(MID(LOWER(H343), SEQUENCE(LEN(H343)), 1)))</f>
        <v>     ,,aaaaccehhiiiiilllllmooprrssuuuy</v>
      </c>
      <c r="J343" s="3" t="s">
        <v>21</v>
      </c>
      <c r="K343" s="3">
        <f t="array" ref="K343">xlookup(J343,Sheet2!A:A,Sheet2!B:B)</f>
        <v>10</v>
      </c>
      <c r="L343" s="3" t="s">
        <v>58</v>
      </c>
      <c r="M343" s="3" t="s">
        <v>34</v>
      </c>
      <c r="N343" s="3">
        <f t="array" ref="N343">xlookup(M343,Sheet2!A:A,Sheet2!B:B)</f>
        <v>8</v>
      </c>
      <c r="O343" s="3" t="s">
        <v>58</v>
      </c>
      <c r="P343" s="4" t="str">
        <f t="shared" si="1"/>
        <v>341 : [48,10,8],</v>
      </c>
      <c r="Q343" s="4" t="str">
        <f t="shared" si="2"/>
        <v>341 : 5,</v>
      </c>
    </row>
    <row r="344">
      <c r="A344" s="3" t="s">
        <v>422</v>
      </c>
      <c r="B344" s="5">
        <v>188263.0</v>
      </c>
      <c r="C344" s="10">
        <v>342.0</v>
      </c>
      <c r="D344" s="3" t="s">
        <v>282</v>
      </c>
      <c r="E344" s="3">
        <f t="array" ref="E344">xlookup(D344,Sheet3!A:A,Sheet3!B:B)</f>
        <v>1</v>
      </c>
      <c r="F344" s="3" t="s">
        <v>74</v>
      </c>
      <c r="G344" s="3">
        <f t="array" ref="G344">xlookup(F344,Sheet2!A:A,Sheet2!B:B)</f>
        <v>50</v>
      </c>
      <c r="H344" s="3" t="s">
        <v>1659</v>
      </c>
      <c r="I344" s="3" t="str">
        <f t="array" ref="I344">JOIN("", SORT(MID(LOWER(H344), SEQUENCE(LEN(H344)), 1)))</f>
        <v>  aadehiinpruy</v>
      </c>
      <c r="J344" s="3" t="s">
        <v>125</v>
      </c>
      <c r="K344" s="3">
        <f t="array" ref="K344">xlookup(J344,Sheet2!A:A,Sheet2!B:B)</f>
        <v>19</v>
      </c>
      <c r="L344" s="3" t="s">
        <v>424</v>
      </c>
      <c r="M344" s="3" t="s">
        <v>9</v>
      </c>
      <c r="N344" s="3">
        <f t="array" ref="N344">xlookup(M344,Sheet2!A:A,Sheet2!B:B)</f>
        <v>5</v>
      </c>
      <c r="O344" s="3" t="s">
        <v>424</v>
      </c>
      <c r="P344" s="4" t="str">
        <f t="shared" si="1"/>
        <v>342 : [50,19,5],</v>
      </c>
      <c r="Q344" s="4" t="str">
        <f t="shared" si="2"/>
        <v>342 : 1,</v>
      </c>
    </row>
    <row r="345">
      <c r="A345" s="3" t="s">
        <v>251</v>
      </c>
      <c r="B345" s="5">
        <v>136210.0</v>
      </c>
      <c r="C345" s="10">
        <v>343.0</v>
      </c>
      <c r="D345" s="3" t="s">
        <v>153</v>
      </c>
      <c r="E345" s="3">
        <f t="array" ref="E345">xlookup(D345,Sheet3!A:A,Sheet3!B:B)</f>
        <v>2</v>
      </c>
      <c r="F345" s="3" t="s">
        <v>74</v>
      </c>
      <c r="G345" s="3">
        <f t="array" ref="G345">xlookup(F345,Sheet2!A:A,Sheet2!B:B)</f>
        <v>50</v>
      </c>
      <c r="H345" s="3" t="s">
        <v>252</v>
      </c>
      <c r="I345" s="3" t="str">
        <f t="array" ref="I345">JOIN("", SORT(MID(LOWER(H345), SEQUENCE(LEN(H345)), 1)))</f>
        <v>   ,aaaaaehiikkllmmnrssv</v>
      </c>
      <c r="J345" s="3" t="s">
        <v>76</v>
      </c>
      <c r="K345" s="3">
        <f t="array" ref="K345">xlookup(J345,Sheet2!A:A,Sheet2!B:B)</f>
        <v>24</v>
      </c>
      <c r="L345" s="3" t="s">
        <v>252</v>
      </c>
      <c r="M345" s="3" t="s">
        <v>125</v>
      </c>
      <c r="N345" s="3">
        <f t="array" ref="N345">xlookup(M345,Sheet2!A:A,Sheet2!B:B)</f>
        <v>19</v>
      </c>
      <c r="O345" s="3" t="s">
        <v>252</v>
      </c>
      <c r="P345" s="4" t="str">
        <f t="shared" si="1"/>
        <v>343 : [50,24,19],</v>
      </c>
      <c r="Q345" s="4" t="str">
        <f t="shared" si="2"/>
        <v>343 : 2,</v>
      </c>
    </row>
    <row r="346">
      <c r="A346" s="3" t="s">
        <v>253</v>
      </c>
      <c r="B346" s="5">
        <v>137767.0</v>
      </c>
      <c r="C346" s="10">
        <v>344.0</v>
      </c>
      <c r="D346" s="3" t="s">
        <v>153</v>
      </c>
      <c r="E346" s="3">
        <f t="array" ref="E346">xlookup(D346,Sheet3!A:A,Sheet3!B:B)</f>
        <v>2</v>
      </c>
      <c r="F346" s="3" t="s">
        <v>74</v>
      </c>
      <c r="G346" s="3">
        <f t="array" ref="G346">xlookup(F346,Sheet2!A:A,Sheet2!B:B)</f>
        <v>50</v>
      </c>
      <c r="H346" s="3" t="s">
        <v>254</v>
      </c>
      <c r="I346" s="3" t="str">
        <f t="array" ref="I346">JOIN("", SORT(MID(LOWER(H346), SEQUENCE(LEN(H346)), 1)))</f>
        <v>   ,aaaaaehiikkllmmnrssv</v>
      </c>
      <c r="J346" s="3" t="s">
        <v>76</v>
      </c>
      <c r="K346" s="3">
        <f t="array" ref="K346">xlookup(J346,Sheet2!A:A,Sheet2!B:B)</f>
        <v>24</v>
      </c>
      <c r="L346" s="3" t="s">
        <v>254</v>
      </c>
      <c r="M346" s="3" t="s">
        <v>125</v>
      </c>
      <c r="N346" s="3">
        <f t="array" ref="N346">xlookup(M346,Sheet2!A:A,Sheet2!B:B)</f>
        <v>19</v>
      </c>
      <c r="O346" s="3" t="s">
        <v>254</v>
      </c>
      <c r="P346" s="4" t="str">
        <f t="shared" si="1"/>
        <v>344 : [50,24,19],</v>
      </c>
      <c r="Q346" s="4" t="str">
        <f t="shared" si="2"/>
        <v>344 : 2,</v>
      </c>
    </row>
    <row r="347">
      <c r="A347" s="3" t="s">
        <v>719</v>
      </c>
      <c r="B347" s="5">
        <v>152069.0</v>
      </c>
      <c r="C347" s="10">
        <v>345.0</v>
      </c>
      <c r="D347" s="3" t="s">
        <v>459</v>
      </c>
      <c r="E347" s="3">
        <f t="array" ref="E347">xlookup(D347,Sheet3!A:A,Sheet3!B:B)</f>
        <v>0</v>
      </c>
      <c r="F347" s="3" t="s">
        <v>21</v>
      </c>
      <c r="G347" s="3">
        <f t="array" ref="G347">xlookup(F347,Sheet2!A:A,Sheet2!B:B)</f>
        <v>10</v>
      </c>
      <c r="H347" s="3" t="s">
        <v>720</v>
      </c>
      <c r="I347" s="3" t="str">
        <f t="array" ref="I347">JOIN("", SORT(MID(LOWER(H347), SEQUENCE(LEN(H347)), 1)))</f>
        <v>     ,,aaaaaaaadiiiijjklllmnnprrrrstuuuvy</v>
      </c>
      <c r="J347" s="3" t="s">
        <v>114</v>
      </c>
      <c r="K347" s="3">
        <f t="array" ref="K347">xlookup(J347,Sheet2!A:A,Sheet2!B:B)</f>
        <v>12</v>
      </c>
      <c r="L347" s="3" t="s">
        <v>720</v>
      </c>
      <c r="M347" s="3" t="s">
        <v>30</v>
      </c>
      <c r="N347" s="3">
        <f t="array" ref="N347">xlookup(M347,Sheet2!A:A,Sheet2!B:B)</f>
        <v>13</v>
      </c>
      <c r="O347" s="3" t="s">
        <v>720</v>
      </c>
      <c r="P347" s="4" t="str">
        <f t="shared" si="1"/>
        <v>345 : [10,12,13],</v>
      </c>
      <c r="Q347" s="4" t="str">
        <f t="shared" si="2"/>
        <v>345 : 0,</v>
      </c>
    </row>
    <row r="348">
      <c r="A348" s="3" t="s">
        <v>425</v>
      </c>
      <c r="B348" s="5">
        <v>319859.0</v>
      </c>
      <c r="C348" s="10">
        <v>346.0</v>
      </c>
      <c r="D348" s="3" t="s">
        <v>282</v>
      </c>
      <c r="E348" s="3">
        <f t="array" ref="E348">xlookup(D348,Sheet3!A:A,Sheet3!B:B)</f>
        <v>1</v>
      </c>
      <c r="F348" s="3" t="s">
        <v>2</v>
      </c>
      <c r="G348" s="3">
        <f t="array" ref="G348">xlookup(F348,Sheet2!A:A,Sheet2!B:B)</f>
        <v>25</v>
      </c>
      <c r="H348" s="3" t="s">
        <v>3</v>
      </c>
      <c r="I348" s="3" t="str">
        <f t="array" ref="I348">JOIN("", SORT(MID(LOWER(H348), SEQUENCE(LEN(H348)), 1)))</f>
        <v>an</v>
      </c>
      <c r="J348" s="3" t="s">
        <v>105</v>
      </c>
      <c r="K348" s="3">
        <f t="array" ref="K348">xlookup(J348,Sheet2!A:A,Sheet2!B:B)</f>
        <v>26</v>
      </c>
      <c r="L348" s="3" t="s">
        <v>3</v>
      </c>
      <c r="M348" s="3" t="s">
        <v>124</v>
      </c>
      <c r="N348" s="3">
        <f t="array" ref="N348">xlookup(M348,Sheet2!A:A,Sheet2!B:B)</f>
        <v>46</v>
      </c>
      <c r="O348" s="3" t="s">
        <v>3</v>
      </c>
      <c r="P348" s="4" t="str">
        <f t="shared" si="1"/>
        <v>346 : [25,26,46],</v>
      </c>
      <c r="Q348" s="4" t="str">
        <f t="shared" si="2"/>
        <v>346 : 1,</v>
      </c>
    </row>
    <row r="349">
      <c r="A349" s="3" t="s">
        <v>108</v>
      </c>
      <c r="B349" s="5">
        <v>139441.0</v>
      </c>
      <c r="C349" s="10">
        <v>347.0</v>
      </c>
      <c r="D349" s="3" t="s">
        <v>60</v>
      </c>
      <c r="E349" s="3">
        <f t="array" ref="E349">xlookup(D349,Sheet3!A:A,Sheet3!B:B)</f>
        <v>4</v>
      </c>
      <c r="F349" s="3" t="s">
        <v>109</v>
      </c>
      <c r="G349" s="3">
        <f t="array" ref="G349">xlookup(F349,Sheet2!A:A,Sheet2!B:B)</f>
        <v>49</v>
      </c>
      <c r="H349" s="3" t="s">
        <v>110</v>
      </c>
      <c r="I349" s="3" t="str">
        <f t="array" ref="I349">JOIN("", SORT(MID(LOWER(H349), SEQUENCE(LEN(H349)), 1)))</f>
        <v>     ,,aaaaaaaaabdehhhhiiiiillmmnnnprrrrsstuwyyy</v>
      </c>
      <c r="J349" s="3" t="s">
        <v>47</v>
      </c>
      <c r="K349" s="3">
        <f t="array" ref="K349">xlookup(J349,Sheet2!A:A,Sheet2!B:B)</f>
        <v>27</v>
      </c>
      <c r="L349" s="3" t="s">
        <v>110</v>
      </c>
      <c r="M349" s="3" t="s">
        <v>111</v>
      </c>
      <c r="N349" s="3">
        <f t="array" ref="N349">xlookup(M349,Sheet2!A:A,Sheet2!B:B)</f>
        <v>28</v>
      </c>
      <c r="O349" s="3" t="s">
        <v>110</v>
      </c>
      <c r="P349" s="4" t="str">
        <f t="shared" si="1"/>
        <v>347 : [49,27,28],</v>
      </c>
      <c r="Q349" s="4" t="str">
        <f t="shared" si="2"/>
        <v>347 : 4,</v>
      </c>
    </row>
    <row r="350">
      <c r="A350" s="3" t="s">
        <v>148</v>
      </c>
      <c r="B350" s="5">
        <v>306517.0</v>
      </c>
      <c r="C350" s="10">
        <v>348.0</v>
      </c>
      <c r="D350" s="3" t="s">
        <v>118</v>
      </c>
      <c r="E350" s="3">
        <f t="array" ref="E350">xlookup(D350,Sheet3!A:A,Sheet3!B:B)</f>
        <v>3</v>
      </c>
      <c r="F350" s="3" t="s">
        <v>109</v>
      </c>
      <c r="G350" s="3">
        <f t="array" ref="G350">xlookup(F350,Sheet2!A:A,Sheet2!B:B)</f>
        <v>49</v>
      </c>
      <c r="H350" s="3" t="s">
        <v>110</v>
      </c>
      <c r="I350" s="3" t="str">
        <f t="array" ref="I350">JOIN("", SORT(MID(LOWER(H350), SEQUENCE(LEN(H350)), 1)))</f>
        <v>     ,,aaaaaaaaabdehhhhiiiiillmmnnnprrrrsstuwyyy</v>
      </c>
      <c r="J350" s="3" t="s">
        <v>47</v>
      </c>
      <c r="K350" s="3">
        <f t="array" ref="K350">xlookup(J350,Sheet2!A:A,Sheet2!B:B)</f>
        <v>27</v>
      </c>
      <c r="L350" s="3" t="s">
        <v>110</v>
      </c>
      <c r="M350" s="3" t="s">
        <v>111</v>
      </c>
      <c r="N350" s="3">
        <f t="array" ref="N350">xlookup(M350,Sheet2!A:A,Sheet2!B:B)</f>
        <v>28</v>
      </c>
      <c r="O350" s="3" t="s">
        <v>110</v>
      </c>
      <c r="P350" s="4" t="str">
        <f t="shared" si="1"/>
        <v>348 : [49,27,28],</v>
      </c>
      <c r="Q350" s="4" t="str">
        <f t="shared" si="2"/>
        <v>348 : 3,</v>
      </c>
    </row>
    <row r="351">
      <c r="A351" s="3" t="s">
        <v>721</v>
      </c>
      <c r="B351" s="5">
        <v>152235.0</v>
      </c>
      <c r="C351" s="10">
        <v>349.0</v>
      </c>
      <c r="D351" s="3" t="s">
        <v>459</v>
      </c>
      <c r="E351" s="3">
        <f t="array" ref="E351">xlookup(D351,Sheet3!A:A,Sheet3!B:B)</f>
        <v>0</v>
      </c>
      <c r="F351" s="3" t="s">
        <v>21</v>
      </c>
      <c r="G351" s="3">
        <f t="array" ref="G351">xlookup(F351,Sheet2!A:A,Sheet2!B:B)</f>
        <v>10</v>
      </c>
      <c r="H351" s="3" t="s">
        <v>722</v>
      </c>
      <c r="I351" s="3" t="str">
        <f t="array" ref="I351">JOIN("", SORT(MID(LOWER(H351), SEQUENCE(LEN(H351)), 1)))</f>
        <v>     ,,aaaaaaaadiiiijjklllmnnprrrrstuuuvy</v>
      </c>
      <c r="J351" s="3" t="s">
        <v>114</v>
      </c>
      <c r="K351" s="3">
        <f t="array" ref="K351">xlookup(J351,Sheet2!A:A,Sheet2!B:B)</f>
        <v>12</v>
      </c>
      <c r="L351" s="3" t="s">
        <v>723</v>
      </c>
      <c r="M351" s="3" t="s">
        <v>30</v>
      </c>
      <c r="N351" s="3">
        <f t="array" ref="N351">xlookup(M351,Sheet2!A:A,Sheet2!B:B)</f>
        <v>13</v>
      </c>
      <c r="O351" s="3" t="s">
        <v>723</v>
      </c>
      <c r="P351" s="4" t="str">
        <f t="shared" si="1"/>
        <v>349 : [10,12,13],</v>
      </c>
      <c r="Q351" s="4" t="str">
        <f t="shared" si="2"/>
        <v>349 : 0,</v>
      </c>
    </row>
    <row r="352">
      <c r="A352" s="3" t="s">
        <v>724</v>
      </c>
      <c r="B352" s="5">
        <v>183088.0</v>
      </c>
      <c r="C352" s="10">
        <v>350.0</v>
      </c>
      <c r="D352" s="3" t="s">
        <v>459</v>
      </c>
      <c r="E352" s="3">
        <f t="array" ref="E352">xlookup(D352,Sheet3!A:A,Sheet3!B:B)</f>
        <v>0</v>
      </c>
      <c r="F352" s="3" t="s">
        <v>35</v>
      </c>
      <c r="G352" s="3">
        <f t="array" ref="G352">xlookup(F352,Sheet2!A:A,Sheet2!B:B)</f>
        <v>45</v>
      </c>
      <c r="H352" s="3" t="s">
        <v>725</v>
      </c>
      <c r="I352" s="3" t="str">
        <f t="array" ref="I352">JOIN("", SORT(MID(LOWER(H352), SEQUENCE(LEN(H352)), 1)))</f>
        <v>     ,,aaaaaaaaaaccdhhhhiiiiiikklmnprrrrrsstttuw</v>
      </c>
      <c r="J352" s="3" t="s">
        <v>111</v>
      </c>
      <c r="K352" s="3">
        <f t="array" ref="K352">xlookup(J352,Sheet2!A:A,Sheet2!B:B)</f>
        <v>28</v>
      </c>
      <c r="L352" s="3" t="s">
        <v>725</v>
      </c>
      <c r="M352" s="3" t="s">
        <v>114</v>
      </c>
      <c r="N352" s="3">
        <f t="array" ref="N352">xlookup(M352,Sheet2!A:A,Sheet2!B:B)</f>
        <v>12</v>
      </c>
      <c r="O352" s="3" t="s">
        <v>725</v>
      </c>
      <c r="P352" s="4" t="str">
        <f t="shared" si="1"/>
        <v>350 : [45,28,12],</v>
      </c>
      <c r="Q352" s="4" t="str">
        <f t="shared" si="2"/>
        <v>350 : 0,</v>
      </c>
    </row>
    <row r="353">
      <c r="A353" s="3" t="s">
        <v>190</v>
      </c>
      <c r="B353" s="5">
        <v>180335.0</v>
      </c>
      <c r="C353" s="10">
        <v>351.0</v>
      </c>
      <c r="D353" s="3" t="s">
        <v>153</v>
      </c>
      <c r="E353" s="3">
        <f t="array" ref="E353">xlookup(D353,Sheet3!A:A,Sheet3!B:B)</f>
        <v>2</v>
      </c>
      <c r="F353" s="3" t="s">
        <v>20</v>
      </c>
      <c r="G353" s="3">
        <f t="array" ref="G353">xlookup(F353,Sheet2!A:A,Sheet2!B:B)</f>
        <v>48</v>
      </c>
      <c r="H353" s="3" t="s">
        <v>255</v>
      </c>
      <c r="I353" s="3" t="str">
        <f t="array" ref="I353">JOIN("", SORT(MID(LOWER(H353), SEQUENCE(LEN(H353)), 1)))</f>
        <v>   ,aaabdeeghiijlmnnnnrwz</v>
      </c>
      <c r="J353" s="3" t="s">
        <v>26</v>
      </c>
      <c r="K353" s="3">
        <f t="array" ref="K353">xlookup(J353,Sheet2!A:A,Sheet2!B:B)</f>
        <v>7</v>
      </c>
      <c r="L353" s="3" t="s">
        <v>255</v>
      </c>
      <c r="M353" s="3" t="s">
        <v>18</v>
      </c>
      <c r="N353" s="3">
        <f t="array" ref="N353">xlookup(M353,Sheet2!A:A,Sheet2!B:B)</f>
        <v>22</v>
      </c>
      <c r="O353" s="3" t="s">
        <v>255</v>
      </c>
      <c r="P353" s="4" t="str">
        <f t="shared" si="1"/>
        <v>351 : [48,7,22],</v>
      </c>
      <c r="Q353" s="4" t="str">
        <f t="shared" si="2"/>
        <v>351 : 2,</v>
      </c>
    </row>
    <row r="354">
      <c r="A354" s="3" t="s">
        <v>426</v>
      </c>
      <c r="B354" s="5">
        <v>314879.0</v>
      </c>
      <c r="C354" s="10">
        <v>352.0</v>
      </c>
      <c r="D354" s="3" t="s">
        <v>282</v>
      </c>
      <c r="E354" s="3">
        <f t="array" ref="E354">xlookup(D354,Sheet3!A:A,Sheet3!B:B)</f>
        <v>1</v>
      </c>
      <c r="F354" s="3" t="s">
        <v>20</v>
      </c>
      <c r="G354" s="3">
        <f t="array" ref="G354">xlookup(F354,Sheet2!A:A,Sheet2!B:B)</f>
        <v>48</v>
      </c>
      <c r="H354" s="3" t="s">
        <v>427</v>
      </c>
      <c r="I354" s="3" t="str">
        <f t="array" ref="I354">JOIN("", SORT(MID(LOWER(H354), SEQUENCE(LEN(H354)), 1)))</f>
        <v>     ,,aaaabdeeeghhiiijlmnnnnnnorswz</v>
      </c>
      <c r="J354" s="3" t="s">
        <v>26</v>
      </c>
      <c r="K354" s="3">
        <f t="array" ref="K354">xlookup(J354,Sheet2!A:A,Sheet2!B:B)</f>
        <v>7</v>
      </c>
      <c r="L354" s="3" t="s">
        <v>427</v>
      </c>
      <c r="M354" s="3" t="s">
        <v>18</v>
      </c>
      <c r="N354" s="3">
        <f t="array" ref="N354">xlookup(M354,Sheet2!A:A,Sheet2!B:B)</f>
        <v>22</v>
      </c>
      <c r="O354" s="3" t="s">
        <v>427</v>
      </c>
      <c r="P354" s="4" t="str">
        <f t="shared" si="1"/>
        <v>352 : [48,7,22],</v>
      </c>
      <c r="Q354" s="4" t="str">
        <f t="shared" si="2"/>
        <v>352 : 1,</v>
      </c>
    </row>
    <row r="355">
      <c r="A355" s="3" t="s">
        <v>428</v>
      </c>
      <c r="B355" s="5">
        <v>109838.0</v>
      </c>
      <c r="C355" s="10">
        <v>353.0</v>
      </c>
      <c r="D355" s="3" t="s">
        <v>282</v>
      </c>
      <c r="E355" s="3">
        <f t="array" ref="E355">xlookup(D355,Sheet3!A:A,Sheet3!B:B)</f>
        <v>1</v>
      </c>
      <c r="F355" s="3" t="s">
        <v>20</v>
      </c>
      <c r="G355" s="3">
        <f t="array" ref="G355">xlookup(F355,Sheet2!A:A,Sheet2!B:B)</f>
        <v>48</v>
      </c>
      <c r="H355" s="3" t="s">
        <v>429</v>
      </c>
      <c r="I355" s="3" t="str">
        <f t="array" ref="I355">JOIN("", SORT(MID(LOWER(H355), SEQUENCE(LEN(H355)), 1)))</f>
        <v>     ,,aaaabdeeeghhiiijlmnnnnnnorswz</v>
      </c>
      <c r="J355" s="3" t="s">
        <v>26</v>
      </c>
      <c r="K355" s="3">
        <f t="array" ref="K355">xlookup(J355,Sheet2!A:A,Sheet2!B:B)</f>
        <v>7</v>
      </c>
      <c r="L355" s="3" t="s">
        <v>429</v>
      </c>
      <c r="M355" s="3" t="s">
        <v>18</v>
      </c>
      <c r="N355" s="3">
        <f t="array" ref="N355">xlookup(M355,Sheet2!A:A,Sheet2!B:B)</f>
        <v>22</v>
      </c>
      <c r="O355" s="3" t="s">
        <v>429</v>
      </c>
      <c r="P355" s="4" t="str">
        <f t="shared" si="1"/>
        <v>353 : [48,7,22],</v>
      </c>
      <c r="Q355" s="4" t="str">
        <f t="shared" si="2"/>
        <v>353 : 1,</v>
      </c>
    </row>
    <row r="356">
      <c r="A356" s="3" t="s">
        <v>430</v>
      </c>
      <c r="B356" s="5">
        <v>157788.0</v>
      </c>
      <c r="C356" s="10">
        <v>354.0</v>
      </c>
      <c r="D356" s="3" t="s">
        <v>282</v>
      </c>
      <c r="E356" s="3">
        <f t="array" ref="E356">xlookup(D356,Sheet3!A:A,Sheet3!B:B)</f>
        <v>1</v>
      </c>
      <c r="F356" s="3" t="s">
        <v>74</v>
      </c>
      <c r="G356" s="3">
        <f t="array" ref="G356">xlookup(F356,Sheet2!A:A,Sheet2!B:B)</f>
        <v>50</v>
      </c>
      <c r="H356" s="3" t="s">
        <v>431</v>
      </c>
      <c r="I356" s="3" t="str">
        <f t="array" ref="I356">JOIN("", SORT(MID(LOWER(H356), SEQUENCE(LEN(H356)), 1)))</f>
        <v>   ,aaaaaddehhiiimmmnnsv</v>
      </c>
      <c r="J356" s="3" t="s">
        <v>9</v>
      </c>
      <c r="K356" s="3">
        <f t="array" ref="K356">xlookup(J356,Sheet2!A:A,Sheet2!B:B)</f>
        <v>5</v>
      </c>
      <c r="L356" s="3" t="s">
        <v>431</v>
      </c>
      <c r="M356" s="3" t="s">
        <v>96</v>
      </c>
      <c r="N356" s="3">
        <f t="array" ref="N356">xlookup(M356,Sheet2!A:A,Sheet2!B:B)</f>
        <v>47</v>
      </c>
      <c r="O356" s="3" t="s">
        <v>431</v>
      </c>
      <c r="P356" s="4" t="str">
        <f t="shared" si="1"/>
        <v>354 : [50,5,47],</v>
      </c>
      <c r="Q356" s="4" t="str">
        <f t="shared" si="2"/>
        <v>354 : 1,</v>
      </c>
    </row>
    <row r="357">
      <c r="A357" s="3" t="s">
        <v>432</v>
      </c>
      <c r="B357" s="5">
        <v>138221.0</v>
      </c>
      <c r="C357" s="10">
        <v>355.0</v>
      </c>
      <c r="D357" s="3" t="s">
        <v>282</v>
      </c>
      <c r="E357" s="3">
        <f t="array" ref="E357">xlookup(D357,Sheet3!A:A,Sheet3!B:B)</f>
        <v>1</v>
      </c>
      <c r="F357" s="3" t="s">
        <v>74</v>
      </c>
      <c r="G357" s="3">
        <f t="array" ref="G357">xlookup(F357,Sheet2!A:A,Sheet2!B:B)</f>
        <v>50</v>
      </c>
      <c r="H357" s="3" t="s">
        <v>433</v>
      </c>
      <c r="I357" s="3" t="str">
        <f t="array" ref="I357">JOIN("", SORT(MID(LOWER(H357), SEQUENCE(LEN(H357)), 1)))</f>
        <v>   ,aaaaaddehhiiimmmnnsv</v>
      </c>
      <c r="J357" s="3" t="s">
        <v>9</v>
      </c>
      <c r="K357" s="3">
        <f t="array" ref="K357">xlookup(J357,Sheet2!A:A,Sheet2!B:B)</f>
        <v>5</v>
      </c>
      <c r="L357" s="3" t="s">
        <v>433</v>
      </c>
      <c r="M357" s="3" t="s">
        <v>96</v>
      </c>
      <c r="N357" s="3">
        <f t="array" ref="N357">xlookup(M357,Sheet2!A:A,Sheet2!B:B)</f>
        <v>47</v>
      </c>
      <c r="O357" s="3" t="s">
        <v>433</v>
      </c>
      <c r="P357" s="4" t="str">
        <f t="shared" si="1"/>
        <v>355 : [50,5,47],</v>
      </c>
      <c r="Q357" s="4" t="str">
        <f t="shared" si="2"/>
        <v>355 : 1,</v>
      </c>
    </row>
    <row r="358">
      <c r="A358" s="3" t="s">
        <v>256</v>
      </c>
      <c r="B358" s="5">
        <v>109964.0</v>
      </c>
      <c r="C358" s="10">
        <v>356.0</v>
      </c>
      <c r="D358" s="3" t="s">
        <v>153</v>
      </c>
      <c r="E358" s="3">
        <f t="array" ref="E358">xlookup(D358,Sheet3!A:A,Sheet3!B:B)</f>
        <v>2</v>
      </c>
      <c r="F358" s="3" t="s">
        <v>61</v>
      </c>
      <c r="G358" s="3">
        <f t="array" ref="G358">xlookup(F358,Sheet2!A:A,Sheet2!B:B)</f>
        <v>31</v>
      </c>
      <c r="H358" s="3" t="s">
        <v>3</v>
      </c>
      <c r="I358" s="3" t="str">
        <f t="array" ref="I358">JOIN("", SORT(MID(LOWER(H358), SEQUENCE(LEN(H358)), 1)))</f>
        <v>an</v>
      </c>
      <c r="J358" s="3" t="s">
        <v>12</v>
      </c>
      <c r="K358" s="3">
        <f t="array" ref="K358">xlookup(J358,Sheet2!A:A,Sheet2!B:B)</f>
        <v>41</v>
      </c>
      <c r="L358" s="3" t="s">
        <v>3</v>
      </c>
      <c r="M358" s="3" t="s">
        <v>63</v>
      </c>
      <c r="N358" s="3">
        <f t="array" ref="N358">xlookup(M358,Sheet2!A:A,Sheet2!B:B)</f>
        <v>29</v>
      </c>
      <c r="O358" s="3" t="s">
        <v>3</v>
      </c>
      <c r="P358" s="4" t="str">
        <f t="shared" si="1"/>
        <v>356 : [31,41,29],</v>
      </c>
      <c r="Q358" s="4" t="str">
        <f t="shared" si="2"/>
        <v>356 : 2,</v>
      </c>
    </row>
  </sheetData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1645</v>
      </c>
      <c r="B1" s="4" t="s">
        <v>1646</v>
      </c>
      <c r="D1" s="4" t="s">
        <v>1647</v>
      </c>
      <c r="F1" s="4" t="s">
        <v>1648</v>
      </c>
      <c r="H1" s="4" t="s">
        <v>1649</v>
      </c>
      <c r="J1" s="4" t="s">
        <v>1650</v>
      </c>
      <c r="L1" s="4" t="s">
        <v>1649</v>
      </c>
      <c r="M1" s="4" t="s">
        <v>1651</v>
      </c>
      <c r="O1" s="4" t="s">
        <v>1652</v>
      </c>
      <c r="P1" s="14" t="s">
        <v>1653</v>
      </c>
      <c r="Q1" s="14" t="s">
        <v>1653</v>
      </c>
    </row>
    <row r="2">
      <c r="A2" s="4" t="s">
        <v>157</v>
      </c>
      <c r="B2" s="4">
        <v>150236.0</v>
      </c>
      <c r="C2" s="14">
        <v>2.0</v>
      </c>
      <c r="D2" s="4" t="s">
        <v>153</v>
      </c>
      <c r="E2" s="4">
        <v>2.0</v>
      </c>
      <c r="F2" s="4" t="s">
        <v>2</v>
      </c>
      <c r="G2" s="4">
        <v>25.0</v>
      </c>
      <c r="H2" s="4" t="s">
        <v>3</v>
      </c>
      <c r="I2" s="4" t="s">
        <v>781</v>
      </c>
      <c r="J2" s="4" t="s">
        <v>105</v>
      </c>
      <c r="K2" s="4">
        <v>26.0</v>
      </c>
      <c r="L2" s="4" t="s">
        <v>3</v>
      </c>
      <c r="M2" s="4" t="s">
        <v>120</v>
      </c>
      <c r="N2" s="4">
        <v>42.0</v>
      </c>
      <c r="O2" s="4" t="s">
        <v>3</v>
      </c>
      <c r="P2" s="4" t="s">
        <v>1660</v>
      </c>
      <c r="Q2" s="4" t="s">
        <v>1661</v>
      </c>
    </row>
    <row r="3">
      <c r="A3" s="4" t="s">
        <v>117</v>
      </c>
      <c r="B3" s="4">
        <v>311130.0</v>
      </c>
      <c r="C3" s="14">
        <v>3.0</v>
      </c>
      <c r="D3" s="4" t="s">
        <v>118</v>
      </c>
      <c r="E3" s="4">
        <v>3.0</v>
      </c>
      <c r="F3" s="4" t="s">
        <v>32</v>
      </c>
      <c r="G3" s="4">
        <v>11.0</v>
      </c>
      <c r="H3" s="4" t="s">
        <v>3</v>
      </c>
      <c r="I3" s="4" t="s">
        <v>781</v>
      </c>
      <c r="J3" s="4" t="s">
        <v>34</v>
      </c>
      <c r="K3" s="4">
        <v>8.0</v>
      </c>
      <c r="L3" s="4" t="s">
        <v>3</v>
      </c>
      <c r="M3" s="4" t="s">
        <v>114</v>
      </c>
      <c r="N3" s="4">
        <v>12.0</v>
      </c>
      <c r="O3" s="4" t="s">
        <v>3</v>
      </c>
      <c r="P3" s="4" t="s">
        <v>1662</v>
      </c>
      <c r="Q3" s="4" t="s">
        <v>1663</v>
      </c>
    </row>
    <row r="4">
      <c r="A4" s="4" t="s">
        <v>0</v>
      </c>
      <c r="B4" s="4">
        <v>124187.0</v>
      </c>
      <c r="C4" s="14">
        <v>4.0</v>
      </c>
      <c r="D4" s="4" t="s">
        <v>1</v>
      </c>
      <c r="E4" s="4">
        <v>5.0</v>
      </c>
      <c r="F4" s="4" t="s">
        <v>2</v>
      </c>
      <c r="G4" s="4">
        <v>25.0</v>
      </c>
      <c r="H4" s="4" t="s">
        <v>3</v>
      </c>
      <c r="I4" s="4" t="s">
        <v>781</v>
      </c>
      <c r="J4" s="4" t="s">
        <v>4</v>
      </c>
      <c r="K4" s="4">
        <v>23.0</v>
      </c>
      <c r="L4" s="4" t="s">
        <v>3</v>
      </c>
      <c r="M4" s="4" t="s">
        <v>5</v>
      </c>
      <c r="N4" s="4">
        <v>35.0</v>
      </c>
      <c r="O4" s="4" t="s">
        <v>3</v>
      </c>
      <c r="P4" s="4" t="s">
        <v>1664</v>
      </c>
      <c r="Q4" s="4" t="s">
        <v>1665</v>
      </c>
    </row>
    <row r="5">
      <c r="A5" s="4" t="s">
        <v>281</v>
      </c>
      <c r="B5" s="4">
        <v>142597.0</v>
      </c>
      <c r="C5" s="14">
        <v>5.0</v>
      </c>
      <c r="D5" s="4" t="s">
        <v>282</v>
      </c>
      <c r="E5" s="4">
        <v>1.0</v>
      </c>
      <c r="F5" s="4" t="s">
        <v>2</v>
      </c>
      <c r="G5" s="4">
        <v>25.0</v>
      </c>
      <c r="H5" s="4" t="s">
        <v>3</v>
      </c>
      <c r="I5" s="4" t="s">
        <v>781</v>
      </c>
      <c r="J5" s="4" t="s">
        <v>120</v>
      </c>
      <c r="K5" s="4">
        <v>42.0</v>
      </c>
      <c r="L5" s="4" t="s">
        <v>3</v>
      </c>
      <c r="M5" s="4" t="s">
        <v>105</v>
      </c>
      <c r="N5" s="4">
        <v>26.0</v>
      </c>
      <c r="O5" s="4" t="s">
        <v>3</v>
      </c>
      <c r="P5" s="4" t="s">
        <v>1666</v>
      </c>
      <c r="Q5" s="4" t="s">
        <v>1667</v>
      </c>
    </row>
    <row r="6">
      <c r="A6" s="4" t="s">
        <v>158</v>
      </c>
      <c r="B6" s="4">
        <v>162386.0</v>
      </c>
      <c r="C6" s="14">
        <v>6.0</v>
      </c>
      <c r="D6" s="4" t="s">
        <v>153</v>
      </c>
      <c r="E6" s="4">
        <v>2.0</v>
      </c>
      <c r="F6" s="4" t="s">
        <v>16</v>
      </c>
      <c r="G6" s="4">
        <v>3.0</v>
      </c>
      <c r="H6" s="4" t="s">
        <v>3</v>
      </c>
      <c r="I6" s="4" t="s">
        <v>781</v>
      </c>
      <c r="J6" s="4" t="s">
        <v>15</v>
      </c>
      <c r="K6" s="4">
        <v>0.0</v>
      </c>
      <c r="L6" s="4" t="s">
        <v>3</v>
      </c>
      <c r="M6" s="4" t="s">
        <v>5</v>
      </c>
      <c r="N6" s="4">
        <v>35.0</v>
      </c>
      <c r="O6" s="4" t="s">
        <v>3</v>
      </c>
      <c r="P6" s="4" t="s">
        <v>1668</v>
      </c>
      <c r="Q6" s="4" t="s">
        <v>1669</v>
      </c>
    </row>
    <row r="7">
      <c r="A7" s="4" t="s">
        <v>283</v>
      </c>
      <c r="B7" s="4">
        <v>153462.0</v>
      </c>
      <c r="C7" s="14">
        <v>7.0</v>
      </c>
      <c r="D7" s="4" t="s">
        <v>282</v>
      </c>
      <c r="E7" s="4">
        <v>1.0</v>
      </c>
      <c r="F7" s="4" t="s">
        <v>13</v>
      </c>
      <c r="G7" s="4">
        <v>17.0</v>
      </c>
      <c r="H7" s="4" t="s">
        <v>3</v>
      </c>
      <c r="I7" s="4" t="s">
        <v>781</v>
      </c>
      <c r="J7" s="4" t="s">
        <v>167</v>
      </c>
      <c r="K7" s="4">
        <v>33.0</v>
      </c>
      <c r="L7" s="4" t="s">
        <v>3</v>
      </c>
      <c r="M7" s="4" t="s">
        <v>38</v>
      </c>
      <c r="N7" s="4">
        <v>6.0</v>
      </c>
      <c r="O7" s="4" t="s">
        <v>3</v>
      </c>
      <c r="P7" s="4" t="s">
        <v>1670</v>
      </c>
      <c r="Q7" s="4" t="s">
        <v>1671</v>
      </c>
    </row>
    <row r="8">
      <c r="A8" s="4" t="s">
        <v>119</v>
      </c>
      <c r="B8" s="4">
        <v>126515.0</v>
      </c>
      <c r="C8" s="14">
        <v>10.0</v>
      </c>
      <c r="D8" s="4" t="s">
        <v>118</v>
      </c>
      <c r="E8" s="4">
        <v>3.0</v>
      </c>
      <c r="F8" s="4" t="s">
        <v>12</v>
      </c>
      <c r="G8" s="4">
        <v>41.0</v>
      </c>
      <c r="H8" s="4" t="s">
        <v>3</v>
      </c>
      <c r="I8" s="4" t="s">
        <v>781</v>
      </c>
      <c r="J8" s="4" t="s">
        <v>120</v>
      </c>
      <c r="K8" s="4">
        <v>42.0</v>
      </c>
      <c r="L8" s="4" t="s">
        <v>3</v>
      </c>
      <c r="M8" s="4" t="s">
        <v>38</v>
      </c>
      <c r="N8" s="4">
        <v>6.0</v>
      </c>
      <c r="O8" s="4" t="s">
        <v>3</v>
      </c>
      <c r="P8" s="4" t="s">
        <v>1672</v>
      </c>
      <c r="Q8" s="4" t="s">
        <v>1673</v>
      </c>
    </row>
    <row r="9">
      <c r="A9" s="4" t="s">
        <v>121</v>
      </c>
      <c r="B9" s="4">
        <v>153380.0</v>
      </c>
      <c r="C9" s="14">
        <v>12.0</v>
      </c>
      <c r="D9" s="4" t="s">
        <v>118</v>
      </c>
      <c r="E9" s="4">
        <v>3.0</v>
      </c>
      <c r="F9" s="4" t="s">
        <v>15</v>
      </c>
      <c r="G9" s="4">
        <v>0.0</v>
      </c>
      <c r="H9" s="4" t="s">
        <v>3</v>
      </c>
      <c r="I9" s="4" t="s">
        <v>781</v>
      </c>
      <c r="J9" s="4" t="s">
        <v>16</v>
      </c>
      <c r="K9" s="4">
        <v>3.0</v>
      </c>
      <c r="L9" s="4" t="s">
        <v>3</v>
      </c>
      <c r="M9" s="4" t="s">
        <v>5</v>
      </c>
      <c r="N9" s="4">
        <v>35.0</v>
      </c>
      <c r="O9" s="4" t="s">
        <v>3</v>
      </c>
      <c r="P9" s="4" t="s">
        <v>1674</v>
      </c>
      <c r="Q9" s="4" t="s">
        <v>1675</v>
      </c>
    </row>
    <row r="10">
      <c r="A10" s="4" t="s">
        <v>159</v>
      </c>
      <c r="B10" s="4">
        <v>319194.0</v>
      </c>
      <c r="C10" s="14">
        <v>13.0</v>
      </c>
      <c r="D10" s="4" t="s">
        <v>153</v>
      </c>
      <c r="E10" s="4">
        <v>2.0</v>
      </c>
      <c r="F10" s="4" t="s">
        <v>21</v>
      </c>
      <c r="G10" s="4">
        <v>10.0</v>
      </c>
      <c r="H10" s="4" t="s">
        <v>3</v>
      </c>
      <c r="I10" s="4" t="s">
        <v>781</v>
      </c>
      <c r="J10" s="4" t="s">
        <v>20</v>
      </c>
      <c r="K10" s="4">
        <v>48.0</v>
      </c>
      <c r="L10" s="4" t="s">
        <v>3</v>
      </c>
      <c r="M10" s="4" t="s">
        <v>26</v>
      </c>
      <c r="N10" s="4">
        <v>7.0</v>
      </c>
      <c r="O10" s="4" t="s">
        <v>3</v>
      </c>
      <c r="P10" s="4" t="s">
        <v>1676</v>
      </c>
      <c r="Q10" s="4" t="s">
        <v>1677</v>
      </c>
    </row>
    <row r="11">
      <c r="A11" s="4" t="s">
        <v>162</v>
      </c>
      <c r="B11" s="4">
        <v>155629.0</v>
      </c>
      <c r="C11" s="14">
        <v>16.0</v>
      </c>
      <c r="D11" s="4" t="s">
        <v>153</v>
      </c>
      <c r="E11" s="4">
        <v>2.0</v>
      </c>
      <c r="F11" s="4" t="s">
        <v>16</v>
      </c>
      <c r="G11" s="4">
        <v>3.0</v>
      </c>
      <c r="H11" s="4" t="s">
        <v>3</v>
      </c>
      <c r="I11" s="4" t="s">
        <v>781</v>
      </c>
      <c r="J11" s="4" t="s">
        <v>5</v>
      </c>
      <c r="K11" s="4">
        <v>35.0</v>
      </c>
      <c r="L11" s="4" t="s">
        <v>3</v>
      </c>
      <c r="M11" s="4" t="s">
        <v>15</v>
      </c>
      <c r="N11" s="4">
        <v>0.0</v>
      </c>
      <c r="O11" s="4" t="s">
        <v>3</v>
      </c>
      <c r="P11" s="4" t="s">
        <v>1678</v>
      </c>
      <c r="Q11" s="4" t="s">
        <v>1679</v>
      </c>
    </row>
    <row r="12">
      <c r="A12" s="4" t="s">
        <v>163</v>
      </c>
      <c r="B12" s="4">
        <v>118860.0</v>
      </c>
      <c r="C12" s="14">
        <v>17.0</v>
      </c>
      <c r="D12" s="4" t="s">
        <v>153</v>
      </c>
      <c r="E12" s="4">
        <v>2.0</v>
      </c>
      <c r="F12" s="4" t="s">
        <v>105</v>
      </c>
      <c r="G12" s="4">
        <v>26.0</v>
      </c>
      <c r="H12" s="4" t="s">
        <v>3</v>
      </c>
      <c r="I12" s="4" t="s">
        <v>781</v>
      </c>
      <c r="J12" s="4" t="s">
        <v>4</v>
      </c>
      <c r="K12" s="4">
        <v>23.0</v>
      </c>
      <c r="L12" s="4" t="s">
        <v>3</v>
      </c>
      <c r="M12" s="4" t="s">
        <v>2</v>
      </c>
      <c r="N12" s="4">
        <v>25.0</v>
      </c>
      <c r="O12" s="4" t="s">
        <v>3</v>
      </c>
      <c r="P12" s="4" t="s">
        <v>1680</v>
      </c>
      <c r="Q12" s="4" t="s">
        <v>1681</v>
      </c>
    </row>
    <row r="13">
      <c r="A13" s="4" t="s">
        <v>166</v>
      </c>
      <c r="B13" s="4">
        <v>308141.0</v>
      </c>
      <c r="C13" s="14">
        <v>21.0</v>
      </c>
      <c r="D13" s="4" t="s">
        <v>153</v>
      </c>
      <c r="E13" s="4">
        <v>2.0</v>
      </c>
      <c r="F13" s="4" t="s">
        <v>40</v>
      </c>
      <c r="G13" s="4">
        <v>44.0</v>
      </c>
      <c r="H13" s="4" t="s">
        <v>3</v>
      </c>
      <c r="I13" s="4" t="s">
        <v>781</v>
      </c>
      <c r="J13" s="4" t="s">
        <v>38</v>
      </c>
      <c r="K13" s="4">
        <v>6.0</v>
      </c>
      <c r="L13" s="4" t="s">
        <v>3</v>
      </c>
      <c r="M13" s="4" t="s">
        <v>167</v>
      </c>
      <c r="N13" s="4">
        <v>33.0</v>
      </c>
      <c r="O13" s="4" t="s">
        <v>3</v>
      </c>
      <c r="P13" s="4" t="s">
        <v>1682</v>
      </c>
      <c r="Q13" s="4" t="s">
        <v>1683</v>
      </c>
    </row>
    <row r="14">
      <c r="A14" s="4" t="s">
        <v>285</v>
      </c>
      <c r="B14" s="4">
        <v>312060.0</v>
      </c>
      <c r="C14" s="14">
        <v>23.0</v>
      </c>
      <c r="D14" s="4" t="s">
        <v>282</v>
      </c>
      <c r="E14" s="4">
        <v>1.0</v>
      </c>
      <c r="F14" s="4" t="s">
        <v>124</v>
      </c>
      <c r="G14" s="4">
        <v>46.0</v>
      </c>
      <c r="H14" s="4" t="s">
        <v>3</v>
      </c>
      <c r="I14" s="4" t="s">
        <v>781</v>
      </c>
      <c r="J14" s="4" t="s">
        <v>204</v>
      </c>
      <c r="K14" s="4">
        <v>43.0</v>
      </c>
      <c r="L14" s="4" t="s">
        <v>3</v>
      </c>
      <c r="M14" s="4" t="s">
        <v>5</v>
      </c>
      <c r="N14" s="4">
        <v>35.0</v>
      </c>
      <c r="O14" s="4" t="s">
        <v>3</v>
      </c>
      <c r="P14" s="4" t="s">
        <v>1684</v>
      </c>
      <c r="Q14" s="4" t="s">
        <v>1685</v>
      </c>
    </row>
    <row r="15">
      <c r="A15" s="4" t="s">
        <v>11</v>
      </c>
      <c r="B15" s="4">
        <v>118662.0</v>
      </c>
      <c r="C15" s="14">
        <v>24.0</v>
      </c>
      <c r="D15" s="4" t="s">
        <v>1</v>
      </c>
      <c r="E15" s="4">
        <v>5.0</v>
      </c>
      <c r="F15" s="4" t="s">
        <v>12</v>
      </c>
      <c r="G15" s="4">
        <v>41.0</v>
      </c>
      <c r="H15" s="4" t="s">
        <v>3</v>
      </c>
      <c r="I15" s="4" t="s">
        <v>781</v>
      </c>
      <c r="J15" s="4" t="s">
        <v>4</v>
      </c>
      <c r="K15" s="4">
        <v>23.0</v>
      </c>
      <c r="L15" s="4" t="s">
        <v>3</v>
      </c>
      <c r="M15" s="4" t="s">
        <v>13</v>
      </c>
      <c r="N15" s="4">
        <v>17.0</v>
      </c>
      <c r="O15" s="4" t="s">
        <v>3</v>
      </c>
      <c r="P15" s="4" t="s">
        <v>1686</v>
      </c>
      <c r="Q15" s="4" t="s">
        <v>1687</v>
      </c>
    </row>
    <row r="16">
      <c r="A16" s="4" t="s">
        <v>122</v>
      </c>
      <c r="B16" s="4">
        <v>111264.0</v>
      </c>
      <c r="C16" s="14">
        <v>25.0</v>
      </c>
      <c r="D16" s="4" t="s">
        <v>118</v>
      </c>
      <c r="E16" s="4">
        <v>3.0</v>
      </c>
      <c r="F16" s="4" t="s">
        <v>114</v>
      </c>
      <c r="G16" s="4">
        <v>12.0</v>
      </c>
      <c r="H16" s="4" t="s">
        <v>3</v>
      </c>
      <c r="I16" s="4" t="s">
        <v>781</v>
      </c>
      <c r="J16" s="4" t="s">
        <v>30</v>
      </c>
      <c r="K16" s="4">
        <v>13.0</v>
      </c>
      <c r="L16" s="4" t="s">
        <v>3</v>
      </c>
      <c r="M16" s="4" t="s">
        <v>18</v>
      </c>
      <c r="N16" s="4">
        <v>22.0</v>
      </c>
      <c r="O16" s="4" t="s">
        <v>3</v>
      </c>
      <c r="P16" s="4" t="s">
        <v>1688</v>
      </c>
      <c r="Q16" s="4" t="s">
        <v>1689</v>
      </c>
    </row>
    <row r="17">
      <c r="A17" s="4" t="s">
        <v>463</v>
      </c>
      <c r="B17" s="4">
        <v>150842.0</v>
      </c>
      <c r="C17" s="14">
        <v>34.0</v>
      </c>
      <c r="D17" s="4" t="s">
        <v>459</v>
      </c>
      <c r="E17" s="4">
        <v>0.0</v>
      </c>
      <c r="F17" s="4" t="s">
        <v>47</v>
      </c>
      <c r="G17" s="4">
        <v>27.0</v>
      </c>
      <c r="H17" s="4" t="s">
        <v>3</v>
      </c>
      <c r="I17" s="4" t="s">
        <v>781</v>
      </c>
      <c r="J17" s="4" t="s">
        <v>184</v>
      </c>
      <c r="K17" s="4">
        <v>4.0</v>
      </c>
      <c r="L17" s="4" t="s">
        <v>3</v>
      </c>
      <c r="M17" s="4" t="s">
        <v>12</v>
      </c>
      <c r="N17" s="4">
        <v>41.0</v>
      </c>
      <c r="O17" s="4" t="s">
        <v>3</v>
      </c>
      <c r="P17" s="4" t="s">
        <v>1690</v>
      </c>
      <c r="Q17" s="4" t="s">
        <v>1691</v>
      </c>
    </row>
    <row r="18">
      <c r="A18" s="4" t="s">
        <v>464</v>
      </c>
      <c r="B18" s="4">
        <v>206031.0</v>
      </c>
      <c r="C18" s="14">
        <v>36.0</v>
      </c>
      <c r="D18" s="4" t="s">
        <v>459</v>
      </c>
      <c r="E18" s="4">
        <v>0.0</v>
      </c>
      <c r="F18" s="4" t="s">
        <v>401</v>
      </c>
      <c r="G18" s="4">
        <v>38.0</v>
      </c>
      <c r="H18" s="4" t="s">
        <v>3</v>
      </c>
      <c r="I18" s="4" t="s">
        <v>781</v>
      </c>
      <c r="J18" s="4" t="s">
        <v>238</v>
      </c>
      <c r="K18" s="4">
        <v>37.0</v>
      </c>
      <c r="L18" s="4" t="s">
        <v>3</v>
      </c>
      <c r="M18" s="4" t="s">
        <v>465</v>
      </c>
      <c r="N18" s="4">
        <v>36.0</v>
      </c>
      <c r="O18" s="4" t="s">
        <v>3</v>
      </c>
      <c r="P18" s="4" t="s">
        <v>1692</v>
      </c>
      <c r="Q18" s="4" t="s">
        <v>1693</v>
      </c>
    </row>
    <row r="19">
      <c r="A19" s="4" t="s">
        <v>181</v>
      </c>
      <c r="B19" s="4">
        <v>151889.0</v>
      </c>
      <c r="C19" s="14">
        <v>40.0</v>
      </c>
      <c r="D19" s="4" t="s">
        <v>153</v>
      </c>
      <c r="E19" s="4">
        <v>2.0</v>
      </c>
      <c r="F19" s="4" t="s">
        <v>124</v>
      </c>
      <c r="G19" s="4">
        <v>46.0</v>
      </c>
      <c r="H19" s="4" t="s">
        <v>3</v>
      </c>
      <c r="I19" s="4" t="s">
        <v>781</v>
      </c>
      <c r="J19" s="4" t="s">
        <v>16</v>
      </c>
      <c r="K19" s="4">
        <v>3.0</v>
      </c>
      <c r="L19" s="4" t="s">
        <v>3</v>
      </c>
      <c r="M19" s="4" t="s">
        <v>105</v>
      </c>
      <c r="N19" s="4">
        <v>26.0</v>
      </c>
      <c r="O19" s="4" t="s">
        <v>1694</v>
      </c>
      <c r="P19" s="4" t="s">
        <v>1695</v>
      </c>
      <c r="Q19" s="4" t="s">
        <v>1696</v>
      </c>
    </row>
    <row r="20">
      <c r="A20" s="4" t="s">
        <v>295</v>
      </c>
      <c r="B20" s="4">
        <v>163774.0</v>
      </c>
      <c r="C20" s="14">
        <v>45.0</v>
      </c>
      <c r="D20" s="4" t="s">
        <v>282</v>
      </c>
      <c r="E20" s="4">
        <v>1.0</v>
      </c>
      <c r="F20" s="4" t="s">
        <v>64</v>
      </c>
      <c r="G20" s="4">
        <v>30.0</v>
      </c>
      <c r="H20" s="4" t="s">
        <v>3</v>
      </c>
      <c r="I20" s="4" t="s">
        <v>781</v>
      </c>
      <c r="J20" s="4" t="s">
        <v>63</v>
      </c>
      <c r="K20" s="4">
        <v>29.0</v>
      </c>
      <c r="L20" s="4" t="s">
        <v>3</v>
      </c>
      <c r="M20" s="4" t="s">
        <v>61</v>
      </c>
      <c r="N20" s="4">
        <v>31.0</v>
      </c>
      <c r="O20" s="4" t="s">
        <v>3</v>
      </c>
      <c r="P20" s="4" t="s">
        <v>1697</v>
      </c>
      <c r="Q20" s="4" t="s">
        <v>1698</v>
      </c>
    </row>
    <row r="21">
      <c r="A21" s="4" t="s">
        <v>14</v>
      </c>
      <c r="B21" s="4">
        <v>180776.0</v>
      </c>
      <c r="C21" s="14">
        <v>50.0</v>
      </c>
      <c r="D21" s="4" t="s">
        <v>1</v>
      </c>
      <c r="E21" s="4">
        <v>5.0</v>
      </c>
      <c r="F21" s="4" t="s">
        <v>13</v>
      </c>
      <c r="G21" s="4">
        <v>17.0</v>
      </c>
      <c r="H21" s="4" t="s">
        <v>3</v>
      </c>
      <c r="I21" s="4" t="s">
        <v>781</v>
      </c>
      <c r="J21" s="4" t="s">
        <v>15</v>
      </c>
      <c r="K21" s="4">
        <v>0.0</v>
      </c>
      <c r="L21" s="4" t="s">
        <v>3</v>
      </c>
      <c r="M21" s="4" t="s">
        <v>16</v>
      </c>
      <c r="N21" s="4">
        <v>3.0</v>
      </c>
      <c r="O21" s="4" t="s">
        <v>3</v>
      </c>
      <c r="P21" s="4" t="s">
        <v>1699</v>
      </c>
      <c r="Q21" s="4" t="s">
        <v>1700</v>
      </c>
    </row>
    <row r="22">
      <c r="A22" s="4" t="s">
        <v>468</v>
      </c>
      <c r="B22" s="4">
        <v>150581.0</v>
      </c>
      <c r="C22" s="14">
        <v>51.0</v>
      </c>
      <c r="D22" s="4" t="s">
        <v>459</v>
      </c>
      <c r="E22" s="4">
        <v>0.0</v>
      </c>
      <c r="F22" s="4" t="s">
        <v>401</v>
      </c>
      <c r="G22" s="4">
        <v>38.0</v>
      </c>
      <c r="H22" s="4" t="s">
        <v>3</v>
      </c>
      <c r="I22" s="4" t="s">
        <v>781</v>
      </c>
      <c r="J22" s="4" t="s">
        <v>465</v>
      </c>
      <c r="K22" s="4">
        <v>36.0</v>
      </c>
      <c r="L22" s="4" t="s">
        <v>3</v>
      </c>
      <c r="M22" s="4" t="s">
        <v>16</v>
      </c>
      <c r="N22" s="4">
        <v>3.0</v>
      </c>
      <c r="O22" s="4" t="s">
        <v>3</v>
      </c>
      <c r="P22" s="4" t="s">
        <v>1701</v>
      </c>
      <c r="Q22" s="4" t="s">
        <v>1702</v>
      </c>
    </row>
    <row r="23">
      <c r="A23" s="4" t="s">
        <v>469</v>
      </c>
      <c r="B23" s="4">
        <v>129064.0</v>
      </c>
      <c r="C23" s="14">
        <v>52.0</v>
      </c>
      <c r="D23" s="4" t="s">
        <v>459</v>
      </c>
      <c r="E23" s="4">
        <v>0.0</v>
      </c>
      <c r="F23" s="4" t="s">
        <v>5</v>
      </c>
      <c r="G23" s="4">
        <v>35.0</v>
      </c>
      <c r="H23" s="4" t="s">
        <v>3</v>
      </c>
      <c r="I23" s="4" t="s">
        <v>781</v>
      </c>
      <c r="J23" s="4" t="s">
        <v>15</v>
      </c>
      <c r="K23" s="4">
        <v>0.0</v>
      </c>
      <c r="L23" s="4" t="s">
        <v>3</v>
      </c>
      <c r="M23" s="4" t="s">
        <v>13</v>
      </c>
      <c r="N23" s="4">
        <v>17.0</v>
      </c>
      <c r="O23" s="4" t="s">
        <v>3</v>
      </c>
      <c r="P23" s="4" t="s">
        <v>1703</v>
      </c>
      <c r="Q23" s="4" t="s">
        <v>1704</v>
      </c>
    </row>
    <row r="24">
      <c r="A24" s="4" t="s">
        <v>123</v>
      </c>
      <c r="B24" s="4">
        <v>145700.0</v>
      </c>
      <c r="C24" s="14">
        <v>53.0</v>
      </c>
      <c r="D24" s="4" t="s">
        <v>118</v>
      </c>
      <c r="E24" s="4">
        <v>3.0</v>
      </c>
      <c r="F24" s="4" t="s">
        <v>39</v>
      </c>
      <c r="G24" s="4">
        <v>20.0</v>
      </c>
      <c r="H24" s="4" t="s">
        <v>3</v>
      </c>
      <c r="I24" s="4" t="s">
        <v>781</v>
      </c>
      <c r="J24" s="4" t="s">
        <v>124</v>
      </c>
      <c r="K24" s="4">
        <v>46.0</v>
      </c>
      <c r="L24" s="4" t="s">
        <v>3</v>
      </c>
      <c r="M24" s="4" t="s">
        <v>125</v>
      </c>
      <c r="N24" s="4">
        <v>19.0</v>
      </c>
      <c r="O24" s="4" t="s">
        <v>3</v>
      </c>
      <c r="P24" s="4" t="s">
        <v>1705</v>
      </c>
      <c r="Q24" s="4" t="s">
        <v>1706</v>
      </c>
    </row>
    <row r="25">
      <c r="A25" s="4" t="s">
        <v>470</v>
      </c>
      <c r="B25" s="4">
        <v>150826.0</v>
      </c>
      <c r="C25" s="14">
        <v>54.0</v>
      </c>
      <c r="D25" s="4" t="s">
        <v>459</v>
      </c>
      <c r="E25" s="4">
        <v>0.0</v>
      </c>
      <c r="F25" s="4" t="s">
        <v>238</v>
      </c>
      <c r="G25" s="4">
        <v>37.0</v>
      </c>
      <c r="H25" s="4" t="s">
        <v>3</v>
      </c>
      <c r="I25" s="4" t="s">
        <v>781</v>
      </c>
      <c r="J25" s="4" t="s">
        <v>105</v>
      </c>
      <c r="K25" s="4">
        <v>26.0</v>
      </c>
      <c r="L25" s="4" t="s">
        <v>3</v>
      </c>
      <c r="M25" s="4" t="s">
        <v>39</v>
      </c>
      <c r="N25" s="4">
        <v>20.0</v>
      </c>
      <c r="O25" s="4" t="s">
        <v>3</v>
      </c>
      <c r="P25" s="4" t="s">
        <v>1707</v>
      </c>
      <c r="Q25" s="4" t="s">
        <v>1708</v>
      </c>
    </row>
    <row r="26">
      <c r="A26" s="4" t="s">
        <v>475</v>
      </c>
      <c r="B26" s="4">
        <v>301227.0</v>
      </c>
      <c r="C26" s="14">
        <v>60.0</v>
      </c>
      <c r="D26" s="4" t="s">
        <v>459</v>
      </c>
      <c r="E26" s="4">
        <v>0.0</v>
      </c>
      <c r="F26" s="4" t="s">
        <v>191</v>
      </c>
      <c r="G26" s="4">
        <v>39.0</v>
      </c>
      <c r="H26" s="4" t="s">
        <v>3</v>
      </c>
      <c r="I26" s="4" t="s">
        <v>781</v>
      </c>
      <c r="J26" s="4" t="s">
        <v>309</v>
      </c>
      <c r="K26" s="4">
        <v>40.0</v>
      </c>
      <c r="L26" s="4" t="s">
        <v>3</v>
      </c>
      <c r="M26" s="4" t="s">
        <v>465</v>
      </c>
      <c r="N26" s="4">
        <v>36.0</v>
      </c>
      <c r="O26" s="4" t="s">
        <v>3</v>
      </c>
      <c r="P26" s="4" t="s">
        <v>1709</v>
      </c>
      <c r="Q26" s="4" t="s">
        <v>1710</v>
      </c>
    </row>
    <row r="27">
      <c r="A27" s="4" t="s">
        <v>306</v>
      </c>
      <c r="B27" s="4">
        <v>303237.0</v>
      </c>
      <c r="C27" s="14">
        <v>61.0</v>
      </c>
      <c r="D27" s="4" t="s">
        <v>282</v>
      </c>
      <c r="E27" s="4">
        <v>1.0</v>
      </c>
      <c r="F27" s="4" t="s">
        <v>167</v>
      </c>
      <c r="G27" s="4">
        <v>33.0</v>
      </c>
      <c r="H27" s="4" t="s">
        <v>3</v>
      </c>
      <c r="I27" s="4" t="s">
        <v>781</v>
      </c>
      <c r="J27" s="4" t="s">
        <v>120</v>
      </c>
      <c r="K27" s="4">
        <v>42.0</v>
      </c>
      <c r="L27" s="4" t="s">
        <v>3</v>
      </c>
      <c r="M27" s="4" t="s">
        <v>13</v>
      </c>
      <c r="N27" s="4">
        <v>17.0</v>
      </c>
      <c r="O27" s="4" t="s">
        <v>3</v>
      </c>
      <c r="P27" s="4" t="s">
        <v>1711</v>
      </c>
      <c r="Q27" s="4" t="s">
        <v>1712</v>
      </c>
    </row>
    <row r="28">
      <c r="A28" s="4" t="s">
        <v>476</v>
      </c>
      <c r="B28" s="4">
        <v>137947.0</v>
      </c>
      <c r="C28" s="14">
        <v>62.0</v>
      </c>
      <c r="D28" s="4" t="s">
        <v>459</v>
      </c>
      <c r="E28" s="4">
        <v>0.0</v>
      </c>
      <c r="F28" s="4" t="s">
        <v>26</v>
      </c>
      <c r="G28" s="4">
        <v>7.0</v>
      </c>
      <c r="H28" s="4" t="s">
        <v>3</v>
      </c>
      <c r="I28" s="4" t="s">
        <v>781</v>
      </c>
      <c r="J28" s="4" t="s">
        <v>20</v>
      </c>
      <c r="K28" s="4">
        <v>48.0</v>
      </c>
      <c r="L28" s="4" t="s">
        <v>3</v>
      </c>
      <c r="M28" s="4" t="s">
        <v>18</v>
      </c>
      <c r="N28" s="4">
        <v>22.0</v>
      </c>
      <c r="O28" s="4" t="s">
        <v>3</v>
      </c>
      <c r="P28" s="4" t="s">
        <v>1713</v>
      </c>
      <c r="Q28" s="4" t="s">
        <v>1714</v>
      </c>
    </row>
    <row r="29">
      <c r="A29" s="4" t="s">
        <v>126</v>
      </c>
      <c r="B29" s="4">
        <v>136758.0</v>
      </c>
      <c r="C29" s="14">
        <v>64.0</v>
      </c>
      <c r="D29" s="4" t="s">
        <v>118</v>
      </c>
      <c r="E29" s="4">
        <v>3.0</v>
      </c>
      <c r="F29" s="4" t="s">
        <v>12</v>
      </c>
      <c r="G29" s="4">
        <v>41.0</v>
      </c>
      <c r="H29" s="4" t="s">
        <v>3</v>
      </c>
      <c r="I29" s="4" t="s">
        <v>781</v>
      </c>
      <c r="J29" s="4" t="s">
        <v>4</v>
      </c>
      <c r="K29" s="4">
        <v>23.0</v>
      </c>
      <c r="L29" s="4" t="s">
        <v>3</v>
      </c>
      <c r="M29" s="4" t="s">
        <v>13</v>
      </c>
      <c r="N29" s="4">
        <v>17.0</v>
      </c>
      <c r="O29" s="4" t="s">
        <v>3</v>
      </c>
      <c r="P29" s="4" t="s">
        <v>1715</v>
      </c>
      <c r="Q29" s="4" t="s">
        <v>1716</v>
      </c>
    </row>
    <row r="30">
      <c r="A30" s="4" t="s">
        <v>83</v>
      </c>
      <c r="B30" s="4">
        <v>118526.0</v>
      </c>
      <c r="C30" s="14">
        <v>65.0</v>
      </c>
      <c r="D30" s="4" t="s">
        <v>60</v>
      </c>
      <c r="E30" s="4">
        <v>4.0</v>
      </c>
      <c r="F30" s="4" t="s">
        <v>64</v>
      </c>
      <c r="G30" s="4">
        <v>30.0</v>
      </c>
      <c r="H30" s="4" t="s">
        <v>3</v>
      </c>
      <c r="I30" s="4" t="s">
        <v>781</v>
      </c>
      <c r="J30" s="4" t="s">
        <v>61</v>
      </c>
      <c r="K30" s="4">
        <v>31.0</v>
      </c>
      <c r="L30" s="4" t="s">
        <v>3</v>
      </c>
      <c r="M30" s="4" t="s">
        <v>63</v>
      </c>
      <c r="N30" s="4">
        <v>29.0</v>
      </c>
      <c r="O30" s="4" t="s">
        <v>3</v>
      </c>
      <c r="P30" s="4" t="s">
        <v>1717</v>
      </c>
      <c r="Q30" s="4" t="s">
        <v>1718</v>
      </c>
    </row>
    <row r="31">
      <c r="A31" s="4" t="s">
        <v>307</v>
      </c>
      <c r="B31" s="4">
        <v>188447.0</v>
      </c>
      <c r="C31" s="14">
        <v>67.0</v>
      </c>
      <c r="D31" s="4" t="s">
        <v>282</v>
      </c>
      <c r="E31" s="4">
        <v>1.0</v>
      </c>
      <c r="F31" s="4" t="s">
        <v>12</v>
      </c>
      <c r="G31" s="4">
        <v>41.0</v>
      </c>
      <c r="H31" s="4" t="s">
        <v>3</v>
      </c>
      <c r="I31" s="4" t="s">
        <v>781</v>
      </c>
      <c r="J31" s="4" t="s">
        <v>309</v>
      </c>
      <c r="K31" s="4">
        <v>40.0</v>
      </c>
      <c r="L31" s="4" t="s">
        <v>3</v>
      </c>
      <c r="M31" s="4" t="s">
        <v>38</v>
      </c>
      <c r="N31" s="4">
        <v>6.0</v>
      </c>
      <c r="O31" s="4" t="s">
        <v>3</v>
      </c>
      <c r="P31" s="4" t="s">
        <v>1719</v>
      </c>
      <c r="Q31" s="4" t="s">
        <v>1720</v>
      </c>
    </row>
    <row r="32">
      <c r="A32" s="4" t="s">
        <v>479</v>
      </c>
      <c r="B32" s="4">
        <v>204995.0</v>
      </c>
      <c r="C32" s="14">
        <v>69.0</v>
      </c>
      <c r="D32" s="4" t="s">
        <v>459</v>
      </c>
      <c r="E32" s="4">
        <v>0.0</v>
      </c>
      <c r="F32" s="4" t="s">
        <v>401</v>
      </c>
      <c r="G32" s="4">
        <v>38.0</v>
      </c>
      <c r="H32" s="4" t="s">
        <v>3</v>
      </c>
      <c r="I32" s="4" t="s">
        <v>781</v>
      </c>
      <c r="J32" s="4" t="s">
        <v>13</v>
      </c>
      <c r="K32" s="4">
        <v>17.0</v>
      </c>
      <c r="L32" s="4" t="s">
        <v>3</v>
      </c>
      <c r="M32" s="4" t="s">
        <v>125</v>
      </c>
      <c r="N32" s="4">
        <v>19.0</v>
      </c>
      <c r="O32" s="4" t="s">
        <v>3</v>
      </c>
      <c r="P32" s="4" t="s">
        <v>1721</v>
      </c>
      <c r="Q32" s="4" t="s">
        <v>1722</v>
      </c>
    </row>
    <row r="33">
      <c r="A33" s="4" t="s">
        <v>24</v>
      </c>
      <c r="B33" s="4">
        <v>154764.0</v>
      </c>
      <c r="C33" s="14">
        <v>95.0</v>
      </c>
      <c r="D33" s="4" t="s">
        <v>1</v>
      </c>
      <c r="E33" s="4">
        <v>5.0</v>
      </c>
      <c r="F33" s="4" t="s">
        <v>13</v>
      </c>
      <c r="G33" s="4">
        <v>17.0</v>
      </c>
      <c r="H33" s="4" t="s">
        <v>3</v>
      </c>
      <c r="I33" s="4" t="s">
        <v>781</v>
      </c>
      <c r="J33" s="4" t="s">
        <v>25</v>
      </c>
      <c r="K33" s="4">
        <v>18.0</v>
      </c>
      <c r="L33" s="4" t="s">
        <v>3</v>
      </c>
      <c r="M33" s="4" t="s">
        <v>26</v>
      </c>
      <c r="N33" s="4">
        <v>7.0</v>
      </c>
      <c r="O33" s="4" t="s">
        <v>3</v>
      </c>
      <c r="P33" s="4" t="s">
        <v>1723</v>
      </c>
      <c r="Q33" s="4" t="s">
        <v>1724</v>
      </c>
    </row>
    <row r="34">
      <c r="A34" s="4" t="s">
        <v>506</v>
      </c>
      <c r="B34" s="4">
        <v>119320.0</v>
      </c>
      <c r="C34" s="14">
        <v>96.0</v>
      </c>
      <c r="D34" s="4" t="s">
        <v>459</v>
      </c>
      <c r="E34" s="4">
        <v>0.0</v>
      </c>
      <c r="F34" s="4" t="s">
        <v>207</v>
      </c>
      <c r="G34" s="4">
        <v>1.0</v>
      </c>
      <c r="H34" s="4" t="s">
        <v>3</v>
      </c>
      <c r="I34" s="4" t="s">
        <v>781</v>
      </c>
      <c r="J34" s="4" t="s">
        <v>105</v>
      </c>
      <c r="K34" s="4">
        <v>26.0</v>
      </c>
      <c r="L34" s="4" t="s">
        <v>3</v>
      </c>
      <c r="M34" s="4" t="s">
        <v>64</v>
      </c>
      <c r="N34" s="4">
        <v>30.0</v>
      </c>
      <c r="O34" s="4" t="s">
        <v>3</v>
      </c>
      <c r="P34" s="4" t="s">
        <v>1725</v>
      </c>
      <c r="Q34" s="4" t="s">
        <v>1726</v>
      </c>
    </row>
    <row r="35">
      <c r="A35" s="4" t="s">
        <v>509</v>
      </c>
      <c r="B35" s="4">
        <v>206209.0</v>
      </c>
      <c r="C35" s="14">
        <v>101.0</v>
      </c>
      <c r="D35" s="4" t="s">
        <v>459</v>
      </c>
      <c r="E35" s="4">
        <v>0.0</v>
      </c>
      <c r="F35" s="4" t="s">
        <v>401</v>
      </c>
      <c r="G35" s="4">
        <v>38.0</v>
      </c>
      <c r="H35" s="4" t="s">
        <v>3</v>
      </c>
      <c r="I35" s="4" t="s">
        <v>781</v>
      </c>
      <c r="J35" s="4" t="s">
        <v>309</v>
      </c>
      <c r="K35" s="4">
        <v>40.0</v>
      </c>
      <c r="L35" s="4" t="s">
        <v>3</v>
      </c>
      <c r="M35" s="4" t="s">
        <v>238</v>
      </c>
      <c r="N35" s="4">
        <v>37.0</v>
      </c>
      <c r="O35" s="4" t="s">
        <v>3</v>
      </c>
      <c r="P35" s="4" t="s">
        <v>1727</v>
      </c>
      <c r="Q35" s="4" t="s">
        <v>1728</v>
      </c>
    </row>
    <row r="36">
      <c r="A36" s="4" t="s">
        <v>329</v>
      </c>
      <c r="B36" s="4">
        <v>318895.0</v>
      </c>
      <c r="C36" s="14">
        <v>109.0</v>
      </c>
      <c r="D36" s="4" t="s">
        <v>282</v>
      </c>
      <c r="E36" s="4">
        <v>1.0</v>
      </c>
      <c r="F36" s="4" t="s">
        <v>2</v>
      </c>
      <c r="G36" s="4">
        <v>25.0</v>
      </c>
      <c r="H36" s="4" t="s">
        <v>3</v>
      </c>
      <c r="I36" s="4" t="s">
        <v>781</v>
      </c>
      <c r="J36" s="4" t="s">
        <v>15</v>
      </c>
      <c r="K36" s="4">
        <v>0.0</v>
      </c>
      <c r="L36" s="4" t="s">
        <v>3</v>
      </c>
      <c r="M36" s="4" t="s">
        <v>207</v>
      </c>
      <c r="N36" s="4">
        <v>1.0</v>
      </c>
      <c r="O36" s="4" t="s">
        <v>3</v>
      </c>
      <c r="P36" s="4" t="s">
        <v>1729</v>
      </c>
      <c r="Q36" s="4" t="s">
        <v>1730</v>
      </c>
    </row>
    <row r="37">
      <c r="A37" s="4" t="s">
        <v>526</v>
      </c>
      <c r="B37" s="4">
        <v>136204.0</v>
      </c>
      <c r="C37" s="14">
        <v>113.0</v>
      </c>
      <c r="D37" s="4" t="s">
        <v>459</v>
      </c>
      <c r="E37" s="4">
        <v>0.0</v>
      </c>
      <c r="F37" s="4" t="s">
        <v>309</v>
      </c>
      <c r="G37" s="4">
        <v>40.0</v>
      </c>
      <c r="H37" s="4" t="s">
        <v>3</v>
      </c>
      <c r="I37" s="4" t="s">
        <v>781</v>
      </c>
      <c r="J37" s="4" t="s">
        <v>124</v>
      </c>
      <c r="K37" s="4">
        <v>46.0</v>
      </c>
      <c r="L37" s="4" t="s">
        <v>3</v>
      </c>
      <c r="M37" s="4" t="s">
        <v>238</v>
      </c>
      <c r="N37" s="4">
        <v>37.0</v>
      </c>
      <c r="O37" s="4" t="s">
        <v>3</v>
      </c>
      <c r="P37" s="4" t="s">
        <v>1731</v>
      </c>
      <c r="Q37" s="4" t="s">
        <v>1732</v>
      </c>
    </row>
    <row r="38">
      <c r="A38" s="4" t="s">
        <v>330</v>
      </c>
      <c r="B38" s="4">
        <v>148048.0</v>
      </c>
      <c r="C38" s="14">
        <v>119.0</v>
      </c>
      <c r="D38" s="4" t="s">
        <v>282</v>
      </c>
      <c r="E38" s="4">
        <v>1.0</v>
      </c>
      <c r="F38" s="4" t="s">
        <v>207</v>
      </c>
      <c r="G38" s="4">
        <v>1.0</v>
      </c>
      <c r="H38" s="4" t="s">
        <v>3</v>
      </c>
      <c r="I38" s="4" t="s">
        <v>781</v>
      </c>
      <c r="J38" s="4" t="s">
        <v>38</v>
      </c>
      <c r="K38" s="4">
        <v>6.0</v>
      </c>
      <c r="L38" s="4" t="s">
        <v>3</v>
      </c>
      <c r="M38" s="4" t="s">
        <v>40</v>
      </c>
      <c r="N38" s="4">
        <v>44.0</v>
      </c>
      <c r="O38" s="4" t="s">
        <v>3</v>
      </c>
      <c r="P38" s="4" t="s">
        <v>1733</v>
      </c>
      <c r="Q38" s="4" t="s">
        <v>1734</v>
      </c>
    </row>
    <row r="39">
      <c r="A39" s="4" t="s">
        <v>87</v>
      </c>
      <c r="B39" s="4">
        <v>110099.0</v>
      </c>
      <c r="C39" s="14">
        <v>122.0</v>
      </c>
      <c r="D39" s="4" t="s">
        <v>60</v>
      </c>
      <c r="E39" s="4">
        <v>4.0</v>
      </c>
      <c r="F39" s="4" t="s">
        <v>13</v>
      </c>
      <c r="G39" s="4">
        <v>17.0</v>
      </c>
      <c r="H39" s="4" t="s">
        <v>3</v>
      </c>
      <c r="I39" s="4" t="s">
        <v>781</v>
      </c>
      <c r="J39" s="4" t="s">
        <v>12</v>
      </c>
      <c r="K39" s="4">
        <v>41.0</v>
      </c>
      <c r="L39" s="4" t="s">
        <v>3</v>
      </c>
      <c r="M39" s="4" t="s">
        <v>47</v>
      </c>
      <c r="N39" s="4">
        <v>27.0</v>
      </c>
      <c r="O39" s="4" t="s">
        <v>3</v>
      </c>
      <c r="P39" s="4" t="s">
        <v>1735</v>
      </c>
      <c r="Q39" s="4" t="s">
        <v>1736</v>
      </c>
    </row>
    <row r="40">
      <c r="A40" s="4" t="s">
        <v>537</v>
      </c>
      <c r="B40" s="4">
        <v>205217.0</v>
      </c>
      <c r="C40" s="14">
        <v>125.0</v>
      </c>
      <c r="D40" s="4" t="s">
        <v>459</v>
      </c>
      <c r="E40" s="4">
        <v>0.0</v>
      </c>
      <c r="F40" s="4" t="s">
        <v>401</v>
      </c>
      <c r="G40" s="4">
        <v>38.0</v>
      </c>
      <c r="H40" s="4" t="s">
        <v>3</v>
      </c>
      <c r="I40" s="4" t="s">
        <v>781</v>
      </c>
      <c r="J40" s="4" t="s">
        <v>5</v>
      </c>
      <c r="K40" s="4">
        <v>35.0</v>
      </c>
      <c r="L40" s="4" t="s">
        <v>3</v>
      </c>
      <c r="M40" s="4" t="s">
        <v>465</v>
      </c>
      <c r="N40" s="4">
        <v>36.0</v>
      </c>
      <c r="O40" s="4" t="s">
        <v>3</v>
      </c>
      <c r="P40" s="4" t="s">
        <v>1737</v>
      </c>
      <c r="Q40" s="4" t="s">
        <v>1738</v>
      </c>
    </row>
    <row r="41">
      <c r="A41" s="4" t="s">
        <v>199</v>
      </c>
      <c r="B41" s="4">
        <v>128793.0</v>
      </c>
      <c r="C41" s="14">
        <v>126.0</v>
      </c>
      <c r="D41" s="4" t="s">
        <v>153</v>
      </c>
      <c r="E41" s="4">
        <v>2.0</v>
      </c>
      <c r="F41" s="4" t="s">
        <v>42</v>
      </c>
      <c r="G41" s="4">
        <v>14.0</v>
      </c>
      <c r="H41" s="4" t="s">
        <v>3</v>
      </c>
      <c r="I41" s="4" t="s">
        <v>781</v>
      </c>
      <c r="J41" s="4" t="s">
        <v>16</v>
      </c>
      <c r="K41" s="4">
        <v>3.0</v>
      </c>
      <c r="L41" s="4" t="s">
        <v>3</v>
      </c>
      <c r="M41" s="4" t="s">
        <v>4</v>
      </c>
      <c r="N41" s="4">
        <v>23.0</v>
      </c>
      <c r="O41" s="4" t="s">
        <v>3</v>
      </c>
      <c r="P41" s="4" t="s">
        <v>1739</v>
      </c>
      <c r="Q41" s="4" t="s">
        <v>1740</v>
      </c>
    </row>
    <row r="42">
      <c r="A42" s="4" t="s">
        <v>335</v>
      </c>
      <c r="B42" s="4">
        <v>196392.0</v>
      </c>
      <c r="C42" s="14">
        <v>130.0</v>
      </c>
      <c r="D42" s="4" t="s">
        <v>282</v>
      </c>
      <c r="E42" s="4">
        <v>1.0</v>
      </c>
      <c r="F42" s="4" t="s">
        <v>5</v>
      </c>
      <c r="G42" s="4">
        <v>35.0</v>
      </c>
      <c r="H42" s="4" t="s">
        <v>3</v>
      </c>
      <c r="I42" s="4" t="s">
        <v>781</v>
      </c>
      <c r="J42" s="4" t="s">
        <v>120</v>
      </c>
      <c r="K42" s="4">
        <v>42.0</v>
      </c>
      <c r="L42" s="4" t="s">
        <v>3</v>
      </c>
      <c r="M42" s="4" t="s">
        <v>207</v>
      </c>
      <c r="N42" s="4">
        <v>1.0</v>
      </c>
      <c r="O42" s="4" t="s">
        <v>3</v>
      </c>
      <c r="P42" s="4" t="s">
        <v>1741</v>
      </c>
      <c r="Q42" s="4" t="s">
        <v>1742</v>
      </c>
    </row>
    <row r="43">
      <c r="A43" s="4" t="s">
        <v>200</v>
      </c>
      <c r="B43" s="4">
        <v>119687.0</v>
      </c>
      <c r="C43" s="14">
        <v>134.0</v>
      </c>
      <c r="D43" s="4" t="s">
        <v>153</v>
      </c>
      <c r="E43" s="4">
        <v>2.0</v>
      </c>
      <c r="F43" s="4" t="s">
        <v>4</v>
      </c>
      <c r="G43" s="4">
        <v>23.0</v>
      </c>
      <c r="H43" s="4" t="s">
        <v>3</v>
      </c>
      <c r="I43" s="4" t="s">
        <v>781</v>
      </c>
      <c r="J43" s="4" t="s">
        <v>13</v>
      </c>
      <c r="K43" s="4">
        <v>17.0</v>
      </c>
      <c r="L43" s="4" t="s">
        <v>3</v>
      </c>
      <c r="M43" s="4" t="s">
        <v>63</v>
      </c>
      <c r="N43" s="4">
        <v>29.0</v>
      </c>
      <c r="O43" s="4" t="s">
        <v>3</v>
      </c>
      <c r="P43" s="4" t="s">
        <v>1743</v>
      </c>
      <c r="Q43" s="4" t="s">
        <v>1744</v>
      </c>
    </row>
    <row r="44">
      <c r="A44" s="4" t="s">
        <v>201</v>
      </c>
      <c r="B44" s="4">
        <v>187156.0</v>
      </c>
      <c r="C44" s="14">
        <v>136.0</v>
      </c>
      <c r="D44" s="4" t="s">
        <v>153</v>
      </c>
      <c r="E44" s="4">
        <v>2.0</v>
      </c>
      <c r="F44" s="4" t="s">
        <v>64</v>
      </c>
      <c r="G44" s="4">
        <v>30.0</v>
      </c>
      <c r="H44" s="4" t="s">
        <v>202</v>
      </c>
      <c r="I44" s="4" t="s">
        <v>781</v>
      </c>
      <c r="J44" s="4" t="s">
        <v>20</v>
      </c>
      <c r="K44" s="4">
        <v>48.0</v>
      </c>
      <c r="L44" s="4" t="s">
        <v>202</v>
      </c>
      <c r="M44" s="4" t="s">
        <v>124</v>
      </c>
      <c r="N44" s="4">
        <v>46.0</v>
      </c>
      <c r="O44" s="4" t="s">
        <v>202</v>
      </c>
      <c r="P44" s="4" t="s">
        <v>1745</v>
      </c>
      <c r="Q44" s="4" t="s">
        <v>1746</v>
      </c>
    </row>
    <row r="45">
      <c r="A45" s="4" t="s">
        <v>203</v>
      </c>
      <c r="B45" s="4">
        <v>119009.0</v>
      </c>
      <c r="C45" s="14">
        <v>137.0</v>
      </c>
      <c r="D45" s="4" t="s">
        <v>153</v>
      </c>
      <c r="E45" s="4">
        <v>2.0</v>
      </c>
      <c r="F45" s="4" t="s">
        <v>105</v>
      </c>
      <c r="G45" s="4">
        <v>26.0</v>
      </c>
      <c r="H45" s="4" t="s">
        <v>3</v>
      </c>
      <c r="I45" s="4" t="s">
        <v>781</v>
      </c>
      <c r="J45" s="4" t="s">
        <v>204</v>
      </c>
      <c r="K45" s="4">
        <v>43.0</v>
      </c>
      <c r="L45" s="4" t="s">
        <v>3</v>
      </c>
      <c r="M45" s="4" t="s">
        <v>2</v>
      </c>
      <c r="N45" s="4">
        <v>25.0</v>
      </c>
      <c r="O45" s="4" t="s">
        <v>3</v>
      </c>
      <c r="P45" s="4" t="s">
        <v>1747</v>
      </c>
      <c r="Q45" s="4" t="s">
        <v>1748</v>
      </c>
    </row>
    <row r="46">
      <c r="A46" s="4" t="s">
        <v>205</v>
      </c>
      <c r="B46" s="4">
        <v>188911.0</v>
      </c>
      <c r="C46" s="14">
        <v>141.0</v>
      </c>
      <c r="D46" s="4" t="s">
        <v>153</v>
      </c>
      <c r="E46" s="4">
        <v>2.0</v>
      </c>
      <c r="F46" s="4" t="s">
        <v>13</v>
      </c>
      <c r="G46" s="4">
        <v>17.0</v>
      </c>
      <c r="H46" s="4" t="s">
        <v>3</v>
      </c>
      <c r="I46" s="4" t="s">
        <v>781</v>
      </c>
      <c r="J46" s="4" t="s">
        <v>42</v>
      </c>
      <c r="K46" s="4">
        <v>14.0</v>
      </c>
      <c r="L46" s="4" t="s">
        <v>3</v>
      </c>
      <c r="M46" s="4" t="s">
        <v>16</v>
      </c>
      <c r="N46" s="4">
        <v>3.0</v>
      </c>
      <c r="O46" s="4" t="s">
        <v>3</v>
      </c>
      <c r="P46" s="4" t="s">
        <v>1749</v>
      </c>
      <c r="Q46" s="4" t="s">
        <v>1750</v>
      </c>
    </row>
    <row r="47">
      <c r="A47" s="4" t="s">
        <v>542</v>
      </c>
      <c r="B47" s="4">
        <v>150837.0</v>
      </c>
      <c r="C47" s="14">
        <v>142.0</v>
      </c>
      <c r="D47" s="4" t="s">
        <v>459</v>
      </c>
      <c r="E47" s="4">
        <v>0.0</v>
      </c>
      <c r="F47" s="4" t="s">
        <v>28</v>
      </c>
      <c r="G47" s="4">
        <v>32.0</v>
      </c>
      <c r="H47" s="4" t="s">
        <v>3</v>
      </c>
      <c r="I47" s="4" t="s">
        <v>781</v>
      </c>
      <c r="J47" s="4" t="s">
        <v>13</v>
      </c>
      <c r="K47" s="4">
        <v>17.0</v>
      </c>
      <c r="L47" s="4" t="s">
        <v>3</v>
      </c>
      <c r="M47" s="4" t="s">
        <v>111</v>
      </c>
      <c r="N47" s="4">
        <v>28.0</v>
      </c>
      <c r="O47" s="4" t="s">
        <v>3</v>
      </c>
      <c r="P47" s="4" t="s">
        <v>1751</v>
      </c>
      <c r="Q47" s="4" t="s">
        <v>1752</v>
      </c>
    </row>
    <row r="48">
      <c r="A48" s="4" t="s">
        <v>543</v>
      </c>
      <c r="B48" s="4">
        <v>150316.0</v>
      </c>
      <c r="C48" s="14">
        <v>143.0</v>
      </c>
      <c r="D48" s="4" t="s">
        <v>459</v>
      </c>
      <c r="E48" s="4">
        <v>0.0</v>
      </c>
      <c r="F48" s="4" t="s">
        <v>401</v>
      </c>
      <c r="G48" s="4">
        <v>38.0</v>
      </c>
      <c r="H48" s="4" t="s">
        <v>3</v>
      </c>
      <c r="I48" s="4" t="s">
        <v>781</v>
      </c>
      <c r="J48" s="4" t="s">
        <v>5</v>
      </c>
      <c r="K48" s="4">
        <v>35.0</v>
      </c>
      <c r="L48" s="4" t="s">
        <v>3</v>
      </c>
      <c r="M48" s="4" t="s">
        <v>238</v>
      </c>
      <c r="N48" s="4">
        <v>37.0</v>
      </c>
      <c r="O48" s="4" t="s">
        <v>3</v>
      </c>
      <c r="P48" s="4" t="s">
        <v>1753</v>
      </c>
      <c r="Q48" s="4" t="s">
        <v>1754</v>
      </c>
    </row>
    <row r="49">
      <c r="A49" s="4" t="s">
        <v>546</v>
      </c>
      <c r="B49" s="4">
        <v>117129.0</v>
      </c>
      <c r="C49" s="14">
        <v>145.0</v>
      </c>
      <c r="D49" s="4" t="s">
        <v>459</v>
      </c>
      <c r="E49" s="4">
        <v>0.0</v>
      </c>
      <c r="F49" s="4" t="s">
        <v>191</v>
      </c>
      <c r="G49" s="4">
        <v>39.0</v>
      </c>
      <c r="H49" s="4" t="s">
        <v>3</v>
      </c>
      <c r="I49" s="4" t="s">
        <v>781</v>
      </c>
      <c r="J49" s="4" t="s">
        <v>465</v>
      </c>
      <c r="K49" s="4">
        <v>36.0</v>
      </c>
      <c r="L49" s="4" t="s">
        <v>3</v>
      </c>
      <c r="M49" s="4" t="s">
        <v>401</v>
      </c>
      <c r="N49" s="4">
        <v>38.0</v>
      </c>
      <c r="O49" s="4" t="s">
        <v>3</v>
      </c>
      <c r="P49" s="4" t="s">
        <v>1755</v>
      </c>
      <c r="Q49" s="4" t="s">
        <v>1756</v>
      </c>
    </row>
    <row r="50">
      <c r="A50" s="4" t="s">
        <v>206</v>
      </c>
      <c r="B50" s="4">
        <v>124399.0</v>
      </c>
      <c r="C50" s="14">
        <v>146.0</v>
      </c>
      <c r="D50" s="4" t="s">
        <v>153</v>
      </c>
      <c r="E50" s="4">
        <v>2.0</v>
      </c>
      <c r="F50" s="4" t="s">
        <v>105</v>
      </c>
      <c r="G50" s="4">
        <v>26.0</v>
      </c>
      <c r="H50" s="4" t="s">
        <v>3</v>
      </c>
      <c r="I50" s="4" t="s">
        <v>781</v>
      </c>
      <c r="J50" s="4" t="s">
        <v>207</v>
      </c>
      <c r="K50" s="4">
        <v>1.0</v>
      </c>
      <c r="L50" s="4" t="s">
        <v>3</v>
      </c>
      <c r="M50" s="4" t="s">
        <v>2</v>
      </c>
      <c r="N50" s="4">
        <v>25.0</v>
      </c>
      <c r="O50" s="4" t="s">
        <v>3</v>
      </c>
      <c r="P50" s="4" t="s">
        <v>1757</v>
      </c>
      <c r="Q50" s="4" t="s">
        <v>1758</v>
      </c>
    </row>
    <row r="51">
      <c r="A51" s="4" t="s">
        <v>343</v>
      </c>
      <c r="B51" s="4">
        <v>128023.0</v>
      </c>
      <c r="C51" s="14">
        <v>147.0</v>
      </c>
      <c r="D51" s="4" t="s">
        <v>282</v>
      </c>
      <c r="E51" s="4">
        <v>1.0</v>
      </c>
      <c r="F51" s="4" t="s">
        <v>2</v>
      </c>
      <c r="G51" s="4">
        <v>25.0</v>
      </c>
      <c r="H51" s="4" t="s">
        <v>3</v>
      </c>
      <c r="I51" s="4" t="s">
        <v>781</v>
      </c>
      <c r="J51" s="4" t="s">
        <v>42</v>
      </c>
      <c r="K51" s="4">
        <v>14.0</v>
      </c>
      <c r="L51" s="4" t="s">
        <v>3</v>
      </c>
      <c r="M51" s="4" t="s">
        <v>38</v>
      </c>
      <c r="N51" s="4">
        <v>6.0</v>
      </c>
      <c r="O51" s="4" t="s">
        <v>3</v>
      </c>
      <c r="P51" s="4" t="s">
        <v>1759</v>
      </c>
      <c r="Q51" s="4" t="s">
        <v>1760</v>
      </c>
    </row>
    <row r="52">
      <c r="A52" s="4" t="s">
        <v>208</v>
      </c>
      <c r="B52" s="4">
        <v>111281.0</v>
      </c>
      <c r="C52" s="14">
        <v>149.0</v>
      </c>
      <c r="D52" s="4" t="s">
        <v>153</v>
      </c>
      <c r="E52" s="4">
        <v>2.0</v>
      </c>
      <c r="F52" s="4" t="s">
        <v>38</v>
      </c>
      <c r="G52" s="4">
        <v>6.0</v>
      </c>
      <c r="H52" s="4" t="s">
        <v>3</v>
      </c>
      <c r="I52" s="4" t="s">
        <v>781</v>
      </c>
      <c r="J52" s="4" t="s">
        <v>2</v>
      </c>
      <c r="K52" s="4">
        <v>25.0</v>
      </c>
      <c r="L52" s="4" t="s">
        <v>3</v>
      </c>
      <c r="M52" s="4" t="s">
        <v>96</v>
      </c>
      <c r="N52" s="4">
        <v>47.0</v>
      </c>
      <c r="O52" s="4" t="s">
        <v>3</v>
      </c>
      <c r="P52" s="4" t="s">
        <v>1761</v>
      </c>
      <c r="Q52" s="4" t="s">
        <v>1762</v>
      </c>
    </row>
    <row r="53">
      <c r="A53" s="4" t="s">
        <v>41</v>
      </c>
      <c r="B53" s="4">
        <v>116467.0</v>
      </c>
      <c r="C53" s="14">
        <v>154.0</v>
      </c>
      <c r="D53" s="4" t="s">
        <v>1</v>
      </c>
      <c r="E53" s="4">
        <v>5.0</v>
      </c>
      <c r="F53" s="4" t="s">
        <v>42</v>
      </c>
      <c r="G53" s="4">
        <v>14.0</v>
      </c>
      <c r="H53" s="4" t="s">
        <v>3</v>
      </c>
      <c r="I53" s="4" t="s">
        <v>781</v>
      </c>
      <c r="J53" s="4" t="s">
        <v>5</v>
      </c>
      <c r="K53" s="4">
        <v>35.0</v>
      </c>
      <c r="L53" s="4" t="s">
        <v>3</v>
      </c>
      <c r="M53" s="4" t="s">
        <v>16</v>
      </c>
      <c r="N53" s="4">
        <v>3.0</v>
      </c>
      <c r="O53" s="4" t="s">
        <v>3</v>
      </c>
      <c r="P53" s="4" t="s">
        <v>1763</v>
      </c>
      <c r="Q53" s="4" t="s">
        <v>1764</v>
      </c>
    </row>
    <row r="54">
      <c r="A54" s="4" t="s">
        <v>211</v>
      </c>
      <c r="B54" s="4">
        <v>163486.0</v>
      </c>
      <c r="C54" s="14">
        <v>155.0</v>
      </c>
      <c r="D54" s="4" t="s">
        <v>153</v>
      </c>
      <c r="E54" s="4">
        <v>2.0</v>
      </c>
      <c r="F54" s="4" t="s">
        <v>212</v>
      </c>
      <c r="G54" s="4">
        <v>2.0</v>
      </c>
      <c r="H54" s="4" t="s">
        <v>3</v>
      </c>
      <c r="I54" s="4" t="s">
        <v>781</v>
      </c>
      <c r="J54" s="4" t="s">
        <v>38</v>
      </c>
      <c r="K54" s="4">
        <v>6.0</v>
      </c>
      <c r="L54" s="4" t="s">
        <v>3</v>
      </c>
      <c r="M54" s="4" t="s">
        <v>96</v>
      </c>
      <c r="N54" s="4">
        <v>47.0</v>
      </c>
      <c r="O54" s="4" t="s">
        <v>213</v>
      </c>
      <c r="P54" s="4" t="s">
        <v>1765</v>
      </c>
      <c r="Q54" s="4" t="s">
        <v>1766</v>
      </c>
    </row>
    <row r="55">
      <c r="A55" s="4" t="s">
        <v>554</v>
      </c>
      <c r="B55" s="4">
        <v>137811.0</v>
      </c>
      <c r="C55" s="14">
        <v>157.0</v>
      </c>
      <c r="D55" s="4" t="s">
        <v>459</v>
      </c>
      <c r="E55" s="4">
        <v>0.0</v>
      </c>
      <c r="F55" s="4" t="s">
        <v>13</v>
      </c>
      <c r="G55" s="4">
        <v>17.0</v>
      </c>
      <c r="H55" s="4" t="s">
        <v>3</v>
      </c>
      <c r="I55" s="4" t="s">
        <v>781</v>
      </c>
      <c r="J55" s="4" t="s">
        <v>5</v>
      </c>
      <c r="K55" s="4">
        <v>35.0</v>
      </c>
      <c r="L55" s="4" t="s">
        <v>3</v>
      </c>
      <c r="M55" s="4" t="s">
        <v>16</v>
      </c>
      <c r="N55" s="4">
        <v>3.0</v>
      </c>
      <c r="O55" s="4" t="s">
        <v>3</v>
      </c>
      <c r="P55" s="4" t="s">
        <v>1767</v>
      </c>
      <c r="Q55" s="4" t="s">
        <v>1768</v>
      </c>
    </row>
    <row r="56">
      <c r="A56" s="4" t="s">
        <v>562</v>
      </c>
      <c r="B56" s="4">
        <v>150663.0</v>
      </c>
      <c r="C56" s="14">
        <v>166.0</v>
      </c>
      <c r="D56" s="4" t="s">
        <v>459</v>
      </c>
      <c r="E56" s="4">
        <v>0.0</v>
      </c>
      <c r="F56" s="4" t="s">
        <v>465</v>
      </c>
      <c r="G56" s="4">
        <v>36.0</v>
      </c>
      <c r="H56" s="4" t="s">
        <v>3</v>
      </c>
      <c r="I56" s="4" t="s">
        <v>781</v>
      </c>
      <c r="J56" s="4" t="s">
        <v>401</v>
      </c>
      <c r="K56" s="4">
        <v>38.0</v>
      </c>
      <c r="L56" s="4" t="s">
        <v>3</v>
      </c>
      <c r="M56" s="4" t="s">
        <v>309</v>
      </c>
      <c r="N56" s="4">
        <v>40.0</v>
      </c>
      <c r="O56" s="4" t="s">
        <v>3</v>
      </c>
      <c r="P56" s="4" t="s">
        <v>1769</v>
      </c>
      <c r="Q56" s="4" t="s">
        <v>1770</v>
      </c>
    </row>
    <row r="57">
      <c r="A57" s="4" t="s">
        <v>563</v>
      </c>
      <c r="B57" s="4">
        <v>150386.0</v>
      </c>
      <c r="C57" s="14">
        <v>167.0</v>
      </c>
      <c r="D57" s="4" t="s">
        <v>459</v>
      </c>
      <c r="E57" s="4">
        <v>0.0</v>
      </c>
      <c r="F57" s="4" t="s">
        <v>72</v>
      </c>
      <c r="G57" s="4">
        <v>34.0</v>
      </c>
      <c r="H57" s="4" t="s">
        <v>3</v>
      </c>
      <c r="I57" s="4" t="s">
        <v>781</v>
      </c>
      <c r="J57" s="4" t="s">
        <v>18</v>
      </c>
      <c r="K57" s="4">
        <v>22.0</v>
      </c>
      <c r="L57" s="4" t="s">
        <v>3</v>
      </c>
      <c r="M57" s="4" t="s">
        <v>238</v>
      </c>
      <c r="N57" s="4">
        <v>37.0</v>
      </c>
      <c r="O57" s="4" t="s">
        <v>3</v>
      </c>
      <c r="P57" s="4" t="s">
        <v>1771</v>
      </c>
      <c r="Q57" s="4" t="s">
        <v>1772</v>
      </c>
    </row>
    <row r="58">
      <c r="A58" s="4" t="s">
        <v>218</v>
      </c>
      <c r="B58" s="4">
        <v>109820.0</v>
      </c>
      <c r="C58" s="14">
        <v>174.0</v>
      </c>
      <c r="D58" s="4" t="s">
        <v>153</v>
      </c>
      <c r="E58" s="4">
        <v>2.0</v>
      </c>
      <c r="F58" s="4" t="s">
        <v>39</v>
      </c>
      <c r="G58" s="4">
        <v>20.0</v>
      </c>
      <c r="H58" s="4" t="s">
        <v>3</v>
      </c>
      <c r="I58" s="4" t="s">
        <v>781</v>
      </c>
      <c r="J58" s="4" t="s">
        <v>207</v>
      </c>
      <c r="K58" s="4">
        <v>1.0</v>
      </c>
      <c r="L58" s="4" t="s">
        <v>3</v>
      </c>
      <c r="M58" s="4" t="s">
        <v>167</v>
      </c>
      <c r="N58" s="4">
        <v>33.0</v>
      </c>
      <c r="O58" s="4" t="s">
        <v>3</v>
      </c>
      <c r="P58" s="4" t="s">
        <v>1773</v>
      </c>
      <c r="Q58" s="4" t="s">
        <v>1774</v>
      </c>
    </row>
    <row r="59">
      <c r="A59" s="4" t="s">
        <v>356</v>
      </c>
      <c r="B59" s="4">
        <v>148202.0</v>
      </c>
      <c r="C59" s="14">
        <v>182.0</v>
      </c>
      <c r="D59" s="4" t="s">
        <v>282</v>
      </c>
      <c r="E59" s="4">
        <v>1.0</v>
      </c>
      <c r="F59" s="4" t="s">
        <v>2</v>
      </c>
      <c r="G59" s="4">
        <v>25.0</v>
      </c>
      <c r="H59" s="4" t="s">
        <v>3</v>
      </c>
      <c r="I59" s="4" t="s">
        <v>781</v>
      </c>
      <c r="J59" s="4" t="s">
        <v>120</v>
      </c>
      <c r="K59" s="4">
        <v>42.0</v>
      </c>
      <c r="L59" s="4" t="s">
        <v>3</v>
      </c>
      <c r="M59" s="4" t="s">
        <v>124</v>
      </c>
      <c r="N59" s="4">
        <v>46.0</v>
      </c>
      <c r="O59" s="4" t="s">
        <v>3</v>
      </c>
      <c r="P59" s="4" t="s">
        <v>1775</v>
      </c>
      <c r="Q59" s="4" t="s">
        <v>1776</v>
      </c>
    </row>
    <row r="60">
      <c r="A60" s="4" t="s">
        <v>578</v>
      </c>
      <c r="B60" s="4">
        <v>207052.0</v>
      </c>
      <c r="C60" s="14">
        <v>183.0</v>
      </c>
      <c r="D60" s="4" t="s">
        <v>459</v>
      </c>
      <c r="E60" s="4">
        <v>0.0</v>
      </c>
      <c r="F60" s="4" t="s">
        <v>465</v>
      </c>
      <c r="G60" s="4">
        <v>36.0</v>
      </c>
      <c r="H60" s="4" t="s">
        <v>3</v>
      </c>
      <c r="I60" s="4" t="s">
        <v>781</v>
      </c>
      <c r="J60" s="4" t="s">
        <v>10</v>
      </c>
      <c r="K60" s="4">
        <v>9.0</v>
      </c>
      <c r="L60" s="4" t="s">
        <v>579</v>
      </c>
      <c r="M60" s="4" t="s">
        <v>309</v>
      </c>
      <c r="N60" s="4">
        <v>40.0</v>
      </c>
      <c r="O60" s="4" t="s">
        <v>3</v>
      </c>
      <c r="P60" s="4" t="s">
        <v>1777</v>
      </c>
      <c r="Q60" s="4" t="s">
        <v>1778</v>
      </c>
    </row>
    <row r="61">
      <c r="A61" s="4" t="s">
        <v>585</v>
      </c>
      <c r="B61" s="4">
        <v>150353.0</v>
      </c>
      <c r="C61" s="14">
        <v>187.0</v>
      </c>
      <c r="D61" s="4" t="s">
        <v>459</v>
      </c>
      <c r="E61" s="4">
        <v>0.0</v>
      </c>
      <c r="F61" s="4" t="s">
        <v>39</v>
      </c>
      <c r="G61" s="4">
        <v>20.0</v>
      </c>
      <c r="H61" s="4" t="s">
        <v>3</v>
      </c>
      <c r="I61" s="4" t="s">
        <v>781</v>
      </c>
      <c r="J61" s="4" t="s">
        <v>207</v>
      </c>
      <c r="K61" s="4">
        <v>1.0</v>
      </c>
      <c r="L61" s="4" t="s">
        <v>3</v>
      </c>
      <c r="M61" s="4" t="s">
        <v>309</v>
      </c>
      <c r="N61" s="4">
        <v>40.0</v>
      </c>
      <c r="O61" s="4" t="s">
        <v>3</v>
      </c>
      <c r="P61" s="4" t="s">
        <v>1779</v>
      </c>
      <c r="Q61" s="4" t="s">
        <v>1780</v>
      </c>
    </row>
    <row r="62">
      <c r="A62" s="4" t="s">
        <v>593</v>
      </c>
      <c r="B62" s="4">
        <v>192804.0</v>
      </c>
      <c r="C62" s="14">
        <v>200.0</v>
      </c>
      <c r="D62" s="4" t="s">
        <v>459</v>
      </c>
      <c r="E62" s="4">
        <v>0.0</v>
      </c>
      <c r="F62" s="4" t="s">
        <v>238</v>
      </c>
      <c r="G62" s="4">
        <v>37.0</v>
      </c>
      <c r="H62" s="4" t="s">
        <v>3</v>
      </c>
      <c r="I62" s="4" t="s">
        <v>781</v>
      </c>
      <c r="J62" s="4" t="s">
        <v>191</v>
      </c>
      <c r="K62" s="4">
        <v>39.0</v>
      </c>
      <c r="L62" s="4" t="s">
        <v>3</v>
      </c>
      <c r="M62" s="4" t="s">
        <v>401</v>
      </c>
      <c r="N62" s="4">
        <v>38.0</v>
      </c>
      <c r="O62" s="4" t="s">
        <v>3</v>
      </c>
      <c r="P62" s="4" t="s">
        <v>1781</v>
      </c>
      <c r="Q62" s="4" t="s">
        <v>1782</v>
      </c>
    </row>
    <row r="63">
      <c r="A63" s="4" t="s">
        <v>594</v>
      </c>
      <c r="B63" s="4">
        <v>204968.0</v>
      </c>
      <c r="C63" s="14">
        <v>201.0</v>
      </c>
      <c r="D63" s="4" t="s">
        <v>459</v>
      </c>
      <c r="E63" s="4">
        <v>0.0</v>
      </c>
      <c r="F63" s="4" t="s">
        <v>34</v>
      </c>
      <c r="G63" s="4">
        <v>8.0</v>
      </c>
      <c r="H63" s="4" t="s">
        <v>3</v>
      </c>
      <c r="I63" s="4" t="s">
        <v>781</v>
      </c>
      <c r="J63" s="4" t="s">
        <v>114</v>
      </c>
      <c r="K63" s="4">
        <v>12.0</v>
      </c>
      <c r="L63" s="4" t="s">
        <v>3</v>
      </c>
      <c r="M63" s="4" t="s">
        <v>32</v>
      </c>
      <c r="N63" s="4">
        <v>11.0</v>
      </c>
      <c r="O63" s="4" t="s">
        <v>3</v>
      </c>
      <c r="P63" s="4" t="s">
        <v>1783</v>
      </c>
      <c r="Q63" s="4" t="s">
        <v>1784</v>
      </c>
    </row>
    <row r="64">
      <c r="A64" s="4" t="s">
        <v>368</v>
      </c>
      <c r="B64" s="4">
        <v>136527.0</v>
      </c>
      <c r="C64" s="14">
        <v>206.0</v>
      </c>
      <c r="D64" s="4" t="s">
        <v>282</v>
      </c>
      <c r="E64" s="4">
        <v>1.0</v>
      </c>
      <c r="F64" s="4" t="s">
        <v>16</v>
      </c>
      <c r="G64" s="4">
        <v>3.0</v>
      </c>
      <c r="H64" s="4" t="s">
        <v>3</v>
      </c>
      <c r="I64" s="4" t="s">
        <v>781</v>
      </c>
      <c r="J64" s="4" t="s">
        <v>38</v>
      </c>
      <c r="K64" s="4">
        <v>6.0</v>
      </c>
      <c r="L64" s="4" t="s">
        <v>3</v>
      </c>
      <c r="M64" s="4" t="s">
        <v>39</v>
      </c>
      <c r="N64" s="4">
        <v>20.0</v>
      </c>
      <c r="O64" s="4" t="s">
        <v>3</v>
      </c>
      <c r="P64" s="4" t="s">
        <v>1785</v>
      </c>
      <c r="Q64" s="4" t="s">
        <v>1786</v>
      </c>
    </row>
    <row r="65">
      <c r="A65" s="4" t="s">
        <v>611</v>
      </c>
      <c r="B65" s="4">
        <v>304949.0</v>
      </c>
      <c r="C65" s="14">
        <v>222.0</v>
      </c>
      <c r="D65" s="4" t="s">
        <v>459</v>
      </c>
      <c r="E65" s="4">
        <v>0.0</v>
      </c>
      <c r="F65" s="4" t="s">
        <v>238</v>
      </c>
      <c r="G65" s="4">
        <v>37.0</v>
      </c>
      <c r="H65" s="4" t="s">
        <v>3</v>
      </c>
      <c r="I65" s="4" t="s">
        <v>781</v>
      </c>
      <c r="J65" s="4" t="s">
        <v>465</v>
      </c>
      <c r="K65" s="4">
        <v>36.0</v>
      </c>
      <c r="L65" s="4" t="s">
        <v>3</v>
      </c>
      <c r="M65" s="4" t="s">
        <v>309</v>
      </c>
      <c r="N65" s="4">
        <v>40.0</v>
      </c>
      <c r="O65" s="4" t="s">
        <v>3</v>
      </c>
      <c r="P65" s="4" t="s">
        <v>1787</v>
      </c>
      <c r="Q65" s="4" t="s">
        <v>1788</v>
      </c>
    </row>
    <row r="66">
      <c r="A66" s="4" t="s">
        <v>381</v>
      </c>
      <c r="B66" s="4">
        <v>109386.0</v>
      </c>
      <c r="C66" s="14">
        <v>229.0</v>
      </c>
      <c r="D66" s="4" t="s">
        <v>282</v>
      </c>
      <c r="E66" s="4">
        <v>1.0</v>
      </c>
      <c r="F66" s="4" t="s">
        <v>16</v>
      </c>
      <c r="G66" s="4">
        <v>3.0</v>
      </c>
      <c r="H66" s="4" t="s">
        <v>3</v>
      </c>
      <c r="I66" s="4" t="s">
        <v>781</v>
      </c>
      <c r="J66" s="4" t="s">
        <v>212</v>
      </c>
      <c r="K66" s="4">
        <v>2.0</v>
      </c>
      <c r="L66" s="4" t="s">
        <v>3</v>
      </c>
      <c r="M66" s="4" t="s">
        <v>96</v>
      </c>
      <c r="N66" s="4">
        <v>47.0</v>
      </c>
      <c r="O66" s="4" t="s">
        <v>3</v>
      </c>
      <c r="P66" s="4" t="s">
        <v>1789</v>
      </c>
      <c r="Q66" s="4" t="s">
        <v>1790</v>
      </c>
    </row>
    <row r="67">
      <c r="A67" s="4" t="s">
        <v>48</v>
      </c>
      <c r="B67" s="4">
        <v>116685.0</v>
      </c>
      <c r="C67" s="14">
        <v>233.0</v>
      </c>
      <c r="D67" s="4" t="s">
        <v>1</v>
      </c>
      <c r="E67" s="4">
        <v>5.0</v>
      </c>
      <c r="F67" s="4" t="s">
        <v>13</v>
      </c>
      <c r="G67" s="4">
        <v>17.0</v>
      </c>
      <c r="H67" s="4" t="s">
        <v>3</v>
      </c>
      <c r="I67" s="4" t="s">
        <v>781</v>
      </c>
      <c r="J67" s="4" t="s">
        <v>4</v>
      </c>
      <c r="K67" s="4">
        <v>23.0</v>
      </c>
      <c r="L67" s="4" t="s">
        <v>3</v>
      </c>
      <c r="M67" s="4" t="s">
        <v>12</v>
      </c>
      <c r="N67" s="4">
        <v>41.0</v>
      </c>
      <c r="O67" s="4" t="s">
        <v>3</v>
      </c>
      <c r="P67" s="4" t="s">
        <v>1791</v>
      </c>
      <c r="Q67" s="4" t="s">
        <v>1792</v>
      </c>
    </row>
    <row r="68">
      <c r="A68" s="4" t="s">
        <v>103</v>
      </c>
      <c r="B68" s="4">
        <v>306645.0</v>
      </c>
      <c r="C68" s="14">
        <v>236.0</v>
      </c>
      <c r="D68" s="4" t="s">
        <v>60</v>
      </c>
      <c r="E68" s="4">
        <v>4.0</v>
      </c>
      <c r="F68" s="4" t="s">
        <v>15</v>
      </c>
      <c r="G68" s="4">
        <v>0.0</v>
      </c>
      <c r="H68" s="4" t="s">
        <v>3</v>
      </c>
      <c r="I68" s="4" t="s">
        <v>781</v>
      </c>
      <c r="J68" s="4" t="s">
        <v>16</v>
      </c>
      <c r="K68" s="4">
        <v>3.0</v>
      </c>
      <c r="L68" s="4" t="s">
        <v>3</v>
      </c>
      <c r="M68" s="4" t="s">
        <v>5</v>
      </c>
      <c r="N68" s="4">
        <v>35.0</v>
      </c>
      <c r="O68" s="4" t="s">
        <v>3</v>
      </c>
      <c r="P68" s="4" t="s">
        <v>1793</v>
      </c>
      <c r="Q68" s="4" t="s">
        <v>1794</v>
      </c>
    </row>
    <row r="69">
      <c r="A69" s="4" t="s">
        <v>384</v>
      </c>
      <c r="B69" s="4">
        <v>136455.0</v>
      </c>
      <c r="C69" s="14">
        <v>238.0</v>
      </c>
      <c r="D69" s="4" t="s">
        <v>282</v>
      </c>
      <c r="E69" s="4">
        <v>1.0</v>
      </c>
      <c r="F69" s="4" t="s">
        <v>105</v>
      </c>
      <c r="G69" s="4">
        <v>26.0</v>
      </c>
      <c r="H69" s="4" t="s">
        <v>3</v>
      </c>
      <c r="I69" s="4" t="s">
        <v>781</v>
      </c>
      <c r="J69" s="4" t="s">
        <v>2</v>
      </c>
      <c r="K69" s="4">
        <v>25.0</v>
      </c>
      <c r="L69" s="4" t="s">
        <v>3</v>
      </c>
      <c r="M69" s="4" t="s">
        <v>167</v>
      </c>
      <c r="N69" s="4">
        <v>33.0</v>
      </c>
      <c r="O69" s="4" t="s">
        <v>3</v>
      </c>
      <c r="P69" s="4" t="s">
        <v>1795</v>
      </c>
      <c r="Q69" s="4" t="s">
        <v>1796</v>
      </c>
    </row>
    <row r="70">
      <c r="A70" s="4" t="s">
        <v>625</v>
      </c>
      <c r="B70" s="4">
        <v>171928.0</v>
      </c>
      <c r="C70" s="14">
        <v>241.0</v>
      </c>
      <c r="D70" s="4" t="s">
        <v>459</v>
      </c>
      <c r="E70" s="4">
        <v>0.0</v>
      </c>
      <c r="F70" s="4" t="s">
        <v>238</v>
      </c>
      <c r="G70" s="4">
        <v>37.0</v>
      </c>
      <c r="H70" s="4" t="s">
        <v>3</v>
      </c>
      <c r="I70" s="4" t="s">
        <v>781</v>
      </c>
      <c r="J70" s="4" t="s">
        <v>76</v>
      </c>
      <c r="K70" s="4">
        <v>24.0</v>
      </c>
      <c r="L70" s="4" t="s">
        <v>3</v>
      </c>
      <c r="M70" s="4" t="s">
        <v>191</v>
      </c>
      <c r="N70" s="4">
        <v>39.0</v>
      </c>
      <c r="O70" s="4" t="s">
        <v>3</v>
      </c>
      <c r="P70" s="4" t="s">
        <v>1797</v>
      </c>
      <c r="Q70" s="4" t="s">
        <v>1798</v>
      </c>
    </row>
    <row r="71">
      <c r="A71" s="4" t="s">
        <v>104</v>
      </c>
      <c r="B71" s="4">
        <v>323614.0</v>
      </c>
      <c r="C71" s="14">
        <v>243.0</v>
      </c>
      <c r="D71" s="4" t="s">
        <v>60</v>
      </c>
      <c r="E71" s="4">
        <v>4.0</v>
      </c>
      <c r="F71" s="4" t="s">
        <v>2</v>
      </c>
      <c r="G71" s="4">
        <v>25.0</v>
      </c>
      <c r="H71" s="4" t="s">
        <v>3</v>
      </c>
      <c r="I71" s="4" t="s">
        <v>781</v>
      </c>
      <c r="J71" s="4" t="s">
        <v>39</v>
      </c>
      <c r="K71" s="4">
        <v>20.0</v>
      </c>
      <c r="L71" s="4" t="s">
        <v>3</v>
      </c>
      <c r="M71" s="4" t="s">
        <v>105</v>
      </c>
      <c r="N71" s="4">
        <v>26.0</v>
      </c>
      <c r="O71" s="4" t="s">
        <v>3</v>
      </c>
      <c r="P71" s="4" t="s">
        <v>1799</v>
      </c>
      <c r="Q71" s="4" t="s">
        <v>1800</v>
      </c>
    </row>
    <row r="72">
      <c r="A72" s="4" t="s">
        <v>626</v>
      </c>
      <c r="B72" s="4">
        <v>173955.0</v>
      </c>
      <c r="C72" s="14">
        <v>245.0</v>
      </c>
      <c r="D72" s="4" t="s">
        <v>459</v>
      </c>
      <c r="E72" s="4">
        <v>0.0</v>
      </c>
      <c r="F72" s="4" t="s">
        <v>401</v>
      </c>
      <c r="G72" s="4">
        <v>38.0</v>
      </c>
      <c r="H72" s="4" t="s">
        <v>455</v>
      </c>
      <c r="I72" s="4" t="s">
        <v>781</v>
      </c>
      <c r="J72" s="4" t="s">
        <v>238</v>
      </c>
      <c r="K72" s="4">
        <v>37.0</v>
      </c>
      <c r="L72" s="4" t="s">
        <v>455</v>
      </c>
      <c r="M72" s="4" t="s">
        <v>309</v>
      </c>
      <c r="N72" s="4">
        <v>40.0</v>
      </c>
      <c r="O72" s="4" t="s">
        <v>455</v>
      </c>
      <c r="P72" s="4" t="s">
        <v>1801</v>
      </c>
      <c r="Q72" s="4" t="s">
        <v>1802</v>
      </c>
    </row>
    <row r="73">
      <c r="A73" s="4" t="s">
        <v>106</v>
      </c>
      <c r="B73" s="4">
        <v>110137.0</v>
      </c>
      <c r="C73" s="14">
        <v>251.0</v>
      </c>
      <c r="D73" s="4" t="s">
        <v>60</v>
      </c>
      <c r="E73" s="4">
        <v>4.0</v>
      </c>
      <c r="F73" s="4" t="s">
        <v>15</v>
      </c>
      <c r="G73" s="4">
        <v>0.0</v>
      </c>
      <c r="H73" s="4" t="s">
        <v>3</v>
      </c>
      <c r="I73" s="4" t="s">
        <v>781</v>
      </c>
      <c r="J73" s="4" t="s">
        <v>16</v>
      </c>
      <c r="K73" s="4">
        <v>3.0</v>
      </c>
      <c r="L73" s="4" t="s">
        <v>3</v>
      </c>
      <c r="M73" s="4" t="s">
        <v>12</v>
      </c>
      <c r="N73" s="4">
        <v>41.0</v>
      </c>
      <c r="O73" s="4" t="s">
        <v>3</v>
      </c>
      <c r="P73" s="4" t="s">
        <v>1803</v>
      </c>
      <c r="Q73" s="4" t="s">
        <v>1804</v>
      </c>
    </row>
    <row r="74">
      <c r="A74" s="4" t="s">
        <v>232</v>
      </c>
      <c r="B74" s="4">
        <v>110452.0</v>
      </c>
      <c r="C74" s="14">
        <v>253.0</v>
      </c>
      <c r="D74" s="4" t="s">
        <v>153</v>
      </c>
      <c r="E74" s="4">
        <v>2.0</v>
      </c>
      <c r="F74" s="4" t="s">
        <v>15</v>
      </c>
      <c r="G74" s="4">
        <v>0.0</v>
      </c>
      <c r="H74" s="4" t="s">
        <v>3</v>
      </c>
      <c r="I74" s="4" t="s">
        <v>781</v>
      </c>
      <c r="J74" s="4" t="s">
        <v>16</v>
      </c>
      <c r="K74" s="4">
        <v>3.0</v>
      </c>
      <c r="L74" s="4" t="s">
        <v>3</v>
      </c>
      <c r="M74" s="4" t="s">
        <v>5</v>
      </c>
      <c r="N74" s="4">
        <v>35.0</v>
      </c>
      <c r="O74" s="4" t="s">
        <v>3</v>
      </c>
      <c r="P74" s="4" t="s">
        <v>1805</v>
      </c>
      <c r="Q74" s="4" t="s">
        <v>1806</v>
      </c>
    </row>
    <row r="75">
      <c r="A75" s="4" t="s">
        <v>641</v>
      </c>
      <c r="B75" s="4">
        <v>203347.0</v>
      </c>
      <c r="C75" s="14">
        <v>257.0</v>
      </c>
      <c r="D75" s="4" t="s">
        <v>459</v>
      </c>
      <c r="E75" s="4">
        <v>0.0</v>
      </c>
      <c r="F75" s="4" t="s">
        <v>34</v>
      </c>
      <c r="G75" s="4">
        <v>8.0</v>
      </c>
      <c r="H75" s="4" t="s">
        <v>3</v>
      </c>
      <c r="I75" s="4" t="s">
        <v>781</v>
      </c>
      <c r="J75" s="4" t="s">
        <v>109</v>
      </c>
      <c r="K75" s="4">
        <v>49.0</v>
      </c>
      <c r="L75" s="4" t="s">
        <v>3</v>
      </c>
      <c r="M75" s="4" t="s">
        <v>20</v>
      </c>
      <c r="N75" s="4">
        <v>48.0</v>
      </c>
      <c r="O75" s="4" t="s">
        <v>3</v>
      </c>
      <c r="P75" s="4" t="s">
        <v>1807</v>
      </c>
      <c r="Q75" s="4" t="s">
        <v>1808</v>
      </c>
    </row>
    <row r="76">
      <c r="A76" s="4" t="s">
        <v>391</v>
      </c>
      <c r="B76" s="4">
        <v>138182.0</v>
      </c>
      <c r="C76" s="14">
        <v>258.0</v>
      </c>
      <c r="D76" s="4" t="s">
        <v>282</v>
      </c>
      <c r="E76" s="4">
        <v>1.0</v>
      </c>
      <c r="F76" s="4" t="s">
        <v>38</v>
      </c>
      <c r="G76" s="4">
        <v>6.0</v>
      </c>
      <c r="H76" s="4" t="s">
        <v>3</v>
      </c>
      <c r="I76" s="4" t="s">
        <v>781</v>
      </c>
      <c r="J76" s="4" t="s">
        <v>167</v>
      </c>
      <c r="K76" s="4">
        <v>33.0</v>
      </c>
      <c r="L76" s="4" t="s">
        <v>3</v>
      </c>
      <c r="M76" s="4" t="s">
        <v>40</v>
      </c>
      <c r="N76" s="4">
        <v>44.0</v>
      </c>
      <c r="O76" s="4" t="s">
        <v>3</v>
      </c>
      <c r="P76" s="4" t="s">
        <v>1809</v>
      </c>
      <c r="Q76" s="4" t="s">
        <v>1810</v>
      </c>
    </row>
    <row r="77">
      <c r="A77" s="4" t="s">
        <v>107</v>
      </c>
      <c r="B77" s="4">
        <v>152840.0</v>
      </c>
      <c r="C77" s="14">
        <v>261.0</v>
      </c>
      <c r="D77" s="4" t="s">
        <v>60</v>
      </c>
      <c r="E77" s="4">
        <v>4.0</v>
      </c>
      <c r="F77" s="4" t="s">
        <v>25</v>
      </c>
      <c r="G77" s="4">
        <v>18.0</v>
      </c>
      <c r="H77" s="4" t="s">
        <v>3</v>
      </c>
      <c r="I77" s="4" t="s">
        <v>781</v>
      </c>
      <c r="J77" s="4" t="s">
        <v>30</v>
      </c>
      <c r="K77" s="4">
        <v>13.0</v>
      </c>
      <c r="L77" s="4" t="s">
        <v>3</v>
      </c>
      <c r="M77" s="4" t="s">
        <v>32</v>
      </c>
      <c r="N77" s="4">
        <v>11.0</v>
      </c>
      <c r="O77" s="4" t="s">
        <v>3</v>
      </c>
      <c r="P77" s="4" t="s">
        <v>1811</v>
      </c>
      <c r="Q77" s="4" t="s">
        <v>1812</v>
      </c>
    </row>
    <row r="78">
      <c r="A78" s="4" t="s">
        <v>233</v>
      </c>
      <c r="B78" s="4">
        <v>138394.0</v>
      </c>
      <c r="C78" s="14">
        <v>262.0</v>
      </c>
      <c r="D78" s="4" t="s">
        <v>153</v>
      </c>
      <c r="E78" s="4">
        <v>2.0</v>
      </c>
      <c r="F78" s="4" t="s">
        <v>2</v>
      </c>
      <c r="G78" s="4">
        <v>25.0</v>
      </c>
      <c r="H78" s="4" t="s">
        <v>3</v>
      </c>
      <c r="I78" s="4" t="s">
        <v>781</v>
      </c>
      <c r="J78" s="4" t="s">
        <v>204</v>
      </c>
      <c r="K78" s="4">
        <v>43.0</v>
      </c>
      <c r="L78" s="4" t="s">
        <v>3</v>
      </c>
      <c r="M78" s="4" t="s">
        <v>167</v>
      </c>
      <c r="N78" s="4">
        <v>33.0</v>
      </c>
      <c r="O78" s="4" t="s">
        <v>3</v>
      </c>
      <c r="P78" s="4" t="s">
        <v>1813</v>
      </c>
      <c r="Q78" s="4" t="s">
        <v>1814</v>
      </c>
    </row>
    <row r="79">
      <c r="A79" s="4" t="s">
        <v>392</v>
      </c>
      <c r="B79" s="4">
        <v>186690.0</v>
      </c>
      <c r="C79" s="14">
        <v>263.0</v>
      </c>
      <c r="D79" s="4" t="s">
        <v>282</v>
      </c>
      <c r="E79" s="4">
        <v>1.0</v>
      </c>
      <c r="F79" s="4" t="s">
        <v>207</v>
      </c>
      <c r="G79" s="4">
        <v>1.0</v>
      </c>
      <c r="H79" s="4" t="s">
        <v>3</v>
      </c>
      <c r="I79" s="4" t="s">
        <v>781</v>
      </c>
      <c r="J79" s="4" t="s">
        <v>39</v>
      </c>
      <c r="K79" s="4">
        <v>20.0</v>
      </c>
      <c r="L79" s="4" t="s">
        <v>3</v>
      </c>
      <c r="M79" s="4" t="s">
        <v>96</v>
      </c>
      <c r="N79" s="4">
        <v>47.0</v>
      </c>
      <c r="O79" s="4" t="s">
        <v>3</v>
      </c>
      <c r="P79" s="4" t="s">
        <v>1815</v>
      </c>
      <c r="Q79" s="4" t="s">
        <v>1816</v>
      </c>
    </row>
    <row r="80">
      <c r="A80" s="4" t="s">
        <v>657</v>
      </c>
      <c r="B80" s="4">
        <v>150671.0</v>
      </c>
      <c r="C80" s="14">
        <v>269.0</v>
      </c>
      <c r="D80" s="4" t="s">
        <v>459</v>
      </c>
      <c r="E80" s="4">
        <v>0.0</v>
      </c>
      <c r="F80" s="4" t="s">
        <v>401</v>
      </c>
      <c r="G80" s="4">
        <v>38.0</v>
      </c>
      <c r="H80" s="4" t="s">
        <v>3</v>
      </c>
      <c r="I80" s="4" t="s">
        <v>781</v>
      </c>
      <c r="J80" s="4" t="s">
        <v>465</v>
      </c>
      <c r="K80" s="4">
        <v>36.0</v>
      </c>
      <c r="L80" s="4" t="s">
        <v>3</v>
      </c>
      <c r="M80" s="4" t="s">
        <v>5</v>
      </c>
      <c r="N80" s="4">
        <v>35.0</v>
      </c>
      <c r="O80" s="4" t="s">
        <v>3</v>
      </c>
      <c r="P80" s="4" t="s">
        <v>1817</v>
      </c>
      <c r="Q80" s="4" t="s">
        <v>1818</v>
      </c>
    </row>
    <row r="81">
      <c r="A81" s="4" t="s">
        <v>393</v>
      </c>
      <c r="B81" s="4">
        <v>148203.0</v>
      </c>
      <c r="C81" s="14">
        <v>272.0</v>
      </c>
      <c r="D81" s="4" t="s">
        <v>282</v>
      </c>
      <c r="E81" s="4">
        <v>1.0</v>
      </c>
      <c r="F81" s="4" t="s">
        <v>16</v>
      </c>
      <c r="G81" s="4">
        <v>3.0</v>
      </c>
      <c r="H81" s="4" t="s">
        <v>3</v>
      </c>
      <c r="I81" s="4" t="s">
        <v>781</v>
      </c>
      <c r="J81" s="4" t="s">
        <v>124</v>
      </c>
      <c r="K81" s="4">
        <v>46.0</v>
      </c>
      <c r="L81" s="4" t="s">
        <v>3</v>
      </c>
      <c r="M81" s="4" t="s">
        <v>42</v>
      </c>
      <c r="N81" s="4">
        <v>14.0</v>
      </c>
      <c r="O81" s="4" t="s">
        <v>3</v>
      </c>
      <c r="P81" s="4" t="s">
        <v>1819</v>
      </c>
      <c r="Q81" s="4" t="s">
        <v>1820</v>
      </c>
    </row>
    <row r="82">
      <c r="A82" s="4" t="s">
        <v>664</v>
      </c>
      <c r="B82" s="4">
        <v>306014.0</v>
      </c>
      <c r="C82" s="14">
        <v>276.0</v>
      </c>
      <c r="D82" s="4" t="s">
        <v>459</v>
      </c>
      <c r="E82" s="4">
        <v>0.0</v>
      </c>
      <c r="F82" s="4" t="s">
        <v>7</v>
      </c>
      <c r="G82" s="4">
        <v>15.0</v>
      </c>
      <c r="H82" s="4" t="s">
        <v>3</v>
      </c>
      <c r="I82" s="4" t="s">
        <v>781</v>
      </c>
      <c r="J82" s="4" t="s">
        <v>16</v>
      </c>
      <c r="K82" s="4">
        <v>3.0</v>
      </c>
      <c r="L82" s="4" t="s">
        <v>3</v>
      </c>
      <c r="M82" s="4" t="s">
        <v>9</v>
      </c>
      <c r="N82" s="4">
        <v>5.0</v>
      </c>
      <c r="O82" s="4" t="s">
        <v>3</v>
      </c>
      <c r="P82" s="4" t="s">
        <v>1821</v>
      </c>
      <c r="Q82" s="4" t="s">
        <v>1822</v>
      </c>
    </row>
    <row r="83">
      <c r="A83" s="4" t="s">
        <v>394</v>
      </c>
      <c r="B83" s="4">
        <v>184382.0</v>
      </c>
      <c r="C83" s="14">
        <v>278.0</v>
      </c>
      <c r="D83" s="4" t="s">
        <v>282</v>
      </c>
      <c r="E83" s="4">
        <v>1.0</v>
      </c>
      <c r="F83" s="4" t="s">
        <v>207</v>
      </c>
      <c r="G83" s="4">
        <v>1.0</v>
      </c>
      <c r="H83" s="4" t="s">
        <v>3</v>
      </c>
      <c r="I83" s="4" t="s">
        <v>781</v>
      </c>
      <c r="J83" s="4" t="s">
        <v>2</v>
      </c>
      <c r="K83" s="4">
        <v>25.0</v>
      </c>
      <c r="L83" s="4" t="s">
        <v>3</v>
      </c>
      <c r="M83" s="4" t="s">
        <v>105</v>
      </c>
      <c r="N83" s="4">
        <v>26.0</v>
      </c>
      <c r="O83" s="4" t="s">
        <v>3</v>
      </c>
      <c r="P83" s="4" t="s">
        <v>1823</v>
      </c>
      <c r="Q83" s="4" t="s">
        <v>1824</v>
      </c>
    </row>
    <row r="84">
      <c r="A84" s="4" t="s">
        <v>665</v>
      </c>
      <c r="B84" s="4">
        <v>150645.0</v>
      </c>
      <c r="C84" s="14">
        <v>280.0</v>
      </c>
      <c r="D84" s="4" t="s">
        <v>459</v>
      </c>
      <c r="E84" s="4">
        <v>0.0</v>
      </c>
      <c r="F84" s="4" t="s">
        <v>21</v>
      </c>
      <c r="G84" s="4">
        <v>10.0</v>
      </c>
      <c r="H84" s="4" t="s">
        <v>3</v>
      </c>
      <c r="I84" s="4" t="s">
        <v>781</v>
      </c>
      <c r="J84" s="4" t="s">
        <v>465</v>
      </c>
      <c r="K84" s="4">
        <v>36.0</v>
      </c>
      <c r="L84" s="4" t="s">
        <v>3</v>
      </c>
      <c r="M84" s="4" t="s">
        <v>26</v>
      </c>
      <c r="N84" s="4">
        <v>7.0</v>
      </c>
      <c r="O84" s="4" t="s">
        <v>3</v>
      </c>
      <c r="P84" s="4" t="s">
        <v>1825</v>
      </c>
      <c r="Q84" s="4" t="s">
        <v>1826</v>
      </c>
    </row>
    <row r="85">
      <c r="A85" s="4" t="s">
        <v>666</v>
      </c>
      <c r="B85" s="4">
        <v>177631.0</v>
      </c>
      <c r="C85" s="14">
        <v>281.0</v>
      </c>
      <c r="D85" s="4" t="s">
        <v>459</v>
      </c>
      <c r="E85" s="4">
        <v>0.0</v>
      </c>
      <c r="F85" s="4" t="s">
        <v>465</v>
      </c>
      <c r="G85" s="4">
        <v>36.0</v>
      </c>
      <c r="H85" s="4" t="s">
        <v>3</v>
      </c>
      <c r="I85" s="4" t="s">
        <v>781</v>
      </c>
      <c r="J85" s="4" t="s">
        <v>105</v>
      </c>
      <c r="K85" s="4">
        <v>26.0</v>
      </c>
      <c r="L85" s="4" t="s">
        <v>3</v>
      </c>
      <c r="M85" s="4" t="s">
        <v>5</v>
      </c>
      <c r="N85" s="4">
        <v>35.0</v>
      </c>
      <c r="O85" s="4" t="s">
        <v>3</v>
      </c>
      <c r="P85" s="4" t="s">
        <v>1827</v>
      </c>
      <c r="Q85" s="4" t="s">
        <v>1828</v>
      </c>
    </row>
    <row r="86">
      <c r="A86" s="4" t="s">
        <v>395</v>
      </c>
      <c r="B86" s="4">
        <v>314091.0</v>
      </c>
      <c r="C86" s="14">
        <v>282.0</v>
      </c>
      <c r="D86" s="4" t="s">
        <v>282</v>
      </c>
      <c r="E86" s="4">
        <v>1.0</v>
      </c>
      <c r="F86" s="4" t="s">
        <v>18</v>
      </c>
      <c r="G86" s="4">
        <v>22.0</v>
      </c>
      <c r="H86" s="4" t="s">
        <v>3</v>
      </c>
      <c r="I86" s="4" t="s">
        <v>781</v>
      </c>
      <c r="J86" s="4" t="s">
        <v>39</v>
      </c>
      <c r="K86" s="4">
        <v>20.0</v>
      </c>
      <c r="L86" s="4" t="s">
        <v>3</v>
      </c>
      <c r="M86" s="4" t="s">
        <v>20</v>
      </c>
      <c r="N86" s="4">
        <v>48.0</v>
      </c>
      <c r="O86" s="4" t="s">
        <v>3</v>
      </c>
      <c r="P86" s="4" t="s">
        <v>1829</v>
      </c>
      <c r="Q86" s="4" t="s">
        <v>1830</v>
      </c>
    </row>
    <row r="87">
      <c r="A87" s="4" t="s">
        <v>237</v>
      </c>
      <c r="B87" s="4">
        <v>148321.0</v>
      </c>
      <c r="C87" s="14">
        <v>286.0</v>
      </c>
      <c r="D87" s="4" t="s">
        <v>153</v>
      </c>
      <c r="E87" s="4">
        <v>2.0</v>
      </c>
      <c r="F87" s="4" t="s">
        <v>7</v>
      </c>
      <c r="G87" s="4">
        <v>15.0</v>
      </c>
      <c r="H87" s="4" t="s">
        <v>3</v>
      </c>
      <c r="I87" s="4" t="s">
        <v>781</v>
      </c>
      <c r="J87" s="4" t="s">
        <v>9</v>
      </c>
      <c r="K87" s="4">
        <v>5.0</v>
      </c>
      <c r="L87" s="4" t="s">
        <v>3</v>
      </c>
      <c r="M87" s="4" t="s">
        <v>238</v>
      </c>
      <c r="N87" s="4">
        <v>37.0</v>
      </c>
      <c r="O87" s="4" t="s">
        <v>3</v>
      </c>
      <c r="P87" s="4" t="s">
        <v>1831</v>
      </c>
      <c r="Q87" s="4" t="s">
        <v>1832</v>
      </c>
    </row>
    <row r="88">
      <c r="A88" s="4" t="s">
        <v>239</v>
      </c>
      <c r="B88" s="4">
        <v>171913.0</v>
      </c>
      <c r="C88" s="14">
        <v>287.0</v>
      </c>
      <c r="D88" s="4" t="s">
        <v>153</v>
      </c>
      <c r="E88" s="4">
        <v>2.0</v>
      </c>
      <c r="F88" s="4" t="s">
        <v>105</v>
      </c>
      <c r="G88" s="4">
        <v>26.0</v>
      </c>
      <c r="H88" s="4" t="s">
        <v>3</v>
      </c>
      <c r="I88" s="4" t="s">
        <v>781</v>
      </c>
      <c r="J88" s="4" t="s">
        <v>207</v>
      </c>
      <c r="K88" s="4">
        <v>1.0</v>
      </c>
      <c r="L88" s="4" t="s">
        <v>3</v>
      </c>
      <c r="M88" s="4" t="s">
        <v>39</v>
      </c>
      <c r="N88" s="4">
        <v>20.0</v>
      </c>
      <c r="O88" s="4" t="s">
        <v>3</v>
      </c>
      <c r="P88" s="4" t="s">
        <v>1833</v>
      </c>
      <c r="Q88" s="4" t="s">
        <v>1834</v>
      </c>
    </row>
    <row r="89">
      <c r="A89" s="4" t="s">
        <v>400</v>
      </c>
      <c r="B89" s="4">
        <v>119273.0</v>
      </c>
      <c r="C89" s="14">
        <v>292.0</v>
      </c>
      <c r="D89" s="4" t="s">
        <v>282</v>
      </c>
      <c r="E89" s="4">
        <v>1.0</v>
      </c>
      <c r="F89" s="4" t="s">
        <v>15</v>
      </c>
      <c r="G89" s="4">
        <v>0.0</v>
      </c>
      <c r="H89" s="4" t="s">
        <v>3</v>
      </c>
      <c r="I89" s="4" t="s">
        <v>781</v>
      </c>
      <c r="J89" s="4" t="s">
        <v>16</v>
      </c>
      <c r="K89" s="4">
        <v>3.0</v>
      </c>
      <c r="L89" s="4" t="s">
        <v>3</v>
      </c>
      <c r="M89" s="4" t="s">
        <v>401</v>
      </c>
      <c r="N89" s="4">
        <v>38.0</v>
      </c>
      <c r="O89" s="4" t="s">
        <v>3</v>
      </c>
      <c r="P89" s="4" t="s">
        <v>1835</v>
      </c>
      <c r="Q89" s="4" t="s">
        <v>1836</v>
      </c>
    </row>
    <row r="90">
      <c r="A90" s="4" t="s">
        <v>671</v>
      </c>
      <c r="B90" s="4">
        <v>137911.0</v>
      </c>
      <c r="C90" s="14">
        <v>293.0</v>
      </c>
      <c r="D90" s="4" t="s">
        <v>459</v>
      </c>
      <c r="E90" s="4">
        <v>0.0</v>
      </c>
      <c r="F90" s="4" t="s">
        <v>465</v>
      </c>
      <c r="G90" s="4">
        <v>36.0</v>
      </c>
      <c r="H90" s="4" t="s">
        <v>3</v>
      </c>
      <c r="I90" s="4" t="s">
        <v>781</v>
      </c>
      <c r="J90" s="4" t="s">
        <v>309</v>
      </c>
      <c r="K90" s="4">
        <v>40.0</v>
      </c>
      <c r="L90" s="4" t="s">
        <v>3</v>
      </c>
      <c r="M90" s="4" t="s">
        <v>401</v>
      </c>
      <c r="N90" s="4">
        <v>38.0</v>
      </c>
      <c r="O90" s="4" t="s">
        <v>3</v>
      </c>
      <c r="P90" s="4" t="s">
        <v>1837</v>
      </c>
      <c r="Q90" s="4" t="s">
        <v>1838</v>
      </c>
    </row>
    <row r="91">
      <c r="A91" s="4" t="s">
        <v>244</v>
      </c>
      <c r="B91" s="4">
        <v>113775.0</v>
      </c>
      <c r="C91" s="14">
        <v>294.0</v>
      </c>
      <c r="D91" s="4" t="s">
        <v>153</v>
      </c>
      <c r="E91" s="4">
        <v>2.0</v>
      </c>
      <c r="F91" s="4" t="s">
        <v>32</v>
      </c>
      <c r="G91" s="4">
        <v>11.0</v>
      </c>
      <c r="H91" s="4" t="s">
        <v>3</v>
      </c>
      <c r="I91" s="4" t="s">
        <v>781</v>
      </c>
      <c r="J91" s="4" t="s">
        <v>25</v>
      </c>
      <c r="K91" s="4">
        <v>18.0</v>
      </c>
      <c r="L91" s="4" t="s">
        <v>3</v>
      </c>
      <c r="M91" s="4" t="s">
        <v>114</v>
      </c>
      <c r="N91" s="4">
        <v>12.0</v>
      </c>
      <c r="O91" s="4" t="s">
        <v>3</v>
      </c>
      <c r="P91" s="4" t="s">
        <v>1839</v>
      </c>
      <c r="Q91" s="4" t="s">
        <v>1840</v>
      </c>
    </row>
    <row r="92">
      <c r="A92" s="4" t="s">
        <v>245</v>
      </c>
      <c r="B92" s="4">
        <v>189124.0</v>
      </c>
      <c r="C92" s="14">
        <v>295.0</v>
      </c>
      <c r="D92" s="4" t="s">
        <v>153</v>
      </c>
      <c r="E92" s="4">
        <v>2.0</v>
      </c>
      <c r="F92" s="4" t="s">
        <v>2</v>
      </c>
      <c r="G92" s="4">
        <v>25.0</v>
      </c>
      <c r="H92" s="4" t="s">
        <v>3</v>
      </c>
      <c r="I92" s="4" t="s">
        <v>781</v>
      </c>
      <c r="J92" s="4" t="s">
        <v>204</v>
      </c>
      <c r="K92" s="4">
        <v>43.0</v>
      </c>
      <c r="L92" s="4" t="s">
        <v>3</v>
      </c>
      <c r="M92" s="4" t="s">
        <v>120</v>
      </c>
      <c r="N92" s="4">
        <v>42.0</v>
      </c>
      <c r="O92" s="4" t="s">
        <v>3</v>
      </c>
      <c r="P92" s="4" t="s">
        <v>1841</v>
      </c>
      <c r="Q92" s="4" t="s">
        <v>1842</v>
      </c>
    </row>
    <row r="93">
      <c r="A93" s="4" t="s">
        <v>402</v>
      </c>
      <c r="B93" s="4">
        <v>320421.0</v>
      </c>
      <c r="C93" s="14">
        <v>299.0</v>
      </c>
      <c r="D93" s="4" t="s">
        <v>282</v>
      </c>
      <c r="E93" s="4">
        <v>1.0</v>
      </c>
      <c r="F93" s="4" t="s">
        <v>4</v>
      </c>
      <c r="G93" s="4">
        <v>23.0</v>
      </c>
      <c r="H93" s="4" t="s">
        <v>3</v>
      </c>
      <c r="I93" s="4" t="s">
        <v>781</v>
      </c>
      <c r="J93" s="4" t="s">
        <v>120</v>
      </c>
      <c r="K93" s="4">
        <v>42.0</v>
      </c>
      <c r="L93" s="4" t="s">
        <v>3</v>
      </c>
      <c r="M93" s="4" t="s">
        <v>2</v>
      </c>
      <c r="N93" s="4">
        <v>25.0</v>
      </c>
      <c r="O93" s="4" t="s">
        <v>3</v>
      </c>
      <c r="P93" s="4" t="s">
        <v>1843</v>
      </c>
      <c r="Q93" s="4" t="s">
        <v>1844</v>
      </c>
    </row>
    <row r="94">
      <c r="A94" s="4" t="s">
        <v>405</v>
      </c>
      <c r="B94" s="4">
        <v>503997.0</v>
      </c>
      <c r="C94" s="14">
        <v>301.0</v>
      </c>
      <c r="D94" s="4" t="s">
        <v>282</v>
      </c>
      <c r="E94" s="4">
        <v>1.0</v>
      </c>
      <c r="F94" s="4" t="s">
        <v>63</v>
      </c>
      <c r="G94" s="4">
        <v>29.0</v>
      </c>
      <c r="H94" s="4" t="s">
        <v>3</v>
      </c>
      <c r="I94" s="4" t="s">
        <v>781</v>
      </c>
      <c r="J94" s="4" t="s">
        <v>64</v>
      </c>
      <c r="K94" s="4">
        <v>30.0</v>
      </c>
      <c r="L94" s="4" t="s">
        <v>3</v>
      </c>
      <c r="M94" s="4" t="s">
        <v>109</v>
      </c>
      <c r="N94" s="4">
        <v>49.0</v>
      </c>
      <c r="O94" s="4" t="s">
        <v>3</v>
      </c>
      <c r="P94" s="4" t="s">
        <v>1845</v>
      </c>
      <c r="Q94" s="4" t="s">
        <v>1846</v>
      </c>
    </row>
    <row r="95">
      <c r="A95" s="4" t="s">
        <v>406</v>
      </c>
      <c r="B95" s="4">
        <v>118770.0</v>
      </c>
      <c r="C95" s="14">
        <v>303.0</v>
      </c>
      <c r="D95" s="4" t="s">
        <v>282</v>
      </c>
      <c r="E95" s="4">
        <v>1.0</v>
      </c>
      <c r="F95" s="4" t="s">
        <v>120</v>
      </c>
      <c r="G95" s="4">
        <v>42.0</v>
      </c>
      <c r="H95" s="4" t="s">
        <v>3</v>
      </c>
      <c r="I95" s="4" t="s">
        <v>781</v>
      </c>
      <c r="J95" s="4" t="s">
        <v>204</v>
      </c>
      <c r="K95" s="4">
        <v>43.0</v>
      </c>
      <c r="L95" s="4" t="s">
        <v>3</v>
      </c>
      <c r="M95" s="4" t="s">
        <v>105</v>
      </c>
      <c r="N95" s="4">
        <v>26.0</v>
      </c>
      <c r="O95" s="4" t="s">
        <v>3</v>
      </c>
      <c r="P95" s="4" t="s">
        <v>1847</v>
      </c>
      <c r="Q95" s="4" t="s">
        <v>1848</v>
      </c>
    </row>
    <row r="96">
      <c r="A96" s="4" t="s">
        <v>407</v>
      </c>
      <c r="B96" s="4">
        <v>149616.0</v>
      </c>
      <c r="C96" s="14">
        <v>304.0</v>
      </c>
      <c r="D96" s="4" t="s">
        <v>282</v>
      </c>
      <c r="E96" s="4">
        <v>1.0</v>
      </c>
      <c r="F96" s="4" t="s">
        <v>204</v>
      </c>
      <c r="G96" s="4">
        <v>43.0</v>
      </c>
      <c r="H96" s="4" t="s">
        <v>3</v>
      </c>
      <c r="I96" s="4" t="s">
        <v>781</v>
      </c>
      <c r="J96" s="4" t="s">
        <v>2</v>
      </c>
      <c r="K96" s="4">
        <v>25.0</v>
      </c>
      <c r="L96" s="4" t="s">
        <v>3</v>
      </c>
      <c r="M96" s="4" t="s">
        <v>120</v>
      </c>
      <c r="N96" s="4">
        <v>42.0</v>
      </c>
      <c r="O96" s="4" t="s">
        <v>3</v>
      </c>
      <c r="P96" s="4" t="s">
        <v>1849</v>
      </c>
      <c r="Q96" s="4" t="s">
        <v>1850</v>
      </c>
    </row>
    <row r="97">
      <c r="A97" s="4" t="s">
        <v>408</v>
      </c>
      <c r="B97" s="4">
        <v>162280.0</v>
      </c>
      <c r="C97" s="14">
        <v>307.0</v>
      </c>
      <c r="D97" s="4" t="s">
        <v>282</v>
      </c>
      <c r="E97" s="4">
        <v>1.0</v>
      </c>
      <c r="F97" s="4" t="s">
        <v>5</v>
      </c>
      <c r="G97" s="4">
        <v>35.0</v>
      </c>
      <c r="H97" s="4" t="s">
        <v>3</v>
      </c>
      <c r="I97" s="4" t="s">
        <v>781</v>
      </c>
      <c r="J97" s="4" t="s">
        <v>18</v>
      </c>
      <c r="K97" s="4">
        <v>22.0</v>
      </c>
      <c r="L97" s="4" t="s">
        <v>3</v>
      </c>
      <c r="M97" s="4" t="s">
        <v>105</v>
      </c>
      <c r="N97" s="4">
        <v>26.0</v>
      </c>
      <c r="O97" s="4" t="s">
        <v>3</v>
      </c>
      <c r="P97" s="4" t="s">
        <v>1851</v>
      </c>
      <c r="Q97" s="4" t="s">
        <v>1852</v>
      </c>
    </row>
    <row r="98">
      <c r="A98" s="4" t="s">
        <v>682</v>
      </c>
      <c r="B98" s="4">
        <v>171656.0</v>
      </c>
      <c r="C98" s="14">
        <v>312.0</v>
      </c>
      <c r="D98" s="4" t="s">
        <v>459</v>
      </c>
      <c r="E98" s="4">
        <v>0.0</v>
      </c>
      <c r="F98" s="4" t="s">
        <v>20</v>
      </c>
      <c r="G98" s="4">
        <v>48.0</v>
      </c>
      <c r="H98" s="4" t="s">
        <v>3</v>
      </c>
      <c r="I98" s="4" t="s">
        <v>781</v>
      </c>
      <c r="J98" s="4" t="s">
        <v>109</v>
      </c>
      <c r="K98" s="4">
        <v>49.0</v>
      </c>
      <c r="L98" s="4" t="s">
        <v>3</v>
      </c>
      <c r="M98" s="4" t="s">
        <v>7</v>
      </c>
      <c r="N98" s="4">
        <v>15.0</v>
      </c>
      <c r="O98" s="4" t="s">
        <v>455</v>
      </c>
      <c r="P98" s="4" t="s">
        <v>1853</v>
      </c>
      <c r="Q98" s="4" t="s">
        <v>1854</v>
      </c>
    </row>
    <row r="99">
      <c r="A99" s="4" t="s">
        <v>1656</v>
      </c>
      <c r="B99" s="4" t="s">
        <v>1657</v>
      </c>
      <c r="C99" s="14">
        <v>320.0</v>
      </c>
      <c r="D99" s="4" t="s">
        <v>459</v>
      </c>
      <c r="E99" s="4">
        <v>0.0</v>
      </c>
      <c r="F99" s="4" t="s">
        <v>28</v>
      </c>
      <c r="G99" s="4">
        <v>32.0</v>
      </c>
      <c r="H99" s="4" t="s">
        <v>3</v>
      </c>
      <c r="I99" s="4" t="s">
        <v>781</v>
      </c>
      <c r="J99" s="4" t="s">
        <v>34</v>
      </c>
      <c r="K99" s="4">
        <v>8.0</v>
      </c>
      <c r="L99" s="4" t="s">
        <v>3</v>
      </c>
      <c r="M99" s="4" t="s">
        <v>109</v>
      </c>
      <c r="N99" s="4">
        <v>49.0</v>
      </c>
      <c r="O99" s="4" t="s">
        <v>3</v>
      </c>
      <c r="P99" s="4" t="s">
        <v>1855</v>
      </c>
      <c r="Q99" s="4" t="s">
        <v>1856</v>
      </c>
    </row>
    <row r="100">
      <c r="A100" s="4" t="s">
        <v>697</v>
      </c>
      <c r="B100" s="4">
        <v>150390.0</v>
      </c>
      <c r="C100" s="14">
        <v>325.0</v>
      </c>
      <c r="D100" s="4" t="s">
        <v>459</v>
      </c>
      <c r="E100" s="4">
        <v>0.0</v>
      </c>
      <c r="F100" s="4" t="s">
        <v>12</v>
      </c>
      <c r="G100" s="4">
        <v>41.0</v>
      </c>
      <c r="H100" s="4" t="s">
        <v>3</v>
      </c>
      <c r="I100" s="4" t="s">
        <v>781</v>
      </c>
      <c r="J100" s="4" t="s">
        <v>184</v>
      </c>
      <c r="K100" s="4">
        <v>4.0</v>
      </c>
      <c r="L100" s="4" t="s">
        <v>3</v>
      </c>
      <c r="M100" s="4" t="s">
        <v>139</v>
      </c>
      <c r="N100" s="4">
        <v>21.0</v>
      </c>
      <c r="O100" s="4" t="s">
        <v>3</v>
      </c>
      <c r="P100" s="4" t="s">
        <v>1857</v>
      </c>
      <c r="Q100" s="4" t="s">
        <v>1858</v>
      </c>
    </row>
    <row r="101">
      <c r="A101" s="4" t="s">
        <v>698</v>
      </c>
      <c r="B101" s="4">
        <v>301529.0</v>
      </c>
      <c r="C101" s="14">
        <v>326.0</v>
      </c>
      <c r="D101" s="4" t="s">
        <v>459</v>
      </c>
      <c r="E101" s="4">
        <v>0.0</v>
      </c>
      <c r="F101" s="4" t="s">
        <v>47</v>
      </c>
      <c r="G101" s="4">
        <v>27.0</v>
      </c>
      <c r="H101" s="4" t="s">
        <v>3</v>
      </c>
      <c r="I101" s="4" t="s">
        <v>781</v>
      </c>
      <c r="J101" s="4" t="s">
        <v>111</v>
      </c>
      <c r="K101" s="4">
        <v>28.0</v>
      </c>
      <c r="L101" s="4" t="s">
        <v>3</v>
      </c>
      <c r="M101" s="4" t="s">
        <v>28</v>
      </c>
      <c r="N101" s="4">
        <v>32.0</v>
      </c>
      <c r="O101" s="4" t="s">
        <v>3</v>
      </c>
      <c r="P101" s="4" t="s">
        <v>1859</v>
      </c>
      <c r="Q101" s="4" t="s">
        <v>1860</v>
      </c>
    </row>
    <row r="102">
      <c r="A102" s="4" t="s">
        <v>702</v>
      </c>
      <c r="B102" s="4">
        <v>182956.0</v>
      </c>
      <c r="C102" s="14">
        <v>330.0</v>
      </c>
      <c r="D102" s="4" t="s">
        <v>459</v>
      </c>
      <c r="E102" s="4">
        <v>0.0</v>
      </c>
      <c r="F102" s="4" t="s">
        <v>309</v>
      </c>
      <c r="G102" s="4">
        <v>40.0</v>
      </c>
      <c r="H102" s="4" t="s">
        <v>3</v>
      </c>
      <c r="I102" s="4" t="s">
        <v>781</v>
      </c>
      <c r="J102" s="4" t="s">
        <v>191</v>
      </c>
      <c r="K102" s="4">
        <v>39.0</v>
      </c>
      <c r="L102" s="4" t="s">
        <v>3</v>
      </c>
      <c r="M102" s="4" t="s">
        <v>465</v>
      </c>
      <c r="N102" s="4">
        <v>36.0</v>
      </c>
      <c r="O102" s="4" t="s">
        <v>3</v>
      </c>
      <c r="P102" s="4" t="s">
        <v>1861</v>
      </c>
      <c r="Q102" s="4" t="s">
        <v>1862</v>
      </c>
    </row>
    <row r="103">
      <c r="A103" s="4" t="s">
        <v>711</v>
      </c>
      <c r="B103" s="4">
        <v>186129.0</v>
      </c>
      <c r="C103" s="14">
        <v>335.0</v>
      </c>
      <c r="D103" s="4" t="s">
        <v>459</v>
      </c>
      <c r="E103" s="4">
        <v>0.0</v>
      </c>
      <c r="F103" s="4" t="s">
        <v>13</v>
      </c>
      <c r="G103" s="4">
        <v>17.0</v>
      </c>
      <c r="H103" s="4" t="s">
        <v>3</v>
      </c>
      <c r="I103" s="4" t="s">
        <v>781</v>
      </c>
      <c r="J103" s="4" t="s">
        <v>401</v>
      </c>
      <c r="K103" s="4">
        <v>38.0</v>
      </c>
      <c r="L103" s="4" t="s">
        <v>3</v>
      </c>
      <c r="M103" s="4" t="s">
        <v>5</v>
      </c>
      <c r="N103" s="4">
        <v>35.0</v>
      </c>
      <c r="O103" s="4" t="s">
        <v>3</v>
      </c>
      <c r="P103" s="4" t="s">
        <v>1863</v>
      </c>
      <c r="Q103" s="4" t="s">
        <v>1864</v>
      </c>
    </row>
    <row r="104">
      <c r="A104" s="4" t="s">
        <v>712</v>
      </c>
      <c r="B104" s="4">
        <v>155451.0</v>
      </c>
      <c r="C104" s="14">
        <v>336.0</v>
      </c>
      <c r="D104" s="4" t="s">
        <v>459</v>
      </c>
      <c r="E104" s="4">
        <v>0.0</v>
      </c>
      <c r="F104" s="4" t="s">
        <v>191</v>
      </c>
      <c r="G104" s="4">
        <v>39.0</v>
      </c>
      <c r="H104" s="4" t="s">
        <v>3</v>
      </c>
      <c r="I104" s="4" t="s">
        <v>781</v>
      </c>
      <c r="J104" s="4" t="s">
        <v>465</v>
      </c>
      <c r="K104" s="4">
        <v>36.0</v>
      </c>
      <c r="L104" s="4" t="s">
        <v>3</v>
      </c>
      <c r="M104" s="4" t="s">
        <v>309</v>
      </c>
      <c r="N104" s="4">
        <v>40.0</v>
      </c>
      <c r="O104" s="4" t="s">
        <v>3</v>
      </c>
      <c r="P104" s="4" t="s">
        <v>1865</v>
      </c>
      <c r="Q104" s="4" t="s">
        <v>1866</v>
      </c>
    </row>
    <row r="105">
      <c r="A105" s="4" t="s">
        <v>250</v>
      </c>
      <c r="B105" s="4">
        <v>193973.0</v>
      </c>
      <c r="C105" s="14">
        <v>337.0</v>
      </c>
      <c r="D105" s="4" t="s">
        <v>153</v>
      </c>
      <c r="E105" s="4">
        <v>2.0</v>
      </c>
      <c r="F105" s="4" t="s">
        <v>42</v>
      </c>
      <c r="G105" s="4">
        <v>14.0</v>
      </c>
      <c r="H105" s="4" t="s">
        <v>3</v>
      </c>
      <c r="I105" s="4" t="s">
        <v>781</v>
      </c>
      <c r="J105" s="4" t="s">
        <v>212</v>
      </c>
      <c r="K105" s="4">
        <v>2.0</v>
      </c>
      <c r="L105" s="4" t="s">
        <v>3</v>
      </c>
      <c r="M105" s="4" t="s">
        <v>5</v>
      </c>
      <c r="N105" s="4">
        <v>35.0</v>
      </c>
      <c r="O105" s="4" t="s">
        <v>3</v>
      </c>
      <c r="P105" s="4" t="s">
        <v>1867</v>
      </c>
      <c r="Q105" s="4" t="s">
        <v>1868</v>
      </c>
    </row>
    <row r="106">
      <c r="A106" s="4" t="s">
        <v>425</v>
      </c>
      <c r="B106" s="4">
        <v>319859.0</v>
      </c>
      <c r="C106" s="14">
        <v>346.0</v>
      </c>
      <c r="D106" s="4" t="s">
        <v>282</v>
      </c>
      <c r="E106" s="4">
        <v>1.0</v>
      </c>
      <c r="F106" s="4" t="s">
        <v>2</v>
      </c>
      <c r="G106" s="4">
        <v>25.0</v>
      </c>
      <c r="H106" s="4" t="s">
        <v>3</v>
      </c>
      <c r="I106" s="4" t="s">
        <v>781</v>
      </c>
      <c r="J106" s="4" t="s">
        <v>105</v>
      </c>
      <c r="K106" s="4">
        <v>26.0</v>
      </c>
      <c r="L106" s="4" t="s">
        <v>3</v>
      </c>
      <c r="M106" s="4" t="s">
        <v>124</v>
      </c>
      <c r="N106" s="4">
        <v>46.0</v>
      </c>
      <c r="O106" s="4" t="s">
        <v>3</v>
      </c>
      <c r="P106" s="4" t="s">
        <v>1869</v>
      </c>
      <c r="Q106" s="4" t="s">
        <v>1870</v>
      </c>
    </row>
    <row r="107">
      <c r="A107" s="4" t="s">
        <v>256</v>
      </c>
      <c r="B107" s="4">
        <v>109964.0</v>
      </c>
      <c r="C107" s="14">
        <v>356.0</v>
      </c>
      <c r="D107" s="4" t="s">
        <v>153</v>
      </c>
      <c r="E107" s="4">
        <v>2.0</v>
      </c>
      <c r="F107" s="4" t="s">
        <v>61</v>
      </c>
      <c r="G107" s="4">
        <v>31.0</v>
      </c>
      <c r="H107" s="4" t="s">
        <v>3</v>
      </c>
      <c r="I107" s="4" t="s">
        <v>781</v>
      </c>
      <c r="J107" s="4" t="s">
        <v>12</v>
      </c>
      <c r="K107" s="4">
        <v>41.0</v>
      </c>
      <c r="L107" s="4" t="s">
        <v>3</v>
      </c>
      <c r="M107" s="4" t="s">
        <v>63</v>
      </c>
      <c r="N107" s="4">
        <v>29.0</v>
      </c>
      <c r="O107" s="4" t="s">
        <v>3</v>
      </c>
      <c r="P107" s="4" t="s">
        <v>1871</v>
      </c>
      <c r="Q107" s="4" t="s">
        <v>1872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1645</v>
      </c>
      <c r="B1" s="3" t="s">
        <v>1646</v>
      </c>
      <c r="C1" s="3"/>
      <c r="D1" s="3" t="s">
        <v>1647</v>
      </c>
      <c r="E1" s="16"/>
      <c r="F1" s="16" t="s">
        <v>1648</v>
      </c>
      <c r="G1" s="3"/>
      <c r="H1" s="3" t="s">
        <v>1649</v>
      </c>
      <c r="I1" s="3"/>
      <c r="J1" s="3" t="s">
        <v>1650</v>
      </c>
      <c r="K1" s="3"/>
      <c r="L1" s="3" t="s">
        <v>1649</v>
      </c>
      <c r="M1" s="3" t="s">
        <v>1651</v>
      </c>
      <c r="N1" s="3"/>
      <c r="O1" s="3" t="s">
        <v>1652</v>
      </c>
      <c r="P1" s="14" t="s">
        <v>1653</v>
      </c>
      <c r="Q1" s="14" t="s">
        <v>1653</v>
      </c>
    </row>
    <row r="2">
      <c r="A2" s="3" t="s">
        <v>152</v>
      </c>
      <c r="B2" s="5">
        <v>309122.0</v>
      </c>
      <c r="C2" s="10">
        <v>0.0</v>
      </c>
      <c r="D2" s="3" t="s">
        <v>153</v>
      </c>
      <c r="E2" s="3">
        <f t="array" ref="E2">xlookup(D2,Sheet3!A:A,Sheet3!B:B)</f>
        <v>2</v>
      </c>
      <c r="F2" s="3" t="s">
        <v>109</v>
      </c>
      <c r="G2" s="3">
        <f t="array" ref="G2">xlookup(F2,Sheet2!A:A,Sheet2!B:B)</f>
        <v>49</v>
      </c>
      <c r="H2" s="3" t="s">
        <v>154</v>
      </c>
      <c r="I2" s="3" t="str">
        <f t="array" ref="I2">JOIN("", SORT(MID(LOWER(H2), SEQUENCE(LEN(H2)), 1)))</f>
        <v>     ,,aaaaaaaaaabdeeeehhhiijjklllnnnsssssy</v>
      </c>
      <c r="J2" s="3" t="s">
        <v>47</v>
      </c>
      <c r="K2" s="3">
        <f t="array" ref="K2">xlookup(J2,Sheet2!A:A,Sheet2!B:B)</f>
        <v>27</v>
      </c>
      <c r="L2" s="3" t="s">
        <v>154</v>
      </c>
      <c r="M2" s="3" t="s">
        <v>30</v>
      </c>
      <c r="N2" s="3">
        <f t="array" ref="N2">xlookup(M2,Sheet2!A:A,Sheet2!B:B)</f>
        <v>13</v>
      </c>
      <c r="O2" s="3" t="s">
        <v>154</v>
      </c>
      <c r="P2" s="4" t="str">
        <f t="shared" ref="P2:P148" si="1">CONCATENATE(C2," : [",G2,",",K2,",",N2,"],")</f>
        <v>0 : [49,27,13],</v>
      </c>
      <c r="Q2" s="4" t="str">
        <f t="shared" ref="Q2:Q148" si="2">CONCATENATE(C2," : ",E2,",")</f>
        <v>0 : 2,</v>
      </c>
    </row>
    <row r="3">
      <c r="A3" s="3" t="s">
        <v>284</v>
      </c>
      <c r="B3" s="5">
        <v>182837.0</v>
      </c>
      <c r="C3" s="10">
        <v>8.0</v>
      </c>
      <c r="D3" s="3" t="s">
        <v>282</v>
      </c>
      <c r="E3" s="3">
        <f t="array" ref="E3">xlookup(D3,Sheet3!A:A,Sheet3!B:B)</f>
        <v>1</v>
      </c>
      <c r="F3" s="3" t="s">
        <v>61</v>
      </c>
      <c r="G3" s="3">
        <f t="array" ref="G3">xlookup(F3,Sheet2!A:A,Sheet2!B:B)</f>
        <v>31</v>
      </c>
      <c r="H3" s="3" t="s">
        <v>59</v>
      </c>
      <c r="I3" s="3" t="str">
        <f t="array" ref="I3">JOIN("", SORT(MID(LOWER(H3), SEQUENCE(LEN(H3)), 1)))</f>
        <v> acehnnuyy</v>
      </c>
      <c r="J3" s="3" t="s">
        <v>63</v>
      </c>
      <c r="K3" s="3">
        <f t="array" ref="K3">xlookup(J3,Sheet2!A:A,Sheet2!B:B)</f>
        <v>29</v>
      </c>
      <c r="L3" s="3" t="s">
        <v>59</v>
      </c>
      <c r="M3" s="3" t="s">
        <v>64</v>
      </c>
      <c r="N3" s="3">
        <f t="array" ref="N3">xlookup(M3,Sheet2!A:A,Sheet2!B:B)</f>
        <v>30</v>
      </c>
      <c r="O3" s="3" t="s">
        <v>59</v>
      </c>
      <c r="P3" s="4" t="str">
        <f t="shared" si="1"/>
        <v>8 : [31,29,30],</v>
      </c>
      <c r="Q3" s="4" t="str">
        <f t="shared" si="2"/>
        <v>8 : 1,</v>
      </c>
    </row>
    <row r="4">
      <c r="A4" s="3" t="s">
        <v>59</v>
      </c>
      <c r="B4" s="5">
        <v>120747.0</v>
      </c>
      <c r="C4" s="10">
        <v>9.0</v>
      </c>
      <c r="D4" s="3" t="s">
        <v>60</v>
      </c>
      <c r="E4" s="3">
        <f t="array" ref="E4">xlookup(D4,Sheet3!A:A,Sheet3!B:B)</f>
        <v>4</v>
      </c>
      <c r="F4" s="3" t="s">
        <v>61</v>
      </c>
      <c r="G4" s="3">
        <f t="array" ref="G4">xlookup(F4,Sheet2!A:A,Sheet2!B:B)</f>
        <v>31</v>
      </c>
      <c r="H4" s="3" t="s">
        <v>62</v>
      </c>
      <c r="I4" s="3" t="str">
        <f t="array" ref="I4">JOIN("", SORT(MID(LOWER(H4), SEQUENCE(LEN(H4)), 1)))</f>
        <v>   ,aceeghijjnnnnoouuyyy</v>
      </c>
      <c r="J4" s="3" t="s">
        <v>63</v>
      </c>
      <c r="K4" s="3">
        <f t="array" ref="K4">xlookup(J4,Sheet2!A:A,Sheet2!B:B)</f>
        <v>29</v>
      </c>
      <c r="L4" s="3" t="s">
        <v>62</v>
      </c>
      <c r="M4" s="3" t="s">
        <v>64</v>
      </c>
      <c r="N4" s="3">
        <f t="array" ref="N4">xlookup(M4,Sheet2!A:A,Sheet2!B:B)</f>
        <v>30</v>
      </c>
      <c r="O4" s="3" t="s">
        <v>62</v>
      </c>
      <c r="P4" s="4" t="str">
        <f t="shared" si="1"/>
        <v>9 : [31,29,30],</v>
      </c>
      <c r="Q4" s="4" t="str">
        <f t="shared" si="2"/>
        <v>9 : 4,</v>
      </c>
    </row>
    <row r="5">
      <c r="A5" s="3" t="s">
        <v>6</v>
      </c>
      <c r="B5" s="5">
        <v>165888.0</v>
      </c>
      <c r="C5" s="10">
        <v>11.0</v>
      </c>
      <c r="D5" s="3" t="s">
        <v>1</v>
      </c>
      <c r="E5" s="3">
        <f t="array" ref="E5">xlookup(D5,Sheet3!A:A,Sheet3!B:B)</f>
        <v>5</v>
      </c>
      <c r="F5" s="3" t="s">
        <v>7</v>
      </c>
      <c r="G5" s="3">
        <f t="array" ref="G5">xlookup(F5,Sheet2!A:A,Sheet2!B:B)</f>
        <v>15</v>
      </c>
      <c r="H5" s="3" t="s">
        <v>8</v>
      </c>
      <c r="I5" s="3" t="str">
        <f t="array" ref="I5">JOIN("", SORT(MID(LOWER(H5), SEQUENCE(LEN(H5)), 1)))</f>
        <v>   ,aaaaaeeehhiilmnprrrrrsstuuu</v>
      </c>
      <c r="J5" s="3" t="s">
        <v>9</v>
      </c>
      <c r="K5" s="3">
        <f t="array" ref="K5">xlookup(J5,Sheet2!A:A,Sheet2!B:B)</f>
        <v>5</v>
      </c>
      <c r="L5" s="3" t="s">
        <v>8</v>
      </c>
      <c r="M5" s="3" t="s">
        <v>10</v>
      </c>
      <c r="N5" s="3">
        <f t="array" ref="N5">xlookup(M5,Sheet2!A:A,Sheet2!B:B)</f>
        <v>9</v>
      </c>
      <c r="O5" s="3" t="s">
        <v>8</v>
      </c>
      <c r="P5" s="4" t="str">
        <f t="shared" si="1"/>
        <v>11 : [15,5,9],</v>
      </c>
      <c r="Q5" s="4" t="str">
        <f t="shared" si="2"/>
        <v>11 : 5,</v>
      </c>
    </row>
    <row r="6">
      <c r="A6" s="3" t="s">
        <v>68</v>
      </c>
      <c r="B6" s="5">
        <v>324008.0</v>
      </c>
      <c r="C6" s="10">
        <v>18.0</v>
      </c>
      <c r="D6" s="3" t="s">
        <v>60</v>
      </c>
      <c r="E6" s="3">
        <f t="array" ref="E6">xlookup(D6,Sheet3!A:A,Sheet3!B:B)</f>
        <v>4</v>
      </c>
      <c r="F6" s="3" t="s">
        <v>21</v>
      </c>
      <c r="G6" s="3">
        <f t="array" ref="G6">xlookup(F6,Sheet2!A:A,Sheet2!B:B)</f>
        <v>10</v>
      </c>
      <c r="H6" s="3" t="s">
        <v>69</v>
      </c>
      <c r="I6" s="3" t="str">
        <f t="array" ref="I6">JOIN("", SORT(MID(LOWER(H6), SEQUENCE(LEN(H6)), 1)))</f>
        <v>     ,,aaaaaacdeegghiiilmnnnnorrtvyy</v>
      </c>
      <c r="J6" s="3" t="s">
        <v>26</v>
      </c>
      <c r="K6" s="3">
        <f t="array" ref="K6">xlookup(J6,Sheet2!A:A,Sheet2!B:B)</f>
        <v>7</v>
      </c>
      <c r="L6" s="3" t="s">
        <v>69</v>
      </c>
      <c r="M6" s="3" t="s">
        <v>20</v>
      </c>
      <c r="N6" s="3">
        <f t="array" ref="N6">xlookup(M6,Sheet2!A:A,Sheet2!B:B)</f>
        <v>48</v>
      </c>
      <c r="O6" s="3" t="s">
        <v>69</v>
      </c>
      <c r="P6" s="4" t="str">
        <f t="shared" si="1"/>
        <v>18 : [10,7,48],</v>
      </c>
      <c r="Q6" s="4" t="str">
        <f t="shared" si="2"/>
        <v>18 : 4,</v>
      </c>
    </row>
    <row r="7">
      <c r="A7" s="3" t="s">
        <v>70</v>
      </c>
      <c r="B7" s="5">
        <v>110390.0</v>
      </c>
      <c r="C7" s="10">
        <v>19.0</v>
      </c>
      <c r="D7" s="3" t="s">
        <v>60</v>
      </c>
      <c r="E7" s="3">
        <f t="array" ref="E7">xlookup(D7,Sheet3!A:A,Sheet3!B:B)</f>
        <v>4</v>
      </c>
      <c r="F7" s="3" t="s">
        <v>9</v>
      </c>
      <c r="G7" s="3">
        <f t="array" ref="G7">xlookup(F7,Sheet2!A:A,Sheet2!B:B)</f>
        <v>5</v>
      </c>
      <c r="H7" s="3" t="s">
        <v>71</v>
      </c>
      <c r="I7" s="3" t="str">
        <f t="array" ref="I7">JOIN("", SORT(MID(LOWER(H7), SEQUENCE(LEN(H7)), 1)))</f>
        <v>   ,abceeghiklmnooptuvwy</v>
      </c>
      <c r="J7" s="3" t="s">
        <v>10</v>
      </c>
      <c r="K7" s="3">
        <f t="array" ref="K7">xlookup(J7,Sheet2!A:A,Sheet2!B:B)</f>
        <v>9</v>
      </c>
      <c r="L7" s="3" t="s">
        <v>71</v>
      </c>
      <c r="M7" s="3" t="s">
        <v>72</v>
      </c>
      <c r="N7" s="3">
        <f t="array" ref="N7">xlookup(M7,Sheet2!A:A,Sheet2!B:B)</f>
        <v>34</v>
      </c>
      <c r="O7" s="3" t="s">
        <v>71</v>
      </c>
      <c r="P7" s="4" t="str">
        <f t="shared" si="1"/>
        <v>19 : [5,9,34],</v>
      </c>
      <c r="Q7" s="4" t="str">
        <f t="shared" si="2"/>
        <v>19 : 4,</v>
      </c>
    </row>
    <row r="8">
      <c r="A8" s="3" t="s">
        <v>168</v>
      </c>
      <c r="B8" s="5">
        <v>136686.0</v>
      </c>
      <c r="C8" s="10">
        <v>22.0</v>
      </c>
      <c r="D8" s="3" t="s">
        <v>153</v>
      </c>
      <c r="E8" s="3">
        <f t="array" ref="E8">xlookup(D8,Sheet3!A:A,Sheet3!B:B)</f>
        <v>2</v>
      </c>
      <c r="F8" s="3" t="s">
        <v>18</v>
      </c>
      <c r="G8" s="3">
        <f t="array" ref="G8">xlookup(F8,Sheet2!A:A,Sheet2!B:B)</f>
        <v>22</v>
      </c>
      <c r="H8" s="3" t="s">
        <v>169</v>
      </c>
      <c r="I8" s="3" t="str">
        <f t="array" ref="I8">JOIN("", SORT(MID(LOWER(H8), SEQUENCE(LEN(H8)), 1)))</f>
        <v>   ,’aadeghiiilnnnoosvwy</v>
      </c>
      <c r="J8" s="3" t="s">
        <v>26</v>
      </c>
      <c r="K8" s="3">
        <f t="array" ref="K8">xlookup(J8,Sheet2!A:A,Sheet2!B:B)</f>
        <v>7</v>
      </c>
      <c r="L8" s="3" t="s">
        <v>169</v>
      </c>
      <c r="M8" s="3" t="s">
        <v>170</v>
      </c>
      <c r="N8" s="3">
        <f t="array" ref="N8">xlookup(M8,Sheet2!A:A,Sheet2!B:B)</f>
        <v>16</v>
      </c>
      <c r="O8" s="3" t="s">
        <v>169</v>
      </c>
      <c r="P8" s="4" t="str">
        <f t="shared" si="1"/>
        <v>22 : [22,7,16],</v>
      </c>
      <c r="Q8" s="4" t="str">
        <f t="shared" si="2"/>
        <v>22 : 2,</v>
      </c>
    </row>
    <row r="9">
      <c r="A9" s="3" t="s">
        <v>73</v>
      </c>
      <c r="B9" s="5">
        <v>111134.0</v>
      </c>
      <c r="C9" s="10">
        <v>26.0</v>
      </c>
      <c r="D9" s="3" t="s">
        <v>60</v>
      </c>
      <c r="E9" s="3">
        <f t="array" ref="E9">xlookup(D9,Sheet3!A:A,Sheet3!B:B)</f>
        <v>4</v>
      </c>
      <c r="F9" s="3" t="s">
        <v>74</v>
      </c>
      <c r="G9" s="3">
        <f t="array" ref="G9">xlookup(F9,Sheet2!A:A,Sheet2!B:B)</f>
        <v>50</v>
      </c>
      <c r="H9" s="3" t="s">
        <v>75</v>
      </c>
      <c r="I9" s="3" t="str">
        <f t="array" ref="I9">JOIN("", SORT(MID(LOWER(H9), SEQUENCE(LEN(H9)), 1)))</f>
        <v>   ,aaeehhhiikllmnnorrrssttuu</v>
      </c>
      <c r="J9" s="3" t="s">
        <v>76</v>
      </c>
      <c r="K9" s="3">
        <f t="array" ref="K9">xlookup(J9,Sheet2!A:A,Sheet2!B:B)</f>
        <v>24</v>
      </c>
      <c r="L9" s="3" t="s">
        <v>75</v>
      </c>
      <c r="M9" s="3" t="s">
        <v>72</v>
      </c>
      <c r="N9" s="3">
        <f t="array" ref="N9">xlookup(M9,Sheet2!A:A,Sheet2!B:B)</f>
        <v>34</v>
      </c>
      <c r="O9" s="3" t="s">
        <v>75</v>
      </c>
      <c r="P9" s="4" t="str">
        <f t="shared" si="1"/>
        <v>26 : [50,24,34],</v>
      </c>
      <c r="Q9" s="4" t="str">
        <f t="shared" si="2"/>
        <v>26 : 4,</v>
      </c>
    </row>
    <row r="10">
      <c r="A10" s="3" t="s">
        <v>171</v>
      </c>
      <c r="B10" s="5">
        <v>119064.0</v>
      </c>
      <c r="C10" s="10">
        <v>27.0</v>
      </c>
      <c r="D10" s="3" t="s">
        <v>153</v>
      </c>
      <c r="E10" s="3">
        <f t="array" ref="E10">xlookup(D10,Sheet3!A:A,Sheet3!B:B)</f>
        <v>2</v>
      </c>
      <c r="F10" s="3" t="s">
        <v>32</v>
      </c>
      <c r="G10" s="3">
        <f t="array" ref="G10">xlookup(F10,Sheet2!A:A,Sheet2!B:B)</f>
        <v>11</v>
      </c>
      <c r="H10" s="3" t="s">
        <v>172</v>
      </c>
      <c r="I10" s="3" t="str">
        <f t="array" ref="I10">JOIN("", SORT(MID(LOWER(H10), SEQUENCE(LEN(H10)), 1)))</f>
        <v>     ,,aaaaaacdeeeeeghiiiilmnnnnrrrvxyy</v>
      </c>
      <c r="J10" s="3" t="s">
        <v>114</v>
      </c>
      <c r="K10" s="3">
        <f t="array" ref="K10">xlookup(J10,Sheet2!A:A,Sheet2!B:B)</f>
        <v>12</v>
      </c>
      <c r="L10" s="3" t="s">
        <v>172</v>
      </c>
      <c r="M10" s="3" t="s">
        <v>47</v>
      </c>
      <c r="N10" s="3">
        <f t="array" ref="N10">xlookup(M10,Sheet2!A:A,Sheet2!B:B)</f>
        <v>27</v>
      </c>
      <c r="O10" s="3" t="s">
        <v>172</v>
      </c>
      <c r="P10" s="4" t="str">
        <f t="shared" si="1"/>
        <v>27 : [11,12,27],</v>
      </c>
      <c r="Q10" s="4" t="str">
        <f t="shared" si="2"/>
        <v>27 : 2,</v>
      </c>
    </row>
    <row r="11">
      <c r="A11" s="3" t="s">
        <v>458</v>
      </c>
      <c r="B11" s="5">
        <v>138695.0</v>
      </c>
      <c r="C11" s="10">
        <v>30.0</v>
      </c>
      <c r="D11" s="3" t="s">
        <v>459</v>
      </c>
      <c r="E11" s="3">
        <f t="array" ref="E11">xlookup(D11,Sheet3!A:A,Sheet3!B:B)</f>
        <v>0</v>
      </c>
      <c r="F11" s="3" t="s">
        <v>26</v>
      </c>
      <c r="G11" s="3">
        <f t="array" ref="G11">xlookup(F11,Sheet2!A:A,Sheet2!B:B)</f>
        <v>7</v>
      </c>
      <c r="H11" s="3" t="s">
        <v>460</v>
      </c>
      <c r="I11" s="3" t="str">
        <f t="array" ref="I11">JOIN("", SORT(MID(LOWER(H11), SEQUENCE(LEN(H11)), 1)))</f>
        <v>   ,aaaaaaaadggghijnnnnrrsy</v>
      </c>
      <c r="J11" s="3" t="s">
        <v>32</v>
      </c>
      <c r="K11" s="3">
        <f t="array" ref="K11">xlookup(J11,Sheet2!A:A,Sheet2!B:B)</f>
        <v>11</v>
      </c>
      <c r="L11" s="3" t="s">
        <v>460</v>
      </c>
      <c r="M11" s="3" t="s">
        <v>111</v>
      </c>
      <c r="N11" s="3">
        <f t="array" ref="N11">xlookup(M11,Sheet2!A:A,Sheet2!B:B)</f>
        <v>28</v>
      </c>
      <c r="O11" s="3" t="s">
        <v>460</v>
      </c>
      <c r="P11" s="4" t="str">
        <f t="shared" si="1"/>
        <v>30 : [7,11,28],</v>
      </c>
      <c r="Q11" s="4" t="str">
        <f t="shared" si="2"/>
        <v>30 : 0,</v>
      </c>
    </row>
    <row r="12">
      <c r="A12" s="3" t="s">
        <v>286</v>
      </c>
      <c r="B12" s="5">
        <v>138050.0</v>
      </c>
      <c r="C12" s="10">
        <v>32.0</v>
      </c>
      <c r="D12" s="3" t="s">
        <v>282</v>
      </c>
      <c r="E12" s="3">
        <f t="array" ref="E12">xlookup(D12,Sheet3!A:A,Sheet3!B:B)</f>
        <v>1</v>
      </c>
      <c r="F12" s="3" t="s">
        <v>125</v>
      </c>
      <c r="G12" s="3">
        <f t="array" ref="G12">xlookup(F12,Sheet2!A:A,Sheet2!B:B)</f>
        <v>19</v>
      </c>
      <c r="H12" s="3" t="s">
        <v>287</v>
      </c>
      <c r="I12" s="3" t="str">
        <f t="array" ref="I12">JOIN("", SORT(MID(LOWER(H12), SEQUENCE(LEN(H12)), 1)))</f>
        <v>   ,aaaaabdddeeghhhklnnnprrrsstuy</v>
      </c>
      <c r="J12" s="3" t="s">
        <v>16</v>
      </c>
      <c r="K12" s="3">
        <f t="array" ref="K12">xlookup(J12,Sheet2!A:A,Sheet2!B:B)</f>
        <v>3</v>
      </c>
      <c r="L12" s="3" t="s">
        <v>288</v>
      </c>
      <c r="M12" s="3" t="s">
        <v>5</v>
      </c>
      <c r="N12" s="3">
        <f t="array" ref="N12">xlookup(M12,Sheet2!A:A,Sheet2!B:B)</f>
        <v>35</v>
      </c>
      <c r="O12" s="3" t="s">
        <v>288</v>
      </c>
      <c r="P12" s="4" t="str">
        <f t="shared" si="1"/>
        <v>32 : [19,3,35],</v>
      </c>
      <c r="Q12" s="4" t="str">
        <f t="shared" si="2"/>
        <v>32 : 1,</v>
      </c>
    </row>
    <row r="13">
      <c r="A13" s="3" t="s">
        <v>77</v>
      </c>
      <c r="B13" s="5">
        <v>164480.0</v>
      </c>
      <c r="C13" s="10">
        <v>35.0</v>
      </c>
      <c r="D13" s="3" t="s">
        <v>60</v>
      </c>
      <c r="E13" s="3">
        <f t="array" ref="E13">xlookup(D13,Sheet3!A:A,Sheet3!B:B)</f>
        <v>4</v>
      </c>
      <c r="F13" s="3" t="s">
        <v>18</v>
      </c>
      <c r="G13" s="3">
        <f t="array" ref="G13">xlookup(F13,Sheet2!A:A,Sheet2!B:B)</f>
        <v>22</v>
      </c>
      <c r="H13" s="3" t="s">
        <v>78</v>
      </c>
      <c r="I13" s="3" t="str">
        <f t="array" ref="I13">JOIN("", SORT(MID(LOWER(H13), SEQUENCE(LEN(H13)), 1)))</f>
        <v>   ,aaaaaaghhiikkknnnnrrsw</v>
      </c>
      <c r="J13" s="3" t="s">
        <v>26</v>
      </c>
      <c r="K13" s="3">
        <f t="array" ref="K13">xlookup(J13,Sheet2!A:A,Sheet2!B:B)</f>
        <v>7</v>
      </c>
      <c r="L13" s="3" t="s">
        <v>78</v>
      </c>
      <c r="M13" s="3" t="s">
        <v>21</v>
      </c>
      <c r="N13" s="3">
        <f t="array" ref="N13">xlookup(M13,Sheet2!A:A,Sheet2!B:B)</f>
        <v>10</v>
      </c>
      <c r="O13" s="3" t="s">
        <v>78</v>
      </c>
      <c r="P13" s="4" t="str">
        <f t="shared" si="1"/>
        <v>35 : [22,7,10],</v>
      </c>
      <c r="Q13" s="4" t="str">
        <f t="shared" si="2"/>
        <v>35 : 4,</v>
      </c>
    </row>
    <row r="14">
      <c r="A14" s="3" t="s">
        <v>177</v>
      </c>
      <c r="B14" s="5">
        <v>184175.0</v>
      </c>
      <c r="C14" s="10">
        <v>37.0</v>
      </c>
      <c r="D14" s="3" t="s">
        <v>153</v>
      </c>
      <c r="E14" s="3">
        <f t="array" ref="E14">xlookup(D14,Sheet3!A:A,Sheet3!B:B)</f>
        <v>2</v>
      </c>
      <c r="F14" s="3" t="s">
        <v>64</v>
      </c>
      <c r="G14" s="3">
        <f t="array" ref="G14">xlookup(F14,Sheet2!A:A,Sheet2!B:B)</f>
        <v>30</v>
      </c>
      <c r="H14" s="3" t="s">
        <v>178</v>
      </c>
      <c r="I14" s="3" t="str">
        <f t="array" ref="I14">JOIN("", SORT(MID(LOWER(H14), SEQUENCE(LEN(H14)), 1)))</f>
        <v>   ,aaaaaaeghiknnnprsttuuy</v>
      </c>
      <c r="J14" s="3" t="s">
        <v>63</v>
      </c>
      <c r="K14" s="3">
        <f t="array" ref="K14">xlookup(J14,Sheet2!A:A,Sheet2!B:B)</f>
        <v>29</v>
      </c>
      <c r="L14" s="3" t="s">
        <v>178</v>
      </c>
      <c r="M14" s="3" t="s">
        <v>61</v>
      </c>
      <c r="N14" s="3">
        <f t="array" ref="N14">xlookup(M14,Sheet2!A:A,Sheet2!B:B)</f>
        <v>31</v>
      </c>
      <c r="O14" s="3" t="s">
        <v>178</v>
      </c>
      <c r="P14" s="4" t="str">
        <f t="shared" si="1"/>
        <v>37 : [30,29,31],</v>
      </c>
      <c r="Q14" s="4" t="str">
        <f t="shared" si="2"/>
        <v>37 : 2,</v>
      </c>
    </row>
    <row r="15">
      <c r="A15" s="3" t="s">
        <v>291</v>
      </c>
      <c r="B15" s="5">
        <v>137864.0</v>
      </c>
      <c r="C15" s="10">
        <v>38.0</v>
      </c>
      <c r="D15" s="3" t="s">
        <v>282</v>
      </c>
      <c r="E15" s="3">
        <f t="array" ref="E15">xlookup(D15,Sheet3!A:A,Sheet3!B:B)</f>
        <v>1</v>
      </c>
      <c r="F15" s="3" t="s">
        <v>74</v>
      </c>
      <c r="G15" s="3">
        <f t="array" ref="G15">xlookup(F15,Sheet2!A:A,Sheet2!B:B)</f>
        <v>50</v>
      </c>
      <c r="H15" s="3" t="s">
        <v>292</v>
      </c>
      <c r="I15" s="3" t="str">
        <f t="array" ref="I15">JOIN("", SORT(MID(LOWER(H15), SEQUENCE(LEN(H15)), 1)))</f>
        <v>   ,aaaaaeghhiknnnnrsstuuvvv</v>
      </c>
      <c r="J15" s="3" t="s">
        <v>10</v>
      </c>
      <c r="K15" s="3">
        <f t="array" ref="K15">xlookup(J15,Sheet2!A:A,Sheet2!B:B)</f>
        <v>9</v>
      </c>
      <c r="L15" s="3" t="s">
        <v>292</v>
      </c>
      <c r="M15" s="3" t="s">
        <v>125</v>
      </c>
      <c r="N15" s="3">
        <f t="array" ref="N15">xlookup(M15,Sheet2!A:A,Sheet2!B:B)</f>
        <v>19</v>
      </c>
      <c r="O15" s="3" t="s">
        <v>292</v>
      </c>
      <c r="P15" s="4" t="str">
        <f t="shared" si="1"/>
        <v>38 : [50,9,19],</v>
      </c>
      <c r="Q15" s="4" t="str">
        <f t="shared" si="2"/>
        <v>38 : 1,</v>
      </c>
    </row>
    <row r="16">
      <c r="A16" s="3" t="s">
        <v>466</v>
      </c>
      <c r="B16" s="5">
        <v>137345.0</v>
      </c>
      <c r="C16" s="10">
        <v>42.0</v>
      </c>
      <c r="D16" s="3" t="s">
        <v>459</v>
      </c>
      <c r="E16" s="3">
        <f t="array" ref="E16">xlookup(D16,Sheet3!A:A,Sheet3!B:B)</f>
        <v>0</v>
      </c>
      <c r="F16" s="3" t="s">
        <v>18</v>
      </c>
      <c r="G16" s="3">
        <f t="array" ref="G16">xlookup(F16,Sheet2!A:A,Sheet2!B:B)</f>
        <v>22</v>
      </c>
      <c r="H16" s="3" t="s">
        <v>467</v>
      </c>
      <c r="I16" s="3" t="str">
        <f t="array" ref="I16">JOIN("", SORT(MID(LOWER(H16), SEQUENCE(LEN(H16)), 1)))</f>
        <v>   ,aaaaaeghhhknnnnprrstuuy</v>
      </c>
      <c r="J16" s="3" t="s">
        <v>184</v>
      </c>
      <c r="K16" s="3">
        <f t="array" ref="K16">xlookup(J16,Sheet2!A:A,Sheet2!B:B)</f>
        <v>4</v>
      </c>
      <c r="L16" s="3" t="s">
        <v>467</v>
      </c>
      <c r="M16" s="3" t="s">
        <v>26</v>
      </c>
      <c r="N16" s="3">
        <f t="array" ref="N16">xlookup(M16,Sheet2!A:A,Sheet2!B:B)</f>
        <v>7</v>
      </c>
      <c r="O16" s="3" t="s">
        <v>467</v>
      </c>
      <c r="P16" s="4" t="str">
        <f t="shared" si="1"/>
        <v>42 : [22,4,7],</v>
      </c>
      <c r="Q16" s="4" t="str">
        <f t="shared" si="2"/>
        <v>42 : 0,</v>
      </c>
    </row>
    <row r="17">
      <c r="A17" s="3" t="s">
        <v>185</v>
      </c>
      <c r="B17" s="5">
        <v>136292.0</v>
      </c>
      <c r="C17" s="10">
        <v>44.0</v>
      </c>
      <c r="D17" s="3" t="s">
        <v>153</v>
      </c>
      <c r="E17" s="3">
        <f t="array" ref="E17">xlookup(D17,Sheet3!A:A,Sheet3!B:B)</f>
        <v>2</v>
      </c>
      <c r="F17" s="3" t="s">
        <v>18</v>
      </c>
      <c r="G17" s="3">
        <f t="array" ref="G17">xlookup(F17,Sheet2!A:A,Sheet2!B:B)</f>
        <v>22</v>
      </c>
      <c r="H17" s="3" t="s">
        <v>186</v>
      </c>
      <c r="I17" s="3" t="str">
        <f t="array" ref="I17">JOIN("", SORT(MID(LOWER(H17), SEQUENCE(LEN(H17)), 1)))</f>
        <v>   ,'aadeghiiilnnnoosvwy</v>
      </c>
      <c r="J17" s="3" t="s">
        <v>26</v>
      </c>
      <c r="K17" s="3">
        <f t="array" ref="K17">xlookup(J17,Sheet2!A:A,Sheet2!B:B)</f>
        <v>7</v>
      </c>
      <c r="L17" s="3" t="s">
        <v>186</v>
      </c>
      <c r="M17" s="3" t="s">
        <v>170</v>
      </c>
      <c r="N17" s="3">
        <f t="array" ref="N17">xlookup(M17,Sheet2!A:A,Sheet2!B:B)</f>
        <v>16</v>
      </c>
      <c r="O17" s="3" t="s">
        <v>186</v>
      </c>
      <c r="P17" s="4" t="str">
        <f t="shared" si="1"/>
        <v>44 : [22,7,16],</v>
      </c>
      <c r="Q17" s="4" t="str">
        <f t="shared" si="2"/>
        <v>44 : 2,</v>
      </c>
    </row>
    <row r="18">
      <c r="A18" s="3" t="s">
        <v>296</v>
      </c>
      <c r="B18" s="5">
        <v>109687.0</v>
      </c>
      <c r="C18" s="10">
        <v>46.0</v>
      </c>
      <c r="D18" s="3" t="s">
        <v>282</v>
      </c>
      <c r="E18" s="3">
        <f t="array" ref="E18">xlookup(D18,Sheet3!A:A,Sheet3!B:B)</f>
        <v>1</v>
      </c>
      <c r="F18" s="3" t="s">
        <v>72</v>
      </c>
      <c r="G18" s="3">
        <f t="array" ref="G18">xlookup(F18,Sheet2!A:A,Sheet2!B:B)</f>
        <v>34</v>
      </c>
      <c r="H18" s="3" t="s">
        <v>297</v>
      </c>
      <c r="I18" s="3" t="str">
        <f t="array" ref="I18">JOIN("", SORT(MID(LOWER(H18), SEQUENCE(LEN(H18)), 1)))</f>
        <v>   ,aaccdeeeeeeeiillllmqrrssssy</v>
      </c>
      <c r="J18" s="3" t="s">
        <v>74</v>
      </c>
      <c r="K18" s="3">
        <f t="array" ref="K18">xlookup(J18,Sheet2!A:A,Sheet2!B:B)</f>
        <v>50</v>
      </c>
      <c r="L18" s="3" t="s">
        <v>298</v>
      </c>
      <c r="M18" s="3" t="s">
        <v>9</v>
      </c>
      <c r="N18" s="3">
        <f t="array" ref="N18">xlookup(M18,Sheet2!A:A,Sheet2!B:B)</f>
        <v>5</v>
      </c>
      <c r="O18" s="3" t="s">
        <v>298</v>
      </c>
      <c r="P18" s="4" t="str">
        <f t="shared" si="1"/>
        <v>46 : [34,50,5],</v>
      </c>
      <c r="Q18" s="4" t="str">
        <f t="shared" si="2"/>
        <v>46 : 1,</v>
      </c>
    </row>
    <row r="19">
      <c r="A19" s="3" t="s">
        <v>79</v>
      </c>
      <c r="B19" s="5">
        <v>152136.0</v>
      </c>
      <c r="C19" s="10">
        <v>47.0</v>
      </c>
      <c r="D19" s="3" t="s">
        <v>60</v>
      </c>
      <c r="E19" s="3">
        <f t="array" ref="E19">xlookup(D19,Sheet3!A:A,Sheet3!B:B)</f>
        <v>4</v>
      </c>
      <c r="F19" s="3" t="s">
        <v>34</v>
      </c>
      <c r="G19" s="3">
        <f t="array" ref="G19">xlookup(F19,Sheet2!A:A,Sheet2!B:B)</f>
        <v>8</v>
      </c>
      <c r="H19" s="3" t="s">
        <v>80</v>
      </c>
      <c r="I19" s="3" t="str">
        <f t="array" ref="I19">JOIN("", SORT(MID(LOWER(H19), SEQUENCE(LEN(H19)), 1)))</f>
        <v>    ,aaaaaceghhiiknnnorrrstvyyyy</v>
      </c>
      <c r="J19" s="3" t="s">
        <v>64</v>
      </c>
      <c r="K19" s="3">
        <f t="array" ref="K19">xlookup(J19,Sheet2!A:A,Sheet2!B:B)</f>
        <v>30</v>
      </c>
      <c r="L19" s="3" t="s">
        <v>80</v>
      </c>
      <c r="M19" s="3" t="s">
        <v>21</v>
      </c>
      <c r="N19" s="3">
        <f t="array" ref="N19">xlookup(M19,Sheet2!A:A,Sheet2!B:B)</f>
        <v>10</v>
      </c>
      <c r="O19" s="3" t="s">
        <v>80</v>
      </c>
      <c r="P19" s="4" t="str">
        <f t="shared" si="1"/>
        <v>47 : [8,30,10],</v>
      </c>
      <c r="Q19" s="4" t="str">
        <f t="shared" si="2"/>
        <v>47 : 4,</v>
      </c>
    </row>
    <row r="20">
      <c r="A20" s="3" t="s">
        <v>299</v>
      </c>
      <c r="B20" s="5">
        <v>111515.0</v>
      </c>
      <c r="C20" s="10">
        <v>48.0</v>
      </c>
      <c r="D20" s="3" t="s">
        <v>282</v>
      </c>
      <c r="E20" s="3">
        <f t="array" ref="E20">xlookup(D20,Sheet3!A:A,Sheet3!B:B)</f>
        <v>1</v>
      </c>
      <c r="F20" s="3" t="s">
        <v>74</v>
      </c>
      <c r="G20" s="3">
        <f t="array" ref="G20">xlookup(F20,Sheet2!A:A,Sheet2!B:B)</f>
        <v>50</v>
      </c>
      <c r="H20" s="3" t="s">
        <v>301</v>
      </c>
      <c r="I20" s="3" t="str">
        <f t="array" ref="I20">JOIN("", SORT(MID(LOWER(H20), SEQUENCE(LEN(H20)), 1)))</f>
        <v>     ,(())aaaaaadddeeeeehiikkmmmnnprrsttvy</v>
      </c>
      <c r="J20" s="3" t="s">
        <v>76</v>
      </c>
      <c r="K20" s="3">
        <f t="array" ref="K20">xlookup(J20,Sheet2!A:A,Sheet2!B:B)</f>
        <v>24</v>
      </c>
      <c r="L20" s="3" t="s">
        <v>301</v>
      </c>
      <c r="M20" s="3" t="s">
        <v>72</v>
      </c>
      <c r="N20" s="3">
        <f t="array" ref="N20">xlookup(M20,Sheet2!A:A,Sheet2!B:B)</f>
        <v>34</v>
      </c>
      <c r="O20" s="3" t="s">
        <v>301</v>
      </c>
      <c r="P20" s="4" t="str">
        <f t="shared" si="1"/>
        <v>48 : [50,24,34],</v>
      </c>
      <c r="Q20" s="4" t="str">
        <f t="shared" si="2"/>
        <v>48 : 1,</v>
      </c>
    </row>
    <row r="21">
      <c r="A21" s="3" t="s">
        <v>81</v>
      </c>
      <c r="B21" s="5">
        <v>119554.0</v>
      </c>
      <c r="C21" s="10">
        <v>55.0</v>
      </c>
      <c r="D21" s="3" t="s">
        <v>60</v>
      </c>
      <c r="E21" s="3">
        <f t="array" ref="E21">xlookup(D21,Sheet3!A:A,Sheet3!B:B)</f>
        <v>4</v>
      </c>
      <c r="F21" s="3" t="s">
        <v>74</v>
      </c>
      <c r="G21" s="3">
        <f t="array" ref="G21">xlookup(F21,Sheet2!A:A,Sheet2!B:B)</f>
        <v>50</v>
      </c>
      <c r="H21" s="3" t="s">
        <v>82</v>
      </c>
      <c r="I21" s="3" t="str">
        <f t="array" ref="I21">JOIN("", SORT(MID(LOWER(H21), SEQUENCE(LEN(H21)), 1)))</f>
        <v>   ,aaaaaaaaghhhiikkklmnprrsssttu</v>
      </c>
      <c r="J21" s="3" t="s">
        <v>76</v>
      </c>
      <c r="K21" s="3">
        <f t="array" ref="K21">xlookup(J21,Sheet2!A:A,Sheet2!B:B)</f>
        <v>24</v>
      </c>
      <c r="L21" s="3" t="s">
        <v>82</v>
      </c>
      <c r="M21" s="3" t="s">
        <v>10</v>
      </c>
      <c r="N21" s="3">
        <f t="array" ref="N21">xlookup(M21,Sheet2!A:A,Sheet2!B:B)</f>
        <v>9</v>
      </c>
      <c r="O21" s="3" t="s">
        <v>82</v>
      </c>
      <c r="P21" s="4" t="str">
        <f t="shared" si="1"/>
        <v>55 : [50,24,9],</v>
      </c>
      <c r="Q21" s="4" t="str">
        <f t="shared" si="2"/>
        <v>55 : 4,</v>
      </c>
    </row>
    <row r="22">
      <c r="A22" s="3" t="s">
        <v>471</v>
      </c>
      <c r="B22" s="5">
        <v>309150.0</v>
      </c>
      <c r="C22" s="10">
        <v>57.0</v>
      </c>
      <c r="D22" s="3" t="s">
        <v>459</v>
      </c>
      <c r="E22" s="3">
        <f t="array" ref="E22">xlookup(D22,Sheet3!A:A,Sheet3!B:B)</f>
        <v>0</v>
      </c>
      <c r="F22" s="3" t="s">
        <v>9</v>
      </c>
      <c r="G22" s="3">
        <f t="array" ref="G22">xlookup(F22,Sheet2!A:A,Sheet2!B:B)</f>
        <v>5</v>
      </c>
      <c r="H22" s="3" t="s">
        <v>472</v>
      </c>
      <c r="I22" s="3" t="str">
        <f t="array" ref="I22">JOIN("", SORT(MID(LOWER(H22), SEQUENCE(LEN(H22)), 1)))</f>
        <v>   ,aaaaghiijlnnnopruwx</v>
      </c>
      <c r="J22" s="3" t="s">
        <v>76</v>
      </c>
      <c r="K22" s="3">
        <f t="array" ref="K22">xlookup(J22,Sheet2!A:A,Sheet2!B:B)</f>
        <v>24</v>
      </c>
      <c r="L22" s="3" t="s">
        <v>472</v>
      </c>
      <c r="M22" s="3" t="s">
        <v>10</v>
      </c>
      <c r="N22" s="3">
        <f t="array" ref="N22">xlookup(M22,Sheet2!A:A,Sheet2!B:B)</f>
        <v>9</v>
      </c>
      <c r="O22" s="3" t="s">
        <v>472</v>
      </c>
      <c r="P22" s="4" t="str">
        <f t="shared" si="1"/>
        <v>57 : [5,24,9],</v>
      </c>
      <c r="Q22" s="4" t="str">
        <f t="shared" si="2"/>
        <v>57 : 0,</v>
      </c>
    </row>
    <row r="23">
      <c r="A23" s="3" t="s">
        <v>473</v>
      </c>
      <c r="B23" s="5">
        <v>306633.0</v>
      </c>
      <c r="C23" s="10">
        <v>59.0</v>
      </c>
      <c r="D23" s="3" t="s">
        <v>459</v>
      </c>
      <c r="E23" s="3">
        <f t="array" ref="E23">xlookup(D23,Sheet3!A:A,Sheet3!B:B)</f>
        <v>0</v>
      </c>
      <c r="F23" s="3" t="s">
        <v>21</v>
      </c>
      <c r="G23" s="3">
        <f t="array" ref="G23">xlookup(F23,Sheet2!A:A,Sheet2!B:B)</f>
        <v>10</v>
      </c>
      <c r="H23" s="3" t="s">
        <v>474</v>
      </c>
      <c r="I23" s="3" t="str">
        <f t="array" ref="I23">JOIN("", SORT(MID(LOWER(H23), SEQUENCE(LEN(H23)), 1)))</f>
        <v>     ,,aaaaaaacdeegghiiilmnnnorrtvyy</v>
      </c>
      <c r="J23" s="3" t="s">
        <v>26</v>
      </c>
      <c r="K23" s="3">
        <f t="array" ref="K23">xlookup(J23,Sheet2!A:A,Sheet2!B:B)</f>
        <v>7</v>
      </c>
      <c r="L23" s="3" t="s">
        <v>474</v>
      </c>
      <c r="M23" s="3" t="s">
        <v>20</v>
      </c>
      <c r="N23" s="3">
        <f t="array" ref="N23">xlookup(M23,Sheet2!A:A,Sheet2!B:B)</f>
        <v>48</v>
      </c>
      <c r="O23" s="3" t="s">
        <v>474</v>
      </c>
      <c r="P23" s="4" t="str">
        <f t="shared" si="1"/>
        <v>59 : [10,7,48],</v>
      </c>
      <c r="Q23" s="4" t="str">
        <f t="shared" si="2"/>
        <v>59 : 0,</v>
      </c>
    </row>
    <row r="24">
      <c r="A24" s="3" t="s">
        <v>477</v>
      </c>
      <c r="B24" s="5">
        <v>301743.0</v>
      </c>
      <c r="C24" s="10">
        <v>63.0</v>
      </c>
      <c r="D24" s="3" t="s">
        <v>459</v>
      </c>
      <c r="E24" s="3">
        <f t="array" ref="E24">xlookup(D24,Sheet3!A:A,Sheet3!B:B)</f>
        <v>0</v>
      </c>
      <c r="F24" s="3" t="s">
        <v>10</v>
      </c>
      <c r="G24" s="3">
        <f t="array" ref="G24">xlookup(F24,Sheet2!A:A,Sheet2!B:B)</f>
        <v>9</v>
      </c>
      <c r="H24" s="3" t="s">
        <v>478</v>
      </c>
      <c r="I24" s="3" t="str">
        <f t="array" ref="I24">JOIN("", SORT(MID(LOWER(H24), SEQUENCE(LEN(H24)), 1)))</f>
        <v>   ,aaaaegghiiijklnprstuuy</v>
      </c>
      <c r="J24" s="3" t="s">
        <v>96</v>
      </c>
      <c r="K24" s="3">
        <f t="array" ref="K24">xlookup(J24,Sheet2!A:A,Sheet2!B:B)</f>
        <v>47</v>
      </c>
      <c r="L24" s="3" t="s">
        <v>478</v>
      </c>
      <c r="M24" s="3" t="s">
        <v>191</v>
      </c>
      <c r="N24" s="3">
        <f t="array" ref="N24">xlookup(M24,Sheet2!A:A,Sheet2!B:B)</f>
        <v>39</v>
      </c>
      <c r="O24" s="3" t="s">
        <v>478</v>
      </c>
      <c r="P24" s="4" t="str">
        <f t="shared" si="1"/>
        <v>63 : [9,47,39],</v>
      </c>
      <c r="Q24" s="4" t="str">
        <f t="shared" si="2"/>
        <v>63 : 0,</v>
      </c>
    </row>
    <row r="25">
      <c r="A25" s="3" t="s">
        <v>188</v>
      </c>
      <c r="B25" s="5">
        <v>119887.0</v>
      </c>
      <c r="C25" s="10">
        <v>66.0</v>
      </c>
      <c r="D25" s="3" t="s">
        <v>153</v>
      </c>
      <c r="E25" s="3">
        <f t="array" ref="E25">xlookup(D25,Sheet3!A:A,Sheet3!B:B)</f>
        <v>2</v>
      </c>
      <c r="F25" s="3" t="s">
        <v>9</v>
      </c>
      <c r="G25" s="3">
        <f t="array" ref="G25">xlookup(F25,Sheet2!A:A,Sheet2!B:B)</f>
        <v>5</v>
      </c>
      <c r="H25" s="3" t="s">
        <v>189</v>
      </c>
      <c r="I25" s="3" t="str">
        <f t="array" ref="I25">JOIN("", SORT(MID(LOWER(H25), SEQUENCE(LEN(H25)), 1)))</f>
        <v>   ,aaeehhllnooruwwy</v>
      </c>
      <c r="J25" s="3" t="s">
        <v>74</v>
      </c>
      <c r="K25" s="3">
        <f t="array" ref="K25">xlookup(J25,Sheet2!A:A,Sheet2!B:B)</f>
        <v>50</v>
      </c>
      <c r="L25" s="3" t="s">
        <v>189</v>
      </c>
      <c r="M25" s="3" t="s">
        <v>72</v>
      </c>
      <c r="N25" s="3">
        <f t="array" ref="N25">xlookup(M25,Sheet2!A:A,Sheet2!B:B)</f>
        <v>34</v>
      </c>
      <c r="O25" s="3" t="s">
        <v>189</v>
      </c>
      <c r="P25" s="4" t="str">
        <f t="shared" si="1"/>
        <v>66 : [5,50,34],</v>
      </c>
      <c r="Q25" s="4" t="str">
        <f t="shared" si="2"/>
        <v>66 : 2,</v>
      </c>
    </row>
    <row r="26">
      <c r="A26" s="3" t="s">
        <v>480</v>
      </c>
      <c r="B26" s="5">
        <v>151669.0</v>
      </c>
      <c r="C26" s="10">
        <v>70.0</v>
      </c>
      <c r="D26" s="3" t="s">
        <v>459</v>
      </c>
      <c r="E26" s="3">
        <f t="array" ref="E26">xlookup(D26,Sheet3!A:A,Sheet3!B:B)</f>
        <v>0</v>
      </c>
      <c r="F26" s="3" t="s">
        <v>21</v>
      </c>
      <c r="G26" s="3">
        <f t="array" ref="G26">xlookup(F26,Sheet2!A:A,Sheet2!B:B)</f>
        <v>10</v>
      </c>
      <c r="H26" s="3" t="s">
        <v>481</v>
      </c>
      <c r="I26" s="3" t="str">
        <f t="array" ref="I26">JOIN("", SORT(MID(LOWER(H26), SEQUENCE(LEN(H26)), 1)))</f>
        <v>      ,,aaaaaaaadghhikklmmnnnoprrrrsttuyy</v>
      </c>
      <c r="J26" s="3" t="s">
        <v>26</v>
      </c>
      <c r="K26" s="3">
        <f t="array" ref="K26">xlookup(J26,Sheet2!A:A,Sheet2!B:B)</f>
        <v>7</v>
      </c>
      <c r="L26" s="3" t="s">
        <v>481</v>
      </c>
      <c r="M26" s="3" t="s">
        <v>10</v>
      </c>
      <c r="N26" s="3">
        <f t="array" ref="N26">xlookup(M26,Sheet2!A:A,Sheet2!B:B)</f>
        <v>9</v>
      </c>
      <c r="O26" s="3" t="s">
        <v>482</v>
      </c>
      <c r="P26" s="4" t="str">
        <f t="shared" si="1"/>
        <v>70 : [10,7,9],</v>
      </c>
      <c r="Q26" s="4" t="str">
        <f t="shared" si="2"/>
        <v>70 : 0,</v>
      </c>
    </row>
    <row r="27">
      <c r="A27" s="3" t="s">
        <v>483</v>
      </c>
      <c r="B27" s="5">
        <v>145116.0</v>
      </c>
      <c r="C27" s="10">
        <v>71.0</v>
      </c>
      <c r="D27" s="3" t="s">
        <v>459</v>
      </c>
      <c r="E27" s="3">
        <f t="array" ref="E27">xlookup(D27,Sheet3!A:A,Sheet3!B:B)</f>
        <v>0</v>
      </c>
      <c r="F27" s="3" t="s">
        <v>21</v>
      </c>
      <c r="G27" s="3">
        <f t="array" ref="G27">xlookup(F27,Sheet2!A:A,Sheet2!B:B)</f>
        <v>10</v>
      </c>
      <c r="H27" s="3" t="s">
        <v>484</v>
      </c>
      <c r="I27" s="3" t="str">
        <f t="array" ref="I27">JOIN("", SORT(MID(LOWER(H27), SEQUENCE(LEN(H27)), 1)))</f>
        <v>     ,,aaaaaaaadghhikklmmnnnoprrrrsttuyy</v>
      </c>
      <c r="J27" s="3" t="s">
        <v>26</v>
      </c>
      <c r="K27" s="3">
        <f t="array" ref="K27">xlookup(J27,Sheet2!A:A,Sheet2!B:B)</f>
        <v>7</v>
      </c>
      <c r="L27" s="3" t="s">
        <v>484</v>
      </c>
      <c r="M27" s="3" t="s">
        <v>10</v>
      </c>
      <c r="N27" s="3">
        <f t="array" ref="N27">xlookup(M27,Sheet2!A:A,Sheet2!B:B)</f>
        <v>9</v>
      </c>
      <c r="O27" s="3" t="s">
        <v>485</v>
      </c>
      <c r="P27" s="4" t="str">
        <f t="shared" si="1"/>
        <v>71 : [10,7,9],</v>
      </c>
      <c r="Q27" s="4" t="str">
        <f t="shared" si="2"/>
        <v>71 : 0,</v>
      </c>
    </row>
    <row r="28">
      <c r="A28" s="3" t="s">
        <v>310</v>
      </c>
      <c r="B28" s="5">
        <v>127679.0</v>
      </c>
      <c r="C28" s="10">
        <v>72.0</v>
      </c>
      <c r="D28" s="3" t="s">
        <v>282</v>
      </c>
      <c r="E28" s="3">
        <f t="array" ref="E28">xlookup(D28,Sheet3!A:A,Sheet3!B:B)</f>
        <v>1</v>
      </c>
      <c r="F28" s="3" t="s">
        <v>25</v>
      </c>
      <c r="G28" s="3">
        <f t="array" ref="G28">xlookup(F28,Sheet2!A:A,Sheet2!B:B)</f>
        <v>18</v>
      </c>
      <c r="H28" s="3" t="s">
        <v>311</v>
      </c>
      <c r="I28" s="3" t="str">
        <f t="array" ref="I28">JOIN("", SORT(MID(LOWER(H28), SEQUENCE(LEN(H28)), 1)))</f>
        <v>      ,,aaaaaaaadeehiiiiiknnnppprrrsssuuvv</v>
      </c>
      <c r="J28" s="3" t="s">
        <v>114</v>
      </c>
      <c r="K28" s="3">
        <f t="array" ref="K28">xlookup(J28,Sheet2!A:A,Sheet2!B:B)</f>
        <v>12</v>
      </c>
      <c r="L28" s="3" t="s">
        <v>312</v>
      </c>
      <c r="M28" s="3" t="s">
        <v>18</v>
      </c>
      <c r="N28" s="3">
        <f t="array" ref="N28">xlookup(M28,Sheet2!A:A,Sheet2!B:B)</f>
        <v>22</v>
      </c>
      <c r="O28" s="3" t="s">
        <v>312</v>
      </c>
      <c r="P28" s="4" t="str">
        <f t="shared" si="1"/>
        <v>72 : [18,12,22],</v>
      </c>
      <c r="Q28" s="4" t="str">
        <f t="shared" si="2"/>
        <v>72 : 1,</v>
      </c>
    </row>
    <row r="29">
      <c r="A29" s="3" t="s">
        <v>313</v>
      </c>
      <c r="B29" s="5">
        <v>187126.0</v>
      </c>
      <c r="C29" s="10">
        <v>73.0</v>
      </c>
      <c r="D29" s="3" t="s">
        <v>282</v>
      </c>
      <c r="E29" s="3">
        <f t="array" ref="E29">xlookup(D29,Sheet3!A:A,Sheet3!B:B)</f>
        <v>1</v>
      </c>
      <c r="F29" s="3" t="s">
        <v>25</v>
      </c>
      <c r="G29" s="3">
        <f t="array" ref="G29">xlookup(F29,Sheet2!A:A,Sheet2!B:B)</f>
        <v>18</v>
      </c>
      <c r="H29" s="3" t="s">
        <v>314</v>
      </c>
      <c r="I29" s="3" t="str">
        <f t="array" ref="I29">JOIN("", SORT(MID(LOWER(H29), SEQUENCE(LEN(H29)), 1)))</f>
        <v>     ,,aaaaaaaadeehiiiiiknnnppprrrsssuuvv</v>
      </c>
      <c r="J29" s="3" t="s">
        <v>114</v>
      </c>
      <c r="K29" s="3">
        <f t="array" ref="K29">xlookup(J29,Sheet2!A:A,Sheet2!B:B)</f>
        <v>12</v>
      </c>
      <c r="L29" s="3" t="s">
        <v>314</v>
      </c>
      <c r="M29" s="3" t="s">
        <v>18</v>
      </c>
      <c r="N29" s="3">
        <f t="array" ref="N29">xlookup(M29,Sheet2!A:A,Sheet2!B:B)</f>
        <v>22</v>
      </c>
      <c r="O29" s="3" t="s">
        <v>314</v>
      </c>
      <c r="P29" s="4" t="str">
        <f t="shared" si="1"/>
        <v>73 : [18,12,22],</v>
      </c>
      <c r="Q29" s="4" t="str">
        <f t="shared" si="2"/>
        <v>73 : 1,</v>
      </c>
    </row>
    <row r="30">
      <c r="A30" s="3" t="s">
        <v>487</v>
      </c>
      <c r="B30" s="5">
        <v>151041.0</v>
      </c>
      <c r="C30" s="10">
        <v>76.0</v>
      </c>
      <c r="D30" s="3" t="s">
        <v>459</v>
      </c>
      <c r="E30" s="3">
        <f t="array" ref="E30">xlookup(D30,Sheet3!A:A,Sheet3!B:B)</f>
        <v>0</v>
      </c>
      <c r="F30" s="3" t="s">
        <v>21</v>
      </c>
      <c r="G30" s="3">
        <f t="array" ref="G30">xlookup(F30,Sheet2!A:A,Sheet2!B:B)</f>
        <v>10</v>
      </c>
      <c r="H30" s="3" t="s">
        <v>488</v>
      </c>
      <c r="I30" s="3" t="str">
        <f t="array" ref="I30">JOIN("", SORT(MID(LOWER(H30), SEQUENCE(LEN(H30)), 1)))</f>
        <v>       ,,aaaaaaaaaddghhikklmmnnnnoprrrrsttuyy</v>
      </c>
      <c r="J30" s="3" t="s">
        <v>26</v>
      </c>
      <c r="K30" s="3">
        <f t="array" ref="K30">xlookup(J30,Sheet2!A:A,Sheet2!B:B)</f>
        <v>7</v>
      </c>
      <c r="L30" s="3" t="s">
        <v>488</v>
      </c>
      <c r="M30" s="3" t="s">
        <v>12</v>
      </c>
      <c r="N30" s="3">
        <f t="array" ref="N30">xlookup(M30,Sheet2!A:A,Sheet2!B:B)</f>
        <v>41</v>
      </c>
      <c r="O30" s="3" t="s">
        <v>3</v>
      </c>
      <c r="P30" s="4" t="str">
        <f t="shared" si="1"/>
        <v>76 : [10,7,41],</v>
      </c>
      <c r="Q30" s="4" t="str">
        <f t="shared" si="2"/>
        <v>76 : 0,</v>
      </c>
    </row>
    <row r="31">
      <c r="A31" s="3" t="s">
        <v>315</v>
      </c>
      <c r="B31" s="5">
        <v>315002.0</v>
      </c>
      <c r="C31" s="10">
        <v>77.0</v>
      </c>
      <c r="D31" s="3" t="s">
        <v>282</v>
      </c>
      <c r="E31" s="3">
        <f t="array" ref="E31">xlookup(D31,Sheet3!A:A,Sheet3!B:B)</f>
        <v>1</v>
      </c>
      <c r="F31" s="3" t="s">
        <v>76</v>
      </c>
      <c r="G31" s="3">
        <f t="array" ref="G31">xlookup(F31,Sheet2!A:A,Sheet2!B:B)</f>
        <v>24</v>
      </c>
      <c r="H31" s="3" t="s">
        <v>316</v>
      </c>
      <c r="I31" s="3" t="str">
        <f t="array" ref="I31">JOIN("", SORT(MID(LOWER(H31), SEQUENCE(LEN(H31)), 1)))</f>
        <v>    ,aaaaaeefghiillnnnnoooopprrstty</v>
      </c>
      <c r="J31" s="3" t="s">
        <v>74</v>
      </c>
      <c r="K31" s="3">
        <f t="array" ref="K31">xlookup(J31,Sheet2!A:A,Sheet2!B:B)</f>
        <v>50</v>
      </c>
      <c r="L31" s="3" t="s">
        <v>316</v>
      </c>
      <c r="M31" s="3" t="s">
        <v>125</v>
      </c>
      <c r="N31" s="3">
        <f t="array" ref="N31">xlookup(M31,Sheet2!A:A,Sheet2!B:B)</f>
        <v>19</v>
      </c>
      <c r="O31" s="3" t="s">
        <v>316</v>
      </c>
      <c r="P31" s="4" t="str">
        <f t="shared" si="1"/>
        <v>77 : [24,50,19],</v>
      </c>
      <c r="Q31" s="4" t="str">
        <f t="shared" si="2"/>
        <v>77 : 1,</v>
      </c>
    </row>
    <row r="32">
      <c r="A32" s="3" t="s">
        <v>489</v>
      </c>
      <c r="B32" s="5">
        <v>150673.0</v>
      </c>
      <c r="C32" s="10">
        <v>78.0</v>
      </c>
      <c r="D32" s="3" t="s">
        <v>459</v>
      </c>
      <c r="E32" s="3">
        <f t="array" ref="E32">xlookup(D32,Sheet3!A:A,Sheet3!B:B)</f>
        <v>0</v>
      </c>
      <c r="F32" s="3" t="s">
        <v>34</v>
      </c>
      <c r="G32" s="3">
        <f t="array" ref="G32">xlookup(F32,Sheet2!A:A,Sheet2!B:B)</f>
        <v>8</v>
      </c>
      <c r="H32" s="3" t="s">
        <v>490</v>
      </c>
      <c r="I32" s="3" t="str">
        <f t="array" ref="I32">JOIN("", SORT(MID(LOWER(H32), SEQUENCE(LEN(H32)), 1)))</f>
        <v>     ,,aabdeeeeegiiillllnnnoprsuw</v>
      </c>
      <c r="J32" s="3" t="s">
        <v>109</v>
      </c>
      <c r="K32" s="3">
        <f t="array" ref="K32">xlookup(J32,Sheet2!A:A,Sheet2!B:B)</f>
        <v>49</v>
      </c>
      <c r="L32" s="3" t="s">
        <v>490</v>
      </c>
      <c r="M32" s="3" t="s">
        <v>47</v>
      </c>
      <c r="N32" s="3">
        <f t="array" ref="N32">xlookup(M32,Sheet2!A:A,Sheet2!B:B)</f>
        <v>27</v>
      </c>
      <c r="O32" s="3" t="s">
        <v>490</v>
      </c>
      <c r="P32" s="4" t="str">
        <f t="shared" si="1"/>
        <v>78 : [8,49,27],</v>
      </c>
      <c r="Q32" s="4" t="str">
        <f t="shared" si="2"/>
        <v>78 : 0,</v>
      </c>
    </row>
    <row r="33">
      <c r="A33" s="3" t="s">
        <v>317</v>
      </c>
      <c r="B33" s="5">
        <v>159212.0</v>
      </c>
      <c r="C33" s="10">
        <v>80.0</v>
      </c>
      <c r="D33" s="3" t="s">
        <v>282</v>
      </c>
      <c r="E33" s="3">
        <f t="array" ref="E33">xlookup(D33,Sheet3!A:A,Sheet3!B:B)</f>
        <v>1</v>
      </c>
      <c r="F33" s="3" t="s">
        <v>21</v>
      </c>
      <c r="G33" s="3">
        <f t="array" ref="G33">xlookup(F33,Sheet2!A:A,Sheet2!B:B)</f>
        <v>10</v>
      </c>
      <c r="H33" s="3" t="s">
        <v>318</v>
      </c>
      <c r="I33" s="3" t="str">
        <f t="array" ref="I33">JOIN("", SORT(MID(LOWER(H33), SEQUENCE(LEN(H33)), 1)))</f>
        <v>      ,,aaaaaaddeeeehhhhhhiilmmnnnprrrrssstuvy</v>
      </c>
      <c r="J33" s="3" t="s">
        <v>20</v>
      </c>
      <c r="K33" s="3">
        <f t="array" ref="K33">xlookup(J33,Sheet2!A:A,Sheet2!B:B)</f>
        <v>48</v>
      </c>
      <c r="L33" s="3" t="s">
        <v>318</v>
      </c>
      <c r="M33" s="3" t="s">
        <v>18</v>
      </c>
      <c r="N33" s="3">
        <f t="array" ref="N33">xlookup(M33,Sheet2!A:A,Sheet2!B:B)</f>
        <v>22</v>
      </c>
      <c r="O33" s="3" t="s">
        <v>318</v>
      </c>
      <c r="P33" s="4" t="str">
        <f t="shared" si="1"/>
        <v>80 : [10,48,22],</v>
      </c>
      <c r="Q33" s="4" t="str">
        <f t="shared" si="2"/>
        <v>80 : 1,</v>
      </c>
    </row>
    <row r="34">
      <c r="A34" s="3" t="s">
        <v>84</v>
      </c>
      <c r="B34" s="5">
        <v>177495.0</v>
      </c>
      <c r="C34" s="10">
        <v>81.0</v>
      </c>
      <c r="D34" s="3" t="s">
        <v>60</v>
      </c>
      <c r="E34" s="3">
        <f t="array" ref="E34">xlookup(D34,Sheet3!A:A,Sheet3!B:B)</f>
        <v>4</v>
      </c>
      <c r="F34" s="3" t="s">
        <v>21</v>
      </c>
      <c r="G34" s="3">
        <f t="array" ref="G34">xlookup(F34,Sheet2!A:A,Sheet2!B:B)</f>
        <v>10</v>
      </c>
      <c r="H34" s="3" t="s">
        <v>85</v>
      </c>
      <c r="I34" s="3" t="str">
        <f t="array" ref="I34">JOIN("", SORT(MID(LOWER(H34), SEQUENCE(LEN(H34)), 1)))</f>
        <v>       ,aaaaaaadddeeeehhhhhhiilmmnnnnprrrrssstuvy</v>
      </c>
      <c r="J34" s="3" t="s">
        <v>20</v>
      </c>
      <c r="K34" s="3">
        <f t="array" ref="K34">xlookup(J34,Sheet2!A:A,Sheet2!B:B)</f>
        <v>48</v>
      </c>
      <c r="L34" s="3" t="s">
        <v>86</v>
      </c>
      <c r="M34" s="3" t="s">
        <v>18</v>
      </c>
      <c r="N34" s="3">
        <f t="array" ref="N34">xlookup(M34,Sheet2!A:A,Sheet2!B:B)</f>
        <v>22</v>
      </c>
      <c r="O34" s="3" t="s">
        <v>85</v>
      </c>
      <c r="P34" s="4" t="str">
        <f t="shared" si="1"/>
        <v>81 : [10,48,22],</v>
      </c>
      <c r="Q34" s="4" t="str">
        <f t="shared" si="2"/>
        <v>81 : 4,</v>
      </c>
    </row>
    <row r="35">
      <c r="A35" s="3" t="s">
        <v>493</v>
      </c>
      <c r="B35" s="5">
        <v>137993.0</v>
      </c>
      <c r="C35" s="10">
        <v>83.0</v>
      </c>
      <c r="D35" s="3" t="s">
        <v>459</v>
      </c>
      <c r="E35" s="3">
        <f t="array" ref="E35">xlookup(D35,Sheet3!A:A,Sheet3!B:B)</f>
        <v>0</v>
      </c>
      <c r="F35" s="3" t="s">
        <v>111</v>
      </c>
      <c r="G35" s="3">
        <f t="array" ref="G35">xlookup(F35,Sheet2!A:A,Sheet2!B:B)</f>
        <v>28</v>
      </c>
      <c r="H35" s="3" t="s">
        <v>494</v>
      </c>
      <c r="I35" s="3" t="str">
        <f t="array" ref="I35">JOIN("", SORT(MID(LOWER(H35), SEQUENCE(LEN(H35)), 1)))</f>
        <v>     ,,aaaaaaaaddeeeehhhhikkmmnnnpprsssttuvvyyz</v>
      </c>
      <c r="J35" s="3" t="s">
        <v>34</v>
      </c>
      <c r="K35" s="3">
        <f t="array" ref="K35">xlookup(J35,Sheet2!A:A,Sheet2!B:B)</f>
        <v>8</v>
      </c>
      <c r="L35" s="3" t="s">
        <v>494</v>
      </c>
      <c r="M35" s="3" t="s">
        <v>109</v>
      </c>
      <c r="N35" s="3">
        <f t="array" ref="N35">xlookup(M35,Sheet2!A:A,Sheet2!B:B)</f>
        <v>49</v>
      </c>
      <c r="O35" s="3" t="s">
        <v>494</v>
      </c>
      <c r="P35" s="4" t="str">
        <f t="shared" si="1"/>
        <v>83 : [28,8,49],</v>
      </c>
      <c r="Q35" s="4" t="str">
        <f t="shared" si="2"/>
        <v>83 : 0,</v>
      </c>
    </row>
    <row r="36">
      <c r="A36" s="3" t="s">
        <v>495</v>
      </c>
      <c r="B36" s="5">
        <v>151881.0</v>
      </c>
      <c r="C36" s="10">
        <v>84.0</v>
      </c>
      <c r="D36" s="3" t="s">
        <v>459</v>
      </c>
      <c r="E36" s="3">
        <f t="array" ref="E36">xlookup(D36,Sheet3!A:A,Sheet3!B:B)</f>
        <v>0</v>
      </c>
      <c r="F36" s="3" t="s">
        <v>20</v>
      </c>
      <c r="G36" s="3">
        <f t="array" ref="G36">xlookup(F36,Sheet2!A:A,Sheet2!B:B)</f>
        <v>48</v>
      </c>
      <c r="H36" s="3" t="s">
        <v>496</v>
      </c>
      <c r="I36" s="3" t="str">
        <f t="array" ref="I36">JOIN("", SORT(MID(LOWER(H36), SEQUENCE(LEN(H36)), 1)))</f>
        <v>       ,aaaaaaabbcdeeefhhhiiiiikkllllnnnnrrrssssstvv</v>
      </c>
      <c r="J36" s="3" t="s">
        <v>18</v>
      </c>
      <c r="K36" s="3">
        <f t="array" ref="K36">xlookup(J36,Sheet2!A:A,Sheet2!B:B)</f>
        <v>22</v>
      </c>
      <c r="L36" s="3" t="s">
        <v>496</v>
      </c>
      <c r="M36" s="3" t="s">
        <v>114</v>
      </c>
      <c r="N36" s="3">
        <f t="array" ref="N36">xlookup(M36,Sheet2!A:A,Sheet2!B:B)</f>
        <v>12</v>
      </c>
      <c r="O36" s="3" t="s">
        <v>496</v>
      </c>
      <c r="P36" s="4" t="str">
        <f t="shared" si="1"/>
        <v>84 : [48,22,12],</v>
      </c>
      <c r="Q36" s="4" t="str">
        <f t="shared" si="2"/>
        <v>84 : 0,</v>
      </c>
    </row>
    <row r="37">
      <c r="A37" s="3" t="s">
        <v>497</v>
      </c>
      <c r="B37" s="5">
        <v>151883.0</v>
      </c>
      <c r="C37" s="10">
        <v>85.0</v>
      </c>
      <c r="D37" s="3" t="s">
        <v>459</v>
      </c>
      <c r="E37" s="3">
        <f t="array" ref="E37">xlookup(D37,Sheet3!A:A,Sheet3!B:B)</f>
        <v>0</v>
      </c>
      <c r="F37" s="3" t="s">
        <v>20</v>
      </c>
      <c r="G37" s="3">
        <f t="array" ref="G37">xlookup(F37,Sheet2!A:A,Sheet2!B:B)</f>
        <v>48</v>
      </c>
      <c r="H37" s="3" t="s">
        <v>498</v>
      </c>
      <c r="I37" s="3" t="str">
        <f t="array" ref="I37">JOIN("", SORT(MID(LOWER(H37), SEQUENCE(LEN(H37)), 1)))</f>
        <v>              ---,,aaaaaaabbbbbbcceeeeeeeeefhhhiiiiikkllllmmmmmmnnnrrrrrrssssstvv</v>
      </c>
      <c r="J37" s="3" t="s">
        <v>18</v>
      </c>
      <c r="K37" s="3">
        <f t="array" ref="K37">xlookup(J37,Sheet2!A:A,Sheet2!B:B)</f>
        <v>22</v>
      </c>
      <c r="L37" s="3" t="s">
        <v>498</v>
      </c>
      <c r="M37" s="3" t="s">
        <v>114</v>
      </c>
      <c r="N37" s="3">
        <f t="array" ref="N37">xlookup(M37,Sheet2!A:A,Sheet2!B:B)</f>
        <v>12</v>
      </c>
      <c r="O37" s="3" t="s">
        <v>498</v>
      </c>
      <c r="P37" s="4" t="str">
        <f t="shared" si="1"/>
        <v>85 : [48,22,12],</v>
      </c>
      <c r="Q37" s="4" t="str">
        <f t="shared" si="2"/>
        <v>85 : 0,</v>
      </c>
    </row>
    <row r="38">
      <c r="A38" s="3" t="s">
        <v>499</v>
      </c>
      <c r="B38" s="5">
        <v>150825.0</v>
      </c>
      <c r="C38" s="10">
        <v>86.0</v>
      </c>
      <c r="D38" s="3" t="s">
        <v>459</v>
      </c>
      <c r="E38" s="3">
        <f t="array" ref="E38">xlookup(D38,Sheet3!A:A,Sheet3!B:B)</f>
        <v>0</v>
      </c>
      <c r="F38" s="3" t="s">
        <v>20</v>
      </c>
      <c r="G38" s="3">
        <f t="array" ref="G38">xlookup(F38,Sheet2!A:A,Sheet2!B:B)</f>
        <v>48</v>
      </c>
      <c r="H38" s="3" t="s">
        <v>500</v>
      </c>
      <c r="I38" s="3" t="str">
        <f t="array" ref="I38">JOIN("", SORT(MID(LOWER(H38), SEQUENCE(LEN(H38)), 1)))</f>
        <v>     ,,aaaaaabbceeefhhhiiiiikkllllnnnrrrssssstvv</v>
      </c>
      <c r="J38" s="3" t="s">
        <v>18</v>
      </c>
      <c r="K38" s="3">
        <f t="array" ref="K38">xlookup(J38,Sheet2!A:A,Sheet2!B:B)</f>
        <v>22</v>
      </c>
      <c r="L38" s="3" t="s">
        <v>500</v>
      </c>
      <c r="M38" s="3" t="s">
        <v>114</v>
      </c>
      <c r="N38" s="3">
        <f t="array" ref="N38">xlookup(M38,Sheet2!A:A,Sheet2!B:B)</f>
        <v>12</v>
      </c>
      <c r="O38" s="3" t="s">
        <v>500</v>
      </c>
      <c r="P38" s="4" t="str">
        <f t="shared" si="1"/>
        <v>86 : [48,22,12],</v>
      </c>
      <c r="Q38" s="4" t="str">
        <f t="shared" si="2"/>
        <v>86 : 0,</v>
      </c>
    </row>
    <row r="39">
      <c r="A39" s="3" t="s">
        <v>505</v>
      </c>
      <c r="B39" s="5">
        <v>137990.0</v>
      </c>
      <c r="C39" s="10">
        <v>89.0</v>
      </c>
      <c r="D39" s="3" t="s">
        <v>459</v>
      </c>
      <c r="E39" s="3">
        <f t="array" ref="E39">xlookup(D39,Sheet3!A:A,Sheet3!B:B)</f>
        <v>0</v>
      </c>
      <c r="F39" s="3" t="s">
        <v>74</v>
      </c>
      <c r="G39" s="3">
        <f t="array" ref="G39">xlookup(F39,Sheet2!A:A,Sheet2!B:B)</f>
        <v>50</v>
      </c>
      <c r="H39" s="3" t="s">
        <v>215</v>
      </c>
      <c r="I39" s="3" t="str">
        <f t="array" ref="I39">JOIN("", SORT(MID(LOWER(H39), SEQUENCE(LEN(H39)), 1)))</f>
        <v>   ,aaaacdehhhilnnnnoortuwyyz</v>
      </c>
      <c r="J39" s="3" t="s">
        <v>207</v>
      </c>
      <c r="K39" s="3">
        <f t="array" ref="K39">xlookup(J39,Sheet2!A:A,Sheet2!B:B)</f>
        <v>1</v>
      </c>
      <c r="L39" s="3" t="s">
        <v>3</v>
      </c>
      <c r="M39" s="3" t="s">
        <v>191</v>
      </c>
      <c r="N39" s="3">
        <f t="array" ref="N39">xlookup(M39,Sheet2!A:A,Sheet2!B:B)</f>
        <v>39</v>
      </c>
      <c r="O39" s="3" t="s">
        <v>3</v>
      </c>
      <c r="P39" s="4" t="str">
        <f t="shared" si="1"/>
        <v>89 : [50,1,39],</v>
      </c>
      <c r="Q39" s="4" t="str">
        <f t="shared" si="2"/>
        <v>89 : 0,</v>
      </c>
    </row>
    <row r="40">
      <c r="A40" s="3" t="s">
        <v>321</v>
      </c>
      <c r="B40" s="5">
        <v>138771.0</v>
      </c>
      <c r="C40" s="10">
        <v>90.0</v>
      </c>
      <c r="D40" s="3" t="s">
        <v>282</v>
      </c>
      <c r="E40" s="3">
        <f t="array" ref="E40">xlookup(D40,Sheet3!A:A,Sheet3!B:B)</f>
        <v>1</v>
      </c>
      <c r="F40" s="3" t="s">
        <v>111</v>
      </c>
      <c r="G40" s="3">
        <f t="array" ref="G40">xlookup(F40,Sheet2!A:A,Sheet2!B:B)</f>
        <v>28</v>
      </c>
      <c r="H40" s="3" t="s">
        <v>322</v>
      </c>
      <c r="I40" s="3" t="str">
        <f t="array" ref="I40">JOIN("", SORT(MID(LOWER(H40), SEQUENCE(LEN(H40)), 1)))</f>
        <v>     ,,aaaaaaaaaaaddeiiiillmmmnprrrrsstvyy</v>
      </c>
      <c r="J40" s="3" t="s">
        <v>109</v>
      </c>
      <c r="K40" s="3">
        <f t="array" ref="K40">xlookup(J40,Sheet2!A:A,Sheet2!B:B)</f>
        <v>49</v>
      </c>
      <c r="L40" s="3" t="s">
        <v>322</v>
      </c>
      <c r="M40" s="3" t="s">
        <v>184</v>
      </c>
      <c r="N40" s="3">
        <f t="array" ref="N40">xlookup(M40,Sheet2!A:A,Sheet2!B:B)</f>
        <v>4</v>
      </c>
      <c r="O40" s="3" t="s">
        <v>322</v>
      </c>
      <c r="P40" s="4" t="str">
        <f t="shared" si="1"/>
        <v>90 : [28,49,4],</v>
      </c>
      <c r="Q40" s="4" t="str">
        <f t="shared" si="2"/>
        <v>90 : 1,</v>
      </c>
    </row>
    <row r="41">
      <c r="A41" s="3" t="s">
        <v>17</v>
      </c>
      <c r="B41" s="5">
        <v>162647.0</v>
      </c>
      <c r="C41" s="10">
        <v>93.0</v>
      </c>
      <c r="D41" s="3" t="s">
        <v>1</v>
      </c>
      <c r="E41" s="3">
        <f t="array" ref="E41">xlookup(D41,Sheet3!A:A,Sheet3!B:B)</f>
        <v>5</v>
      </c>
      <c r="F41" s="3" t="s">
        <v>18</v>
      </c>
      <c r="G41" s="3">
        <f t="array" ref="G41">xlookup(F41,Sheet2!A:A,Sheet2!B:B)</f>
        <v>22</v>
      </c>
      <c r="H41" s="3" t="s">
        <v>19</v>
      </c>
      <c r="I41" s="3" t="str">
        <f t="array" ref="I41">JOIN("", SORT(MID(LOWER(H41), SEQUENCE(LEN(H41)), 1)))</f>
        <v>     ,,aaaaaaabdeghhhhhhiiiiijjklmnnnnorsssttuuvyz</v>
      </c>
      <c r="J41" s="3" t="s">
        <v>20</v>
      </c>
      <c r="K41" s="3">
        <f t="array" ref="K41">xlookup(J41,Sheet2!A:A,Sheet2!B:B)</f>
        <v>48</v>
      </c>
      <c r="L41" s="3" t="s">
        <v>19</v>
      </c>
      <c r="M41" s="3" t="s">
        <v>21</v>
      </c>
      <c r="N41" s="3">
        <f t="array" ref="N41">xlookup(M41,Sheet2!A:A,Sheet2!B:B)</f>
        <v>10</v>
      </c>
      <c r="O41" s="3" t="s">
        <v>19</v>
      </c>
      <c r="P41" s="4" t="str">
        <f t="shared" si="1"/>
        <v>93 : [22,48,10],</v>
      </c>
      <c r="Q41" s="4" t="str">
        <f t="shared" si="2"/>
        <v>93 : 5,</v>
      </c>
    </row>
    <row r="42">
      <c r="A42" s="3" t="s">
        <v>325</v>
      </c>
      <c r="B42" s="5">
        <v>136592.0</v>
      </c>
      <c r="C42" s="10">
        <v>97.0</v>
      </c>
      <c r="D42" s="3" t="s">
        <v>282</v>
      </c>
      <c r="E42" s="3">
        <f t="array" ref="E42">xlookup(D42,Sheet3!A:A,Sheet3!B:B)</f>
        <v>1</v>
      </c>
      <c r="F42" s="3" t="s">
        <v>125</v>
      </c>
      <c r="G42" s="3">
        <f t="array" ref="G42">xlookup(F42,Sheet2!A:A,Sheet2!B:B)</f>
        <v>19</v>
      </c>
      <c r="H42" s="3" t="s">
        <v>326</v>
      </c>
      <c r="I42" s="3" t="str">
        <f t="array" ref="I42">JOIN("", SORT(MID(LOWER(H42), SEQUENCE(LEN(H42)), 1)))</f>
        <v>     aaaadeeegghhiijlmnnnntwyz</v>
      </c>
      <c r="J42" s="3" t="s">
        <v>7</v>
      </c>
      <c r="K42" s="3">
        <f t="array" ref="K42">xlookup(J42,Sheet2!A:A,Sheet2!B:B)</f>
        <v>15</v>
      </c>
      <c r="L42" s="3" t="s">
        <v>326</v>
      </c>
      <c r="M42" s="3" t="s">
        <v>76</v>
      </c>
      <c r="N42" s="3">
        <f t="array" ref="N42">xlookup(M42,Sheet2!A:A,Sheet2!B:B)</f>
        <v>24</v>
      </c>
      <c r="O42" s="3" t="s">
        <v>326</v>
      </c>
      <c r="P42" s="4" t="str">
        <f t="shared" si="1"/>
        <v>97 : [19,15,24],</v>
      </c>
      <c r="Q42" s="4" t="str">
        <f t="shared" si="2"/>
        <v>97 : 1,</v>
      </c>
    </row>
    <row r="43">
      <c r="A43" s="3" t="s">
        <v>327</v>
      </c>
      <c r="B43" s="5">
        <v>314880.0</v>
      </c>
      <c r="C43" s="10">
        <v>98.0</v>
      </c>
      <c r="D43" s="3" t="s">
        <v>282</v>
      </c>
      <c r="E43" s="3">
        <f t="array" ref="E43">xlookup(D43,Sheet3!A:A,Sheet3!B:B)</f>
        <v>1</v>
      </c>
      <c r="F43" s="3" t="s">
        <v>125</v>
      </c>
      <c r="G43" s="3">
        <f t="array" ref="G43">xlookup(F43,Sheet2!A:A,Sheet2!B:B)</f>
        <v>19</v>
      </c>
      <c r="H43" s="3" t="s">
        <v>328</v>
      </c>
      <c r="I43" s="3" t="str">
        <f t="array" ref="I43">JOIN("", SORT(MID(LOWER(H43), SEQUENCE(LEN(H43)), 1)))</f>
        <v>    aaaadeeegghhiijlmnnnntwyz</v>
      </c>
      <c r="J43" s="3" t="s">
        <v>7</v>
      </c>
      <c r="K43" s="3">
        <f t="array" ref="K43">xlookup(J43,Sheet2!A:A,Sheet2!B:B)</f>
        <v>15</v>
      </c>
      <c r="L43" s="3" t="s">
        <v>328</v>
      </c>
      <c r="M43" s="3" t="s">
        <v>76</v>
      </c>
      <c r="N43" s="3">
        <f t="array" ref="N43">xlookup(M43,Sheet2!A:A,Sheet2!B:B)</f>
        <v>24</v>
      </c>
      <c r="O43" s="3" t="s">
        <v>328</v>
      </c>
      <c r="P43" s="4" t="str">
        <f t="shared" si="1"/>
        <v>98 : [19,15,24],</v>
      </c>
      <c r="Q43" s="4" t="str">
        <f t="shared" si="2"/>
        <v>98 : 1,</v>
      </c>
    </row>
    <row r="44">
      <c r="A44" s="3" t="s">
        <v>507</v>
      </c>
      <c r="B44" s="5">
        <v>150693.0</v>
      </c>
      <c r="C44" s="10">
        <v>99.0</v>
      </c>
      <c r="D44" s="3" t="s">
        <v>459</v>
      </c>
      <c r="E44" s="3">
        <f t="array" ref="E44">xlookup(D44,Sheet3!A:A,Sheet3!B:B)</f>
        <v>0</v>
      </c>
      <c r="F44" s="3" t="s">
        <v>28</v>
      </c>
      <c r="G44" s="3">
        <f t="array" ref="G44">xlookup(F44,Sheet2!A:A,Sheet2!B:B)</f>
        <v>32</v>
      </c>
      <c r="H44" s="3" t="s">
        <v>508</v>
      </c>
      <c r="I44" s="3" t="str">
        <f t="array" ref="I44">JOIN("", SORT(MID(LOWER(H44), SEQUENCE(LEN(H44)), 1)))</f>
        <v>     ,,aaacdeeehhhhiiiiiiiikkmnnnorrrrrrsstttuuw</v>
      </c>
      <c r="J44" s="3" t="s">
        <v>47</v>
      </c>
      <c r="K44" s="3">
        <f t="array" ref="K44">xlookup(J44,Sheet2!A:A,Sheet2!B:B)</f>
        <v>27</v>
      </c>
      <c r="L44" s="3" t="s">
        <v>508</v>
      </c>
      <c r="M44" s="3" t="s">
        <v>109</v>
      </c>
      <c r="N44" s="3">
        <f t="array" ref="N44">xlookup(M44,Sheet2!A:A,Sheet2!B:B)</f>
        <v>49</v>
      </c>
      <c r="O44" s="3" t="s">
        <v>508</v>
      </c>
      <c r="P44" s="4" t="str">
        <f t="shared" si="1"/>
        <v>99 : [32,27,49],</v>
      </c>
      <c r="Q44" s="4" t="str">
        <f t="shared" si="2"/>
        <v>99 : 0,</v>
      </c>
    </row>
    <row r="45">
      <c r="A45" s="3" t="s">
        <v>27</v>
      </c>
      <c r="B45" s="5">
        <v>110139.0</v>
      </c>
      <c r="C45" s="10">
        <v>100.0</v>
      </c>
      <c r="D45" s="3" t="s">
        <v>1</v>
      </c>
      <c r="E45" s="3">
        <f t="array" ref="E45">xlookup(D45,Sheet3!A:A,Sheet3!B:B)</f>
        <v>5</v>
      </c>
      <c r="F45" s="3" t="s">
        <v>28</v>
      </c>
      <c r="G45" s="3">
        <f t="array" ref="G45">xlookup(F45,Sheet2!A:A,Sheet2!B:B)</f>
        <v>32</v>
      </c>
      <c r="H45" s="3" t="s">
        <v>29</v>
      </c>
      <c r="I45" s="3" t="str">
        <f t="array" ref="I45">JOIN("", SORT(MID(LOWER(H45), SEQUENCE(LEN(H45)), 1)))</f>
        <v>     ,,aaaaacdefhhiiiiiiiklmnnprrrrtvyz</v>
      </c>
      <c r="J45" s="3" t="s">
        <v>30</v>
      </c>
      <c r="K45" s="3">
        <f t="array" ref="K45">xlookup(J45,Sheet2!A:A,Sheet2!B:B)</f>
        <v>13</v>
      </c>
      <c r="L45" s="3" t="s">
        <v>3</v>
      </c>
      <c r="M45" s="3" t="s">
        <v>2</v>
      </c>
      <c r="N45" s="3">
        <f t="array" ref="N45">xlookup(M45,Sheet2!A:A,Sheet2!B:B)</f>
        <v>25</v>
      </c>
      <c r="O45" s="3" t="s">
        <v>3</v>
      </c>
      <c r="P45" s="4" t="str">
        <f t="shared" si="1"/>
        <v>100 : [32,13,25],</v>
      </c>
      <c r="Q45" s="4" t="str">
        <f t="shared" si="2"/>
        <v>100 : 5,</v>
      </c>
    </row>
    <row r="46">
      <c r="A46" s="3" t="s">
        <v>510</v>
      </c>
      <c r="B46" s="5">
        <v>205403.0</v>
      </c>
      <c r="C46" s="10">
        <v>102.0</v>
      </c>
      <c r="D46" s="3" t="s">
        <v>459</v>
      </c>
      <c r="E46" s="3">
        <f t="array" ref="E46">xlookup(D46,Sheet3!A:A,Sheet3!B:B)</f>
        <v>0</v>
      </c>
      <c r="F46" s="3" t="s">
        <v>9</v>
      </c>
      <c r="G46" s="3">
        <f t="array" ref="G46">xlookup(F46,Sheet2!A:A,Sheet2!B:B)</f>
        <v>5</v>
      </c>
      <c r="H46" s="3" t="s">
        <v>511</v>
      </c>
      <c r="I46" s="3" t="str">
        <f t="array" ref="I46">JOIN("", SORT(MID(LOWER(H46), SEQUENCE(LEN(H46)), 1)))</f>
        <v>   ,aaaaaaahhiikknnprrssttuvw</v>
      </c>
      <c r="J46" s="3" t="s">
        <v>125</v>
      </c>
      <c r="K46" s="3">
        <f t="array" ref="K46">xlookup(J46,Sheet2!A:A,Sheet2!B:B)</f>
        <v>19</v>
      </c>
      <c r="L46" s="3" t="s">
        <v>511</v>
      </c>
      <c r="M46" s="3" t="s">
        <v>5</v>
      </c>
      <c r="N46" s="3">
        <f t="array" ref="N46">xlookup(M46,Sheet2!A:A,Sheet2!B:B)</f>
        <v>35</v>
      </c>
      <c r="O46" s="3" t="s">
        <v>511</v>
      </c>
      <c r="P46" s="4" t="str">
        <f t="shared" si="1"/>
        <v>102 : [5,19,35],</v>
      </c>
      <c r="Q46" s="4" t="str">
        <f t="shared" si="2"/>
        <v>102 : 0,</v>
      </c>
    </row>
    <row r="47">
      <c r="A47" s="3" t="s">
        <v>516</v>
      </c>
      <c r="B47" s="5">
        <v>313866.0</v>
      </c>
      <c r="C47" s="10">
        <v>105.0</v>
      </c>
      <c r="D47" s="3" t="s">
        <v>459</v>
      </c>
      <c r="E47" s="3">
        <f t="array" ref="E47">xlookup(D47,Sheet3!A:A,Sheet3!B:B)</f>
        <v>0</v>
      </c>
      <c r="F47" s="3" t="s">
        <v>111</v>
      </c>
      <c r="G47" s="3">
        <f t="array" ref="G47">xlookup(F47,Sheet2!A:A,Sheet2!B:B)</f>
        <v>28</v>
      </c>
      <c r="H47" s="3" t="s">
        <v>517</v>
      </c>
      <c r="I47" s="3" t="str">
        <f t="array" ref="I47">JOIN("", SORT(MID(LOWER(H47), SEQUENCE(LEN(H47)), 1)))</f>
        <v>    aaaaaabddeeffiiiikklnnnnorssw</v>
      </c>
      <c r="J47" s="3" t="s">
        <v>30</v>
      </c>
      <c r="K47" s="3">
        <f t="array" ref="K47">xlookup(J47,Sheet2!A:A,Sheet2!B:B)</f>
        <v>13</v>
      </c>
      <c r="L47" s="3" t="s">
        <v>517</v>
      </c>
      <c r="M47" s="3" t="s">
        <v>114</v>
      </c>
      <c r="N47" s="3">
        <f t="array" ref="N47">xlookup(M47,Sheet2!A:A,Sheet2!B:B)</f>
        <v>12</v>
      </c>
      <c r="O47" s="3" t="s">
        <v>517</v>
      </c>
      <c r="P47" s="4" t="str">
        <f t="shared" si="1"/>
        <v>105 : [28,13,12],</v>
      </c>
      <c r="Q47" s="4" t="str">
        <f t="shared" si="2"/>
        <v>105 : 0,</v>
      </c>
    </row>
    <row r="48">
      <c r="A48" s="3" t="s">
        <v>518</v>
      </c>
      <c r="B48" s="5">
        <v>162277.0</v>
      </c>
      <c r="C48" s="10">
        <v>106.0</v>
      </c>
      <c r="D48" s="3" t="s">
        <v>459</v>
      </c>
      <c r="E48" s="3">
        <f t="array" ref="E48">xlookup(D48,Sheet3!A:A,Sheet3!B:B)</f>
        <v>0</v>
      </c>
      <c r="F48" s="3" t="s">
        <v>111</v>
      </c>
      <c r="G48" s="3">
        <f t="array" ref="G48">xlookup(F48,Sheet2!A:A,Sheet2!B:B)</f>
        <v>28</v>
      </c>
      <c r="H48" s="3" t="s">
        <v>519</v>
      </c>
      <c r="I48" s="3" t="str">
        <f t="array" ref="I48">JOIN("", SORT(MID(LOWER(H48), SEQUENCE(LEN(H48)), 1)))</f>
        <v>   ,aaaaabdeeffiiiikklnnnorssw</v>
      </c>
      <c r="J48" s="3" t="s">
        <v>30</v>
      </c>
      <c r="K48" s="3">
        <f t="array" ref="K48">xlookup(J48,Sheet2!A:A,Sheet2!B:B)</f>
        <v>13</v>
      </c>
      <c r="L48" s="3" t="s">
        <v>519</v>
      </c>
      <c r="M48" s="3" t="s">
        <v>114</v>
      </c>
      <c r="N48" s="3">
        <f t="array" ref="N48">xlookup(M48,Sheet2!A:A,Sheet2!B:B)</f>
        <v>12</v>
      </c>
      <c r="O48" s="3" t="s">
        <v>519</v>
      </c>
      <c r="P48" s="4" t="str">
        <f t="shared" si="1"/>
        <v>106 : [28,13,12],</v>
      </c>
      <c r="Q48" s="4" t="str">
        <f t="shared" si="2"/>
        <v>106 : 0,</v>
      </c>
    </row>
    <row r="49">
      <c r="A49" s="3" t="s">
        <v>520</v>
      </c>
      <c r="B49" s="5">
        <v>150818.0</v>
      </c>
      <c r="C49" s="10">
        <v>107.0</v>
      </c>
      <c r="D49" s="3" t="s">
        <v>459</v>
      </c>
      <c r="E49" s="3">
        <f t="array" ref="E49">xlookup(D49,Sheet3!A:A,Sheet3!B:B)</f>
        <v>0</v>
      </c>
      <c r="F49" s="3" t="s">
        <v>74</v>
      </c>
      <c r="G49" s="3">
        <f t="array" ref="G49">xlookup(F49,Sheet2!A:A,Sheet2!B:B)</f>
        <v>50</v>
      </c>
      <c r="H49" s="3" t="s">
        <v>521</v>
      </c>
      <c r="I49" s="3" t="str">
        <f t="array" ref="I49">JOIN("", SORT(MID(LOWER(H49), SEQUENCE(LEN(H49)), 1)))</f>
        <v>        ,,,aaaabbbeeeeghiillllmmmmnoprrryy</v>
      </c>
      <c r="J49" s="3" t="s">
        <v>96</v>
      </c>
      <c r="K49" s="3">
        <f t="array" ref="K49">xlookup(J49,Sheet2!A:A,Sheet2!B:B)</f>
        <v>47</v>
      </c>
      <c r="L49" s="3" t="s">
        <v>521</v>
      </c>
      <c r="M49" s="3" t="s">
        <v>76</v>
      </c>
      <c r="N49" s="3">
        <f t="array" ref="N49">xlookup(M49,Sheet2!A:A,Sheet2!B:B)</f>
        <v>24</v>
      </c>
      <c r="O49" s="3" t="s">
        <v>521</v>
      </c>
      <c r="P49" s="4" t="str">
        <f t="shared" si="1"/>
        <v>107 : [50,47,24],</v>
      </c>
      <c r="Q49" s="4" t="str">
        <f t="shared" si="2"/>
        <v>107 : 0,</v>
      </c>
    </row>
    <row r="50">
      <c r="A50" s="3" t="s">
        <v>522</v>
      </c>
      <c r="B50" s="5">
        <v>326504.0</v>
      </c>
      <c r="C50" s="10">
        <v>108.0</v>
      </c>
      <c r="D50" s="3" t="s">
        <v>459</v>
      </c>
      <c r="E50" s="3">
        <f t="array" ref="E50">xlookup(D50,Sheet3!A:A,Sheet3!B:B)</f>
        <v>0</v>
      </c>
      <c r="F50" s="3" t="s">
        <v>74</v>
      </c>
      <c r="G50" s="3">
        <f t="array" ref="G50">xlookup(F50,Sheet2!A:A,Sheet2!B:B)</f>
        <v>50</v>
      </c>
      <c r="H50" s="3" t="s">
        <v>523</v>
      </c>
      <c r="I50" s="3" t="str">
        <f t="array" ref="I50">JOIN("", SORT(MID(LOWER(H50), SEQUENCE(LEN(H50)), 1)))</f>
        <v>       ,,,aaaabbbeeeeghiillllmmmmnoprrryy</v>
      </c>
      <c r="J50" s="3" t="s">
        <v>96</v>
      </c>
      <c r="K50" s="3">
        <f t="array" ref="K50">xlookup(J50,Sheet2!A:A,Sheet2!B:B)</f>
        <v>47</v>
      </c>
      <c r="L50" s="3" t="s">
        <v>523</v>
      </c>
      <c r="M50" s="3" t="s">
        <v>76</v>
      </c>
      <c r="N50" s="3">
        <f t="array" ref="N50">xlookup(M50,Sheet2!A:A,Sheet2!B:B)</f>
        <v>24</v>
      </c>
      <c r="O50" s="3" t="s">
        <v>523</v>
      </c>
      <c r="P50" s="4" t="str">
        <f t="shared" si="1"/>
        <v>108 : [50,47,24],</v>
      </c>
      <c r="Q50" s="4" t="str">
        <f t="shared" si="2"/>
        <v>108 : 0,</v>
      </c>
    </row>
    <row r="51">
      <c r="A51" s="3" t="s">
        <v>194</v>
      </c>
      <c r="B51" s="5">
        <v>110300.0</v>
      </c>
      <c r="C51" s="10">
        <v>110.0</v>
      </c>
      <c r="D51" s="3" t="s">
        <v>153</v>
      </c>
      <c r="E51" s="3">
        <f t="array" ref="E51">xlookup(D51,Sheet3!A:A,Sheet3!B:B)</f>
        <v>2</v>
      </c>
      <c r="F51" s="3" t="s">
        <v>109</v>
      </c>
      <c r="G51" s="3">
        <f t="array" ref="G51">xlookup(F51,Sheet2!A:A,Sheet2!B:B)</f>
        <v>49</v>
      </c>
      <c r="H51" s="3" t="s">
        <v>110</v>
      </c>
      <c r="I51" s="3" t="str">
        <f t="array" ref="I51">JOIN("", SORT(MID(LOWER(H51), SEQUENCE(LEN(H51)), 1)))</f>
        <v>     ,,aaaaaaaaabdehhhhiiiiillmmnnnprrrrsstuwyyy</v>
      </c>
      <c r="J51" s="3" t="s">
        <v>47</v>
      </c>
      <c r="K51" s="3">
        <f t="array" ref="K51">xlookup(J51,Sheet2!A:A,Sheet2!B:B)</f>
        <v>27</v>
      </c>
      <c r="L51" s="3" t="s">
        <v>110</v>
      </c>
      <c r="M51" s="3" t="s">
        <v>111</v>
      </c>
      <c r="N51" s="3">
        <f t="array" ref="N51">xlookup(M51,Sheet2!A:A,Sheet2!B:B)</f>
        <v>28</v>
      </c>
      <c r="O51" s="3" t="s">
        <v>110</v>
      </c>
      <c r="P51" s="4" t="str">
        <f t="shared" si="1"/>
        <v>110 : [49,27,28],</v>
      </c>
      <c r="Q51" s="4" t="str">
        <f t="shared" si="2"/>
        <v>110 : 2,</v>
      </c>
    </row>
    <row r="52">
      <c r="A52" s="3" t="s">
        <v>524</v>
      </c>
      <c r="B52" s="5">
        <v>164534.0</v>
      </c>
      <c r="C52" s="10">
        <v>111.0</v>
      </c>
      <c r="D52" s="3" t="s">
        <v>459</v>
      </c>
      <c r="E52" s="3">
        <f t="array" ref="E52">xlookup(D52,Sheet3!A:A,Sheet3!B:B)</f>
        <v>0</v>
      </c>
      <c r="F52" s="3" t="s">
        <v>18</v>
      </c>
      <c r="G52" s="3">
        <f t="array" ref="G52">xlookup(F52,Sheet2!A:A,Sheet2!B:B)</f>
        <v>22</v>
      </c>
      <c r="H52" s="3" t="s">
        <v>525</v>
      </c>
      <c r="I52" s="3" t="str">
        <f t="array" ref="I52">JOIN("", SORT(MID(LOWER(H52), SEQUENCE(LEN(H52)), 1)))</f>
        <v>     ,,aaaaaaaaefhhhiimnnnorrsssssttttuuuy</v>
      </c>
      <c r="J52" s="3" t="s">
        <v>39</v>
      </c>
      <c r="K52" s="3">
        <f t="array" ref="K52">xlookup(J52,Sheet2!A:A,Sheet2!B:B)</f>
        <v>20</v>
      </c>
      <c r="L52" s="3" t="s">
        <v>525</v>
      </c>
      <c r="M52" s="3" t="s">
        <v>74</v>
      </c>
      <c r="N52" s="3">
        <f t="array" ref="N52">xlookup(M52,Sheet2!A:A,Sheet2!B:B)</f>
        <v>50</v>
      </c>
      <c r="O52" s="3" t="s">
        <v>525</v>
      </c>
      <c r="P52" s="4" t="str">
        <f t="shared" si="1"/>
        <v>111 : [22,20,50],</v>
      </c>
      <c r="Q52" s="4" t="str">
        <f t="shared" si="2"/>
        <v>111 : 0,</v>
      </c>
    </row>
    <row r="53">
      <c r="A53" s="3" t="s">
        <v>195</v>
      </c>
      <c r="B53" s="5">
        <v>119330.0</v>
      </c>
      <c r="C53" s="10">
        <v>112.0</v>
      </c>
      <c r="D53" s="3" t="s">
        <v>153</v>
      </c>
      <c r="E53" s="3">
        <f t="array" ref="E53">xlookup(D53,Sheet3!A:A,Sheet3!B:B)</f>
        <v>2</v>
      </c>
      <c r="F53" s="3" t="s">
        <v>64</v>
      </c>
      <c r="G53" s="3">
        <f t="array" ref="G53">xlookup(F53,Sheet2!A:A,Sheet2!B:B)</f>
        <v>30</v>
      </c>
      <c r="H53" s="3" t="s">
        <v>196</v>
      </c>
      <c r="I53" s="3" t="str">
        <f t="array" ref="I53">JOIN("", SORT(MID(LOWER(H53), SEQUENCE(LEN(H53)), 1)))</f>
        <v>    ,aaaaadddeeeeeehiimnnnnprrrstttuvyy</v>
      </c>
      <c r="J53" s="3" t="s">
        <v>63</v>
      </c>
      <c r="K53" s="3">
        <f t="array" ref="K53">xlookup(J53,Sheet2!A:A,Sheet2!B:B)</f>
        <v>29</v>
      </c>
      <c r="L53" s="3" t="s">
        <v>196</v>
      </c>
      <c r="M53" s="3" t="s">
        <v>61</v>
      </c>
      <c r="N53" s="3">
        <f t="array" ref="N53">xlookup(M53,Sheet2!A:A,Sheet2!B:B)</f>
        <v>31</v>
      </c>
      <c r="O53" s="3" t="s">
        <v>196</v>
      </c>
      <c r="P53" s="4" t="str">
        <f t="shared" si="1"/>
        <v>112 : [30,29,31],</v>
      </c>
      <c r="Q53" s="4" t="str">
        <f t="shared" si="2"/>
        <v>112 : 2,</v>
      </c>
    </row>
    <row r="54">
      <c r="A54" s="3" t="s">
        <v>527</v>
      </c>
      <c r="B54" s="5">
        <v>151342.0</v>
      </c>
      <c r="C54" s="10">
        <v>114.0</v>
      </c>
      <c r="D54" s="3" t="s">
        <v>459</v>
      </c>
      <c r="E54" s="3">
        <f t="array" ref="E54">xlookup(D54,Sheet3!A:A,Sheet3!B:B)</f>
        <v>0</v>
      </c>
      <c r="F54" s="3" t="s">
        <v>25</v>
      </c>
      <c r="G54" s="3">
        <f t="array" ref="G54">xlookup(F54,Sheet2!A:A,Sheet2!B:B)</f>
        <v>18</v>
      </c>
      <c r="H54" s="3" t="s">
        <v>527</v>
      </c>
      <c r="I54" s="3" t="str">
        <f t="array" ref="I54">JOIN("", SORT(MID(LOWER(H54), SEQUENCE(LEN(H54)), 1)))</f>
        <v> aaahijnnpprrtu</v>
      </c>
      <c r="J54" s="3" t="s">
        <v>207</v>
      </c>
      <c r="K54" s="3">
        <f t="array" ref="K54">xlookup(J54,Sheet2!A:A,Sheet2!B:B)</f>
        <v>1</v>
      </c>
      <c r="L54" s="3" t="s">
        <v>527</v>
      </c>
      <c r="M54" s="3" t="s">
        <v>309</v>
      </c>
      <c r="N54" s="3">
        <f t="array" ref="N54">xlookup(M54,Sheet2!A:A,Sheet2!B:B)</f>
        <v>40</v>
      </c>
      <c r="O54" s="3" t="s">
        <v>527</v>
      </c>
      <c r="P54" s="4" t="str">
        <f t="shared" si="1"/>
        <v>114 : [18,1,40],</v>
      </c>
      <c r="Q54" s="4" t="str">
        <f t="shared" si="2"/>
        <v>114 : 0,</v>
      </c>
    </row>
    <row r="55">
      <c r="A55" s="3" t="s">
        <v>197</v>
      </c>
      <c r="B55" s="5">
        <v>190651.0</v>
      </c>
      <c r="C55" s="10">
        <v>115.0</v>
      </c>
      <c r="D55" s="3" t="s">
        <v>153</v>
      </c>
      <c r="E55" s="3">
        <f t="array" ref="E55">xlookup(D55,Sheet3!A:A,Sheet3!B:B)</f>
        <v>2</v>
      </c>
      <c r="F55" s="3" t="s">
        <v>64</v>
      </c>
      <c r="G55" s="3">
        <f t="array" ref="G55">xlookup(F55,Sheet2!A:A,Sheet2!B:B)</f>
        <v>30</v>
      </c>
      <c r="H55" s="3" t="s">
        <v>198</v>
      </c>
      <c r="I55" s="3" t="str">
        <f t="array" ref="I55">JOIN("", SORT(MID(LOWER(H55), SEQUENCE(LEN(H55)), 1)))</f>
        <v>   ,aaaaadeeeeehiimnnnnprrstttuvy</v>
      </c>
      <c r="J55" s="3" t="s">
        <v>63</v>
      </c>
      <c r="K55" s="3">
        <f t="array" ref="K55">xlookup(J55,Sheet2!A:A,Sheet2!B:B)</f>
        <v>29</v>
      </c>
      <c r="L55" s="3" t="s">
        <v>198</v>
      </c>
      <c r="M55" s="3" t="s">
        <v>61</v>
      </c>
      <c r="N55" s="3">
        <f t="array" ref="N55">xlookup(M55,Sheet2!A:A,Sheet2!B:B)</f>
        <v>31</v>
      </c>
      <c r="O55" s="3" t="s">
        <v>198</v>
      </c>
      <c r="P55" s="4" t="str">
        <f t="shared" si="1"/>
        <v>115 : [30,29,31],</v>
      </c>
      <c r="Q55" s="4" t="str">
        <f t="shared" si="2"/>
        <v>115 : 2,</v>
      </c>
    </row>
    <row r="56">
      <c r="A56" s="3" t="s">
        <v>31</v>
      </c>
      <c r="B56" s="5">
        <v>115831.0</v>
      </c>
      <c r="C56" s="10">
        <v>117.0</v>
      </c>
      <c r="D56" s="3" t="s">
        <v>1</v>
      </c>
      <c r="E56" s="3">
        <f t="array" ref="E56">xlookup(D56,Sheet3!A:A,Sheet3!B:B)</f>
        <v>5</v>
      </c>
      <c r="F56" s="3" t="s">
        <v>32</v>
      </c>
      <c r="G56" s="3">
        <f t="array" ref="G56">xlookup(F56,Sheet2!A:A,Sheet2!B:B)</f>
        <v>11</v>
      </c>
      <c r="H56" s="3" t="s">
        <v>33</v>
      </c>
      <c r="I56" s="3" t="str">
        <f t="array" ref="I56">JOIN("", SORT(MID(LOWER(H56), SEQUENCE(LEN(H56)), 1)))</f>
        <v>     ,,aaaabcdeeeghhiijkllllnnoooossuwy</v>
      </c>
      <c r="J56" s="3" t="s">
        <v>34</v>
      </c>
      <c r="K56" s="3">
        <f t="array" ref="K56">xlookup(J56,Sheet2!A:A,Sheet2!B:B)</f>
        <v>8</v>
      </c>
      <c r="L56" s="3" t="s">
        <v>33</v>
      </c>
      <c r="M56" s="3" t="s">
        <v>35</v>
      </c>
      <c r="N56" s="3">
        <f t="array" ref="N56">xlookup(M56,Sheet2!A:A,Sheet2!B:B)</f>
        <v>45</v>
      </c>
      <c r="O56" s="3" t="s">
        <v>33</v>
      </c>
      <c r="P56" s="4" t="str">
        <f t="shared" si="1"/>
        <v>117 : [11,8,45],</v>
      </c>
      <c r="Q56" s="4" t="str">
        <f t="shared" si="2"/>
        <v>117 : 5,</v>
      </c>
    </row>
    <row r="57">
      <c r="A57" s="3" t="s">
        <v>530</v>
      </c>
      <c r="B57" s="5">
        <v>150689.0</v>
      </c>
      <c r="C57" s="10">
        <v>120.0</v>
      </c>
      <c r="D57" s="3" t="s">
        <v>459</v>
      </c>
      <c r="E57" s="3">
        <f t="array" ref="E57">xlookup(D57,Sheet3!A:A,Sheet3!B:B)</f>
        <v>0</v>
      </c>
      <c r="F57" s="3" t="s">
        <v>7</v>
      </c>
      <c r="G57" s="3">
        <f t="array" ref="G57">xlookup(F57,Sheet2!A:A,Sheet2!B:B)</f>
        <v>15</v>
      </c>
      <c r="H57" s="3" t="s">
        <v>531</v>
      </c>
      <c r="I57" s="3" t="str">
        <f t="array" ref="I57">JOIN("", SORT(MID(LOWER(H57), SEQUENCE(LEN(H57)), 1)))</f>
        <v>   ,aaaaaaabdeeghijklmmmnnrrssuuuy</v>
      </c>
      <c r="J57" s="3" t="s">
        <v>72</v>
      </c>
      <c r="K57" s="3">
        <f t="array" ref="K57">xlookup(J57,Sheet2!A:A,Sheet2!B:B)</f>
        <v>34</v>
      </c>
      <c r="L57" s="3" t="s">
        <v>531</v>
      </c>
      <c r="M57" s="3" t="s">
        <v>96</v>
      </c>
      <c r="N57" s="3">
        <f t="array" ref="N57">xlookup(M57,Sheet2!A:A,Sheet2!B:B)</f>
        <v>47</v>
      </c>
      <c r="O57" s="3" t="s">
        <v>531</v>
      </c>
      <c r="P57" s="4" t="str">
        <f t="shared" si="1"/>
        <v>120 : [15,34,47],</v>
      </c>
      <c r="Q57" s="4" t="str">
        <f t="shared" si="2"/>
        <v>120 : 0,</v>
      </c>
    </row>
    <row r="58">
      <c r="A58" s="3" t="s">
        <v>533</v>
      </c>
      <c r="B58" s="5">
        <v>119432.0</v>
      </c>
      <c r="C58" s="10">
        <v>123.0</v>
      </c>
      <c r="D58" s="3" t="s">
        <v>459</v>
      </c>
      <c r="E58" s="3">
        <f t="array" ref="E58">xlookup(D58,Sheet3!A:A,Sheet3!B:B)</f>
        <v>0</v>
      </c>
      <c r="F58" s="3" t="s">
        <v>72</v>
      </c>
      <c r="G58" s="3">
        <f t="array" ref="G58">xlookup(F58,Sheet2!A:A,Sheet2!B:B)</f>
        <v>34</v>
      </c>
      <c r="H58" s="3" t="s">
        <v>534</v>
      </c>
      <c r="I58" s="3" t="str">
        <f t="array" ref="I58">JOIN("", SORT(MID(LOWER(H58), SEQUENCE(LEN(H58)), 1)))</f>
        <v>    ,aaaaaddeegghiillnnnrstuyy</v>
      </c>
      <c r="J58" s="3" t="s">
        <v>96</v>
      </c>
      <c r="K58" s="3">
        <f t="array" ref="K58">xlookup(J58,Sheet2!A:A,Sheet2!B:B)</f>
        <v>47</v>
      </c>
      <c r="L58" s="3" t="s">
        <v>534</v>
      </c>
      <c r="M58" s="3" t="s">
        <v>42</v>
      </c>
      <c r="N58" s="3">
        <f t="array" ref="N58">xlookup(M58,Sheet2!A:A,Sheet2!B:B)</f>
        <v>14</v>
      </c>
      <c r="O58" s="3" t="s">
        <v>534</v>
      </c>
      <c r="P58" s="4" t="str">
        <f t="shared" si="1"/>
        <v>123 : [34,47,14],</v>
      </c>
      <c r="Q58" s="4" t="str">
        <f t="shared" si="2"/>
        <v>123 : 0,</v>
      </c>
    </row>
    <row r="59">
      <c r="A59" s="3" t="s">
        <v>331</v>
      </c>
      <c r="B59" s="5">
        <v>136429.0</v>
      </c>
      <c r="C59" s="10">
        <v>127.0</v>
      </c>
      <c r="D59" s="3" t="s">
        <v>282</v>
      </c>
      <c r="E59" s="3">
        <f t="array" ref="E59">xlookup(D59,Sheet3!A:A,Sheet3!B:B)</f>
        <v>1</v>
      </c>
      <c r="F59" s="3" t="s">
        <v>111</v>
      </c>
      <c r="G59" s="3">
        <f t="array" ref="G59">xlookup(F59,Sheet2!A:A,Sheet2!B:B)</f>
        <v>28</v>
      </c>
      <c r="H59" s="3" t="s">
        <v>332</v>
      </c>
      <c r="I59" s="3" t="str">
        <f t="array" ref="I59">JOIN("", SORT(MID(LOWER(H59), SEQUENCE(LEN(H59)), 1)))</f>
        <v>   ,aaaaaeefhhiijmnnnprrrsst</v>
      </c>
      <c r="J59" s="3" t="s">
        <v>109</v>
      </c>
      <c r="K59" s="3">
        <f t="array" ref="K59">xlookup(J59,Sheet2!A:A,Sheet2!B:B)</f>
        <v>49</v>
      </c>
      <c r="L59" s="3" t="s">
        <v>332</v>
      </c>
      <c r="M59" s="3" t="s">
        <v>28</v>
      </c>
      <c r="N59" s="3">
        <f t="array" ref="N59">xlookup(M59,Sheet2!A:A,Sheet2!B:B)</f>
        <v>32</v>
      </c>
      <c r="O59" s="3" t="s">
        <v>332</v>
      </c>
      <c r="P59" s="4" t="str">
        <f t="shared" si="1"/>
        <v>127 : [28,49,32],</v>
      </c>
      <c r="Q59" s="4" t="str">
        <f t="shared" si="2"/>
        <v>127 : 1,</v>
      </c>
    </row>
    <row r="60">
      <c r="A60" s="3" t="s">
        <v>538</v>
      </c>
      <c r="B60" s="5">
        <v>149958.0</v>
      </c>
      <c r="C60" s="10">
        <v>129.0</v>
      </c>
      <c r="D60" s="3" t="s">
        <v>459</v>
      </c>
      <c r="E60" s="3">
        <f t="array" ref="E60">xlookup(D60,Sheet3!A:A,Sheet3!B:B)</f>
        <v>0</v>
      </c>
      <c r="F60" s="3" t="s">
        <v>34</v>
      </c>
      <c r="G60" s="3">
        <f t="array" ref="G60">xlookup(F60,Sheet2!A:A,Sheet2!B:B)</f>
        <v>8</v>
      </c>
      <c r="H60" s="3" t="s">
        <v>539</v>
      </c>
      <c r="I60" s="3" t="str">
        <f t="array" ref="I60">JOIN("", SORT(MID(LOWER(H60), SEQUENCE(LEN(H60)), 1)))</f>
        <v>     ,,aaaceeeeghiklllnnnssuuvxyy</v>
      </c>
      <c r="J60" s="3" t="s">
        <v>28</v>
      </c>
      <c r="K60" s="3">
        <f t="array" ref="K60">xlookup(J60,Sheet2!A:A,Sheet2!B:B)</f>
        <v>32</v>
      </c>
      <c r="L60" s="3" t="s">
        <v>539</v>
      </c>
      <c r="M60" s="3" t="s">
        <v>401</v>
      </c>
      <c r="N60" s="3">
        <f t="array" ref="N60">xlookup(M60,Sheet2!A:A,Sheet2!B:B)</f>
        <v>38</v>
      </c>
      <c r="O60" s="3" t="s">
        <v>539</v>
      </c>
      <c r="P60" s="4" t="str">
        <f t="shared" si="1"/>
        <v>129 : [8,32,38],</v>
      </c>
      <c r="Q60" s="4" t="str">
        <f t="shared" si="2"/>
        <v>129 : 0,</v>
      </c>
    </row>
    <row r="61">
      <c r="A61" s="3" t="s">
        <v>88</v>
      </c>
      <c r="B61" s="5">
        <v>139393.0</v>
      </c>
      <c r="C61" s="10">
        <v>131.0</v>
      </c>
      <c r="D61" s="3" t="s">
        <v>60</v>
      </c>
      <c r="E61" s="3">
        <f t="array" ref="E61">xlookup(D61,Sheet3!A:A,Sheet3!B:B)</f>
        <v>4</v>
      </c>
      <c r="F61" s="3" t="s">
        <v>61</v>
      </c>
      <c r="G61" s="3">
        <f t="array" ref="G61">xlookup(F61,Sheet2!A:A,Sheet2!B:B)</f>
        <v>31</v>
      </c>
      <c r="H61" s="3" t="s">
        <v>89</v>
      </c>
      <c r="I61" s="3" t="str">
        <f t="array" ref="I61">JOIN("", SORT(MID(LOWER(H61), SEQUENCE(LEN(H61)), 1)))</f>
        <v>   ,aaaaaaabehiikklnorsvy</v>
      </c>
      <c r="J61" s="3" t="s">
        <v>64</v>
      </c>
      <c r="K61" s="3">
        <f t="array" ref="K61">xlookup(J61,Sheet2!A:A,Sheet2!B:B)</f>
        <v>30</v>
      </c>
      <c r="L61" s="3" t="s">
        <v>89</v>
      </c>
      <c r="M61" s="3" t="s">
        <v>63</v>
      </c>
      <c r="N61" s="3">
        <f t="array" ref="N61">xlookup(M61,Sheet2!A:A,Sheet2!B:B)</f>
        <v>29</v>
      </c>
      <c r="O61" s="3" t="s">
        <v>89</v>
      </c>
      <c r="P61" s="4" t="str">
        <f t="shared" si="1"/>
        <v>131 : [31,30,29],</v>
      </c>
      <c r="Q61" s="4" t="str">
        <f t="shared" si="2"/>
        <v>131 : 4,</v>
      </c>
    </row>
    <row r="62">
      <c r="A62" s="3" t="s">
        <v>540</v>
      </c>
      <c r="B62" s="5">
        <v>306354.0</v>
      </c>
      <c r="C62" s="10">
        <v>133.0</v>
      </c>
      <c r="D62" s="3" t="s">
        <v>459</v>
      </c>
      <c r="E62" s="3">
        <f t="array" ref="E62">xlookup(D62,Sheet3!A:A,Sheet3!B:B)</f>
        <v>0</v>
      </c>
      <c r="F62" s="3" t="s">
        <v>34</v>
      </c>
      <c r="G62" s="3">
        <f t="array" ref="G62">xlookup(F62,Sheet2!A:A,Sheet2!B:B)</f>
        <v>8</v>
      </c>
      <c r="H62" s="3" t="s">
        <v>541</v>
      </c>
      <c r="I62" s="3" t="str">
        <f t="array" ref="I62">JOIN("", SORT(MID(LOWER(H62), SEQUENCE(LEN(H62)), 1)))</f>
        <v>    aaaacdeeeghllnnnnssuvy</v>
      </c>
      <c r="J62" s="3" t="s">
        <v>28</v>
      </c>
      <c r="K62" s="3">
        <f t="array" ref="K62">xlookup(J62,Sheet2!A:A,Sheet2!B:B)</f>
        <v>32</v>
      </c>
      <c r="L62" s="3" t="s">
        <v>541</v>
      </c>
      <c r="M62" s="3" t="s">
        <v>309</v>
      </c>
      <c r="N62" s="3">
        <f t="array" ref="N62">xlookup(M62,Sheet2!A:A,Sheet2!B:B)</f>
        <v>40</v>
      </c>
      <c r="O62" s="3" t="s">
        <v>541</v>
      </c>
      <c r="P62" s="4" t="str">
        <f t="shared" si="1"/>
        <v>133 : [8,32,40],</v>
      </c>
      <c r="Q62" s="4" t="str">
        <f t="shared" si="2"/>
        <v>133 : 0,</v>
      </c>
    </row>
    <row r="63">
      <c r="A63" s="3" t="s">
        <v>92</v>
      </c>
      <c r="B63" s="5">
        <v>301144.0</v>
      </c>
      <c r="C63" s="10">
        <v>135.0</v>
      </c>
      <c r="D63" s="3" t="s">
        <v>60</v>
      </c>
      <c r="E63" s="3">
        <f t="array" ref="E63">xlookup(D63,Sheet3!A:A,Sheet3!B:B)</f>
        <v>4</v>
      </c>
      <c r="F63" s="3" t="s">
        <v>34</v>
      </c>
      <c r="G63" s="3">
        <f t="array" ref="G63">xlookup(F63,Sheet2!A:A,Sheet2!B:B)</f>
        <v>8</v>
      </c>
      <c r="H63" s="3" t="s">
        <v>93</v>
      </c>
      <c r="I63" s="3" t="str">
        <f t="array" ref="I63">JOIN("", SORT(MID(LOWER(H63), SEQUENCE(LEN(H63)), 1)))</f>
        <v>   ,aaaaaceghhiiknnnorrrstvyyyy</v>
      </c>
      <c r="J63" s="3" t="s">
        <v>64</v>
      </c>
      <c r="K63" s="3">
        <f t="array" ref="K63">xlookup(J63,Sheet2!A:A,Sheet2!B:B)</f>
        <v>30</v>
      </c>
      <c r="L63" s="3" t="s">
        <v>93</v>
      </c>
      <c r="M63" s="3" t="s">
        <v>21</v>
      </c>
      <c r="N63" s="3">
        <f t="array" ref="N63">xlookup(M63,Sheet2!A:A,Sheet2!B:B)</f>
        <v>10</v>
      </c>
      <c r="O63" s="3" t="s">
        <v>93</v>
      </c>
      <c r="P63" s="4" t="str">
        <f t="shared" si="1"/>
        <v>135 : [8,30,10],</v>
      </c>
      <c r="Q63" s="4" t="str">
        <f t="shared" si="2"/>
        <v>135 : 4,</v>
      </c>
    </row>
    <row r="64">
      <c r="A64" s="3" t="s">
        <v>336</v>
      </c>
      <c r="B64" s="5">
        <v>164111.0</v>
      </c>
      <c r="C64" s="10">
        <v>138.0</v>
      </c>
      <c r="D64" s="3" t="s">
        <v>282</v>
      </c>
      <c r="E64" s="3">
        <f t="array" ref="E64">xlookup(D64,Sheet3!A:A,Sheet3!B:B)</f>
        <v>1</v>
      </c>
      <c r="F64" s="3" t="s">
        <v>61</v>
      </c>
      <c r="G64" s="3">
        <f t="array" ref="G64">xlookup(F64,Sheet2!A:A,Sheet2!B:B)</f>
        <v>31</v>
      </c>
      <c r="H64" s="3" t="s">
        <v>337</v>
      </c>
      <c r="I64" s="3" t="str">
        <f t="array" ref="I64">JOIN("", SORT(MID(LOWER(H64), SEQUENCE(LEN(H64)), 1)))</f>
        <v>     ,,aaaaaaaaaaaaaaaaadhhiiiiikkknnnnnnpprrrsstvyyy</v>
      </c>
      <c r="J64" s="3" t="s">
        <v>26</v>
      </c>
      <c r="K64" s="3">
        <f t="array" ref="K64">xlookup(J64,Sheet2!A:A,Sheet2!B:B)</f>
        <v>7</v>
      </c>
      <c r="L64" s="3" t="s">
        <v>337</v>
      </c>
      <c r="M64" s="3" t="s">
        <v>34</v>
      </c>
      <c r="N64" s="3">
        <f t="array" ref="N64">xlookup(M64,Sheet2!A:A,Sheet2!B:B)</f>
        <v>8</v>
      </c>
      <c r="O64" s="3" t="s">
        <v>337</v>
      </c>
      <c r="P64" s="4" t="str">
        <f t="shared" si="1"/>
        <v>138 : [31,7,8],</v>
      </c>
      <c r="Q64" s="4" t="str">
        <f t="shared" si="2"/>
        <v>138 : 1,</v>
      </c>
    </row>
    <row r="65">
      <c r="A65" s="3" t="s">
        <v>544</v>
      </c>
      <c r="B65" s="5">
        <v>195481.0</v>
      </c>
      <c r="C65" s="10">
        <v>144.0</v>
      </c>
      <c r="D65" s="3" t="s">
        <v>459</v>
      </c>
      <c r="E65" s="3">
        <f t="array" ref="E65">xlookup(D65,Sheet3!A:A,Sheet3!B:B)</f>
        <v>0</v>
      </c>
      <c r="F65" s="3" t="s">
        <v>109</v>
      </c>
      <c r="G65" s="3">
        <f t="array" ref="G65">xlookup(F65,Sheet2!A:A,Sheet2!B:B)</f>
        <v>49</v>
      </c>
      <c r="H65" s="3" t="s">
        <v>545</v>
      </c>
      <c r="I65" s="3" t="str">
        <f t="array" ref="I65">JOIN("", SORT(MID(LOWER(H65), SEQUENCE(LEN(H65)), 1)))</f>
        <v>     ,,aaaaaaaaabddeeggghhiiijkllmnnnnnorrrrsstuy</v>
      </c>
      <c r="J65" s="3" t="s">
        <v>184</v>
      </c>
      <c r="K65" s="3">
        <f t="array" ref="K65">xlookup(J65,Sheet2!A:A,Sheet2!B:B)</f>
        <v>4</v>
      </c>
      <c r="L65" s="3" t="s">
        <v>545</v>
      </c>
      <c r="M65" s="3" t="s">
        <v>63</v>
      </c>
      <c r="N65" s="3">
        <f t="array" ref="N65">xlookup(M65,Sheet2!A:A,Sheet2!B:B)</f>
        <v>29</v>
      </c>
      <c r="O65" s="3" t="s">
        <v>545</v>
      </c>
      <c r="P65" s="4" t="str">
        <f t="shared" si="1"/>
        <v>144 : [49,4,29],</v>
      </c>
      <c r="Q65" s="4" t="str">
        <f t="shared" si="2"/>
        <v>144 : 0,</v>
      </c>
    </row>
    <row r="66">
      <c r="A66" s="3" t="s">
        <v>344</v>
      </c>
      <c r="B66" s="5">
        <v>312216.0</v>
      </c>
      <c r="C66" s="10">
        <v>150.0</v>
      </c>
      <c r="D66" s="3" t="s">
        <v>282</v>
      </c>
      <c r="E66" s="3">
        <f t="array" ref="E66">xlookup(D66,Sheet3!A:A,Sheet3!B:B)</f>
        <v>1</v>
      </c>
      <c r="F66" s="3" t="s">
        <v>212</v>
      </c>
      <c r="G66" s="3">
        <f t="array" ref="G66">xlookup(F66,Sheet2!A:A,Sheet2!B:B)</f>
        <v>2</v>
      </c>
      <c r="H66" s="3" t="s">
        <v>345</v>
      </c>
      <c r="I66" s="3" t="str">
        <f t="array" ref="I66">JOIN("", SORT(MID(LOWER(H66), SEQUENCE(LEN(H66)), 1)))</f>
        <v> aaaabhhhikmnostty</v>
      </c>
      <c r="J66" s="3" t="s">
        <v>39</v>
      </c>
      <c r="K66" s="3">
        <f t="array" ref="K66">xlookup(J66,Sheet2!A:A,Sheet2!B:B)</f>
        <v>20</v>
      </c>
      <c r="L66" s="3" t="s">
        <v>345</v>
      </c>
      <c r="M66" s="3" t="s">
        <v>40</v>
      </c>
      <c r="N66" s="3">
        <f t="array" ref="N66">xlookup(M66,Sheet2!A:A,Sheet2!B:B)</f>
        <v>44</v>
      </c>
      <c r="O66" s="3" t="s">
        <v>345</v>
      </c>
      <c r="P66" s="4" t="str">
        <f t="shared" si="1"/>
        <v>150 : [2,20,44],</v>
      </c>
      <c r="Q66" s="4" t="str">
        <f t="shared" si="2"/>
        <v>150 : 1,</v>
      </c>
    </row>
    <row r="67">
      <c r="A67" s="3" t="s">
        <v>547</v>
      </c>
      <c r="B67" s="5">
        <v>204806.0</v>
      </c>
      <c r="C67" s="10">
        <v>151.0</v>
      </c>
      <c r="D67" s="3" t="s">
        <v>459</v>
      </c>
      <c r="E67" s="3">
        <f t="array" ref="E67">xlookup(D67,Sheet3!A:A,Sheet3!B:B)</f>
        <v>0</v>
      </c>
      <c r="F67" s="3" t="s">
        <v>7</v>
      </c>
      <c r="G67" s="3">
        <f t="array" ref="G67">xlookup(F67,Sheet2!A:A,Sheet2!B:B)</f>
        <v>15</v>
      </c>
      <c r="H67" s="3" t="s">
        <v>548</v>
      </c>
      <c r="I67" s="3" t="str">
        <f t="array" ref="I67">JOIN("", SORT(MID(LOWER(H67), SEQUENCE(LEN(H67)), 1)))</f>
        <v>   ,aeehiiijlnnnnrsuuw</v>
      </c>
      <c r="J67" s="3" t="s">
        <v>9</v>
      </c>
      <c r="K67" s="3">
        <f t="array" ref="K67">xlookup(J67,Sheet2!A:A,Sheet2!B:B)</f>
        <v>5</v>
      </c>
      <c r="L67" s="3" t="s">
        <v>549</v>
      </c>
      <c r="M67" s="3" t="s">
        <v>7</v>
      </c>
      <c r="N67" s="3">
        <f t="array" ref="N67">xlookup(M67,Sheet2!A:A,Sheet2!B:B)</f>
        <v>15</v>
      </c>
      <c r="O67" s="3" t="s">
        <v>550</v>
      </c>
      <c r="P67" s="4" t="str">
        <f t="shared" si="1"/>
        <v>151 : [15,5,15],</v>
      </c>
      <c r="Q67" s="4" t="str">
        <f t="shared" si="2"/>
        <v>151 : 0,</v>
      </c>
    </row>
    <row r="68">
      <c r="A68" s="3" t="s">
        <v>209</v>
      </c>
      <c r="B68" s="5">
        <v>301809.0</v>
      </c>
      <c r="C68" s="10">
        <v>152.0</v>
      </c>
      <c r="D68" s="3" t="s">
        <v>153</v>
      </c>
      <c r="E68" s="3">
        <f t="array" ref="E68">xlookup(D68,Sheet3!A:A,Sheet3!B:B)</f>
        <v>2</v>
      </c>
      <c r="F68" s="3" t="s">
        <v>47</v>
      </c>
      <c r="G68" s="3">
        <f t="array" ref="G68">xlookup(F68,Sheet2!A:A,Sheet2!B:B)</f>
        <v>27</v>
      </c>
      <c r="H68" s="3" t="s">
        <v>210</v>
      </c>
      <c r="I68" s="3" t="str">
        <f t="array" ref="I68">JOIN("", SORT(MID(LOWER(H68), SEQUENCE(LEN(H68)), 1)))</f>
        <v>   ,aaaadghhiiimnnorrsstt</v>
      </c>
      <c r="J68" s="3" t="s">
        <v>25</v>
      </c>
      <c r="K68" s="3">
        <f t="array" ref="K68">xlookup(J68,Sheet2!A:A,Sheet2!B:B)</f>
        <v>18</v>
      </c>
      <c r="L68" s="3" t="s">
        <v>210</v>
      </c>
      <c r="M68" s="3" t="s">
        <v>109</v>
      </c>
      <c r="N68" s="3">
        <f t="array" ref="N68">xlookup(M68,Sheet2!A:A,Sheet2!B:B)</f>
        <v>49</v>
      </c>
      <c r="O68" s="3" t="s">
        <v>210</v>
      </c>
      <c r="P68" s="4" t="str">
        <f t="shared" si="1"/>
        <v>152 : [27,18,49],</v>
      </c>
      <c r="Q68" s="4" t="str">
        <f t="shared" si="2"/>
        <v>152 : 2,</v>
      </c>
    </row>
    <row r="69">
      <c r="A69" s="3" t="s">
        <v>94</v>
      </c>
      <c r="B69" s="5">
        <v>111849.0</v>
      </c>
      <c r="C69" s="10">
        <v>153.0</v>
      </c>
      <c r="D69" s="3" t="s">
        <v>60</v>
      </c>
      <c r="E69" s="3">
        <f t="array" ref="E69">xlookup(D69,Sheet3!A:A,Sheet3!B:B)</f>
        <v>4</v>
      </c>
      <c r="F69" s="3" t="s">
        <v>10</v>
      </c>
      <c r="G69" s="3">
        <f t="array" ref="G69">xlookup(F69,Sheet2!A:A,Sheet2!B:B)</f>
        <v>9</v>
      </c>
      <c r="H69" s="3" t="s">
        <v>95</v>
      </c>
      <c r="I69" s="3" t="str">
        <f t="array" ref="I69">JOIN("", SORT(MID(LOWER(H69), SEQUENCE(LEN(H69)), 1)))</f>
        <v>  aaaaaabbhiilmnnrsssuvw</v>
      </c>
      <c r="J69" s="3" t="s">
        <v>96</v>
      </c>
      <c r="K69" s="3">
        <f t="array" ref="K69">xlookup(J69,Sheet2!A:A,Sheet2!B:B)</f>
        <v>47</v>
      </c>
      <c r="L69" s="3" t="s">
        <v>95</v>
      </c>
      <c r="M69" s="3" t="s">
        <v>16</v>
      </c>
      <c r="N69" s="3">
        <f t="array" ref="N69">xlookup(M69,Sheet2!A:A,Sheet2!B:B)</f>
        <v>3</v>
      </c>
      <c r="O69" s="3" t="s">
        <v>95</v>
      </c>
      <c r="P69" s="4" t="str">
        <f t="shared" si="1"/>
        <v>153 : [9,47,3],</v>
      </c>
      <c r="Q69" s="4" t="str">
        <f t="shared" si="2"/>
        <v>153 : 4,</v>
      </c>
    </row>
    <row r="70">
      <c r="A70" s="3" t="s">
        <v>551</v>
      </c>
      <c r="B70" s="5">
        <v>179850.0</v>
      </c>
      <c r="C70" s="10">
        <v>156.0</v>
      </c>
      <c r="D70" s="3" t="s">
        <v>459</v>
      </c>
      <c r="E70" s="3">
        <f t="array" ref="E70">xlookup(D70,Sheet3!A:A,Sheet3!B:B)</f>
        <v>0</v>
      </c>
      <c r="F70" s="3" t="s">
        <v>76</v>
      </c>
      <c r="G70" s="3">
        <f t="array" ref="G70">xlookup(F70,Sheet2!A:A,Sheet2!B:B)</f>
        <v>24</v>
      </c>
      <c r="H70" s="3" t="s">
        <v>552</v>
      </c>
      <c r="I70" s="3" t="str">
        <f t="array" ref="I70">JOIN("", SORT(MID(LOWER(H70), SEQUENCE(LEN(H70)), 1)))</f>
        <v>      aaaaaaaadhhiiiikkklmmnnnprsssuy</v>
      </c>
      <c r="J70" s="3" t="s">
        <v>7</v>
      </c>
      <c r="K70" s="3">
        <f t="array" ref="K70">xlookup(J70,Sheet2!A:A,Sheet2!B:B)</f>
        <v>15</v>
      </c>
      <c r="L70" s="3" t="s">
        <v>552</v>
      </c>
      <c r="M70" s="3" t="s">
        <v>72</v>
      </c>
      <c r="N70" s="3">
        <f t="array" ref="N70">xlookup(M70,Sheet2!A:A,Sheet2!B:B)</f>
        <v>34</v>
      </c>
      <c r="O70" s="3" t="s">
        <v>553</v>
      </c>
      <c r="P70" s="4" t="str">
        <f t="shared" si="1"/>
        <v>156 : [24,15,34],</v>
      </c>
      <c r="Q70" s="4" t="str">
        <f t="shared" si="2"/>
        <v>156 : 0,</v>
      </c>
    </row>
    <row r="71">
      <c r="A71" s="3" t="s">
        <v>346</v>
      </c>
      <c r="B71" s="5">
        <v>327227.0</v>
      </c>
      <c r="C71" s="10">
        <v>158.0</v>
      </c>
      <c r="D71" s="3" t="s">
        <v>282</v>
      </c>
      <c r="E71" s="3">
        <f t="array" ref="E71">xlookup(D71,Sheet3!A:A,Sheet3!B:B)</f>
        <v>1</v>
      </c>
      <c r="F71" s="3" t="s">
        <v>76</v>
      </c>
      <c r="G71" s="3">
        <f t="array" ref="G71">xlookup(F71,Sheet2!A:A,Sheet2!B:B)</f>
        <v>24</v>
      </c>
      <c r="H71" s="3" t="s">
        <v>315</v>
      </c>
      <c r="I71" s="3" t="str">
        <f t="array" ref="I71">JOIN("", SORT(MID(LOWER(H71), SEQUENCE(LEN(H71)), 1)))</f>
        <v>  aaehinnnooppstty</v>
      </c>
      <c r="J71" s="3" t="s">
        <v>74</v>
      </c>
      <c r="K71" s="3">
        <f t="array" ref="K71">xlookup(J71,Sheet2!A:A,Sheet2!B:B)</f>
        <v>50</v>
      </c>
      <c r="L71" s="3" t="s">
        <v>315</v>
      </c>
      <c r="M71" s="3" t="s">
        <v>125</v>
      </c>
      <c r="N71" s="3">
        <f t="array" ref="N71">xlookup(M71,Sheet2!A:A,Sheet2!B:B)</f>
        <v>19</v>
      </c>
      <c r="O71" s="3" t="s">
        <v>315</v>
      </c>
      <c r="P71" s="4" t="str">
        <f t="shared" si="1"/>
        <v>158 : [24,50,19],</v>
      </c>
      <c r="Q71" s="4" t="str">
        <f t="shared" si="2"/>
        <v>158 : 1,</v>
      </c>
    </row>
    <row r="72">
      <c r="A72" s="3" t="s">
        <v>129</v>
      </c>
      <c r="B72" s="5">
        <v>148882.0</v>
      </c>
      <c r="C72" s="10">
        <v>161.0</v>
      </c>
      <c r="D72" s="3" t="s">
        <v>118</v>
      </c>
      <c r="E72" s="3">
        <f t="array" ref="E72">xlookup(D72,Sheet3!A:A,Sheet3!B:B)</f>
        <v>3</v>
      </c>
      <c r="F72" s="3" t="s">
        <v>10</v>
      </c>
      <c r="G72" s="3">
        <f t="array" ref="G72">xlookup(F72,Sheet2!A:A,Sheet2!B:B)</f>
        <v>9</v>
      </c>
      <c r="H72" s="3" t="s">
        <v>130</v>
      </c>
      <c r="I72" s="3" t="str">
        <f t="array" ref="I72">JOIN("", SORT(MID(LOWER(H72), SEQUENCE(LEN(H72)), 1)))</f>
        <v>   ,aaaaaaaabbhiiklllmnnnrrrssstuuuvw</v>
      </c>
      <c r="J72" s="3" t="s">
        <v>96</v>
      </c>
      <c r="K72" s="3">
        <f t="array" ref="K72">xlookup(J72,Sheet2!A:A,Sheet2!B:B)</f>
        <v>47</v>
      </c>
      <c r="L72" s="3" t="s">
        <v>130</v>
      </c>
      <c r="M72" s="3" t="s">
        <v>38</v>
      </c>
      <c r="N72" s="3">
        <f t="array" ref="N72">xlookup(M72,Sheet2!A:A,Sheet2!B:B)</f>
        <v>6</v>
      </c>
      <c r="O72" s="3" t="s">
        <v>130</v>
      </c>
      <c r="P72" s="4" t="str">
        <f t="shared" si="1"/>
        <v>161 : [9,47,6],</v>
      </c>
      <c r="Q72" s="4" t="str">
        <f t="shared" si="2"/>
        <v>161 : 3,</v>
      </c>
    </row>
    <row r="73">
      <c r="A73" s="3" t="s">
        <v>557</v>
      </c>
      <c r="B73" s="5">
        <v>209436.0</v>
      </c>
      <c r="C73" s="10">
        <v>162.0</v>
      </c>
      <c r="D73" s="3" t="s">
        <v>459</v>
      </c>
      <c r="E73" s="3">
        <f t="array" ref="E73">xlookup(D73,Sheet3!A:A,Sheet3!B:B)</f>
        <v>0</v>
      </c>
      <c r="F73" s="3" t="s">
        <v>109</v>
      </c>
      <c r="G73" s="3">
        <f t="array" ref="G73">xlookup(F73,Sheet2!A:A,Sheet2!B:B)</f>
        <v>49</v>
      </c>
      <c r="H73" s="3" t="s">
        <v>558</v>
      </c>
      <c r="I73" s="3" t="str">
        <f t="array" ref="I73">JOIN("", SORT(MID(LOWER(H73), SEQUENCE(LEN(H73)), 1)))</f>
        <v>     ,,aaaaaaaaacddeeehhhhiiiiklmrrrsttvwyy</v>
      </c>
      <c r="J73" s="3" t="s">
        <v>47</v>
      </c>
      <c r="K73" s="3">
        <f t="array" ref="K73">xlookup(J73,Sheet2!A:A,Sheet2!B:B)</f>
        <v>27</v>
      </c>
      <c r="L73" s="3" t="s">
        <v>559</v>
      </c>
      <c r="M73" s="3" t="s">
        <v>139</v>
      </c>
      <c r="N73" s="3">
        <f t="array" ref="N73">xlookup(M73,Sheet2!A:A,Sheet2!B:B)</f>
        <v>21</v>
      </c>
      <c r="O73" s="3" t="s">
        <v>558</v>
      </c>
      <c r="P73" s="4" t="str">
        <f t="shared" si="1"/>
        <v>162 : [49,27,21],</v>
      </c>
      <c r="Q73" s="4" t="str">
        <f t="shared" si="2"/>
        <v>162 : 0,</v>
      </c>
    </row>
    <row r="74">
      <c r="A74" s="3" t="s">
        <v>349</v>
      </c>
      <c r="B74" s="5">
        <v>111261.0</v>
      </c>
      <c r="C74" s="10">
        <v>164.0</v>
      </c>
      <c r="D74" s="3" t="s">
        <v>282</v>
      </c>
      <c r="E74" s="3">
        <f t="array" ref="E74">xlookup(D74,Sheet3!A:A,Sheet3!B:B)</f>
        <v>1</v>
      </c>
      <c r="F74" s="3" t="s">
        <v>20</v>
      </c>
      <c r="G74" s="3">
        <f t="array" ref="G74">xlookup(F74,Sheet2!A:A,Sheet2!B:B)</f>
        <v>48</v>
      </c>
      <c r="H74" s="3" t="s">
        <v>350</v>
      </c>
      <c r="I74" s="3" t="str">
        <f t="array" ref="I74">JOIN("", SORT(MID(LOWER(H74), SEQUENCE(LEN(H74)), 1)))</f>
        <v>   ,aaaaeeeghhikklmnrssuwx</v>
      </c>
      <c r="J74" s="3" t="s">
        <v>18</v>
      </c>
      <c r="K74" s="3">
        <f t="array" ref="K74">xlookup(J74,Sheet2!A:A,Sheet2!B:B)</f>
        <v>22</v>
      </c>
      <c r="L74" s="3" t="s">
        <v>350</v>
      </c>
      <c r="M74" s="3" t="s">
        <v>170</v>
      </c>
      <c r="N74" s="3">
        <f t="array" ref="N74">xlookup(M74,Sheet2!A:A,Sheet2!B:B)</f>
        <v>16</v>
      </c>
      <c r="O74" s="3" t="s">
        <v>350</v>
      </c>
      <c r="P74" s="4" t="str">
        <f t="shared" si="1"/>
        <v>164 : [48,22,16],</v>
      </c>
      <c r="Q74" s="4" t="str">
        <f t="shared" si="2"/>
        <v>164 : 1,</v>
      </c>
    </row>
    <row r="75">
      <c r="A75" s="3" t="s">
        <v>351</v>
      </c>
      <c r="B75" s="5">
        <v>301719.0</v>
      </c>
      <c r="C75" s="10">
        <v>168.0</v>
      </c>
      <c r="D75" s="3" t="s">
        <v>282</v>
      </c>
      <c r="E75" s="3">
        <f t="array" ref="E75">xlookup(D75,Sheet3!A:A,Sheet3!B:B)</f>
        <v>1</v>
      </c>
      <c r="F75" s="3" t="s">
        <v>72</v>
      </c>
      <c r="G75" s="3">
        <f t="array" ref="G75">xlookup(F75,Sheet2!A:A,Sheet2!B:B)</f>
        <v>34</v>
      </c>
      <c r="H75" s="3" t="s">
        <v>352</v>
      </c>
      <c r="I75" s="3" t="str">
        <f t="array" ref="I75">JOIN("", SORT(MID(LOWER(H75), SEQUENCE(LEN(H75)), 1)))</f>
        <v>   ,aaaaaaaaaghhiiiikkkmmnnnrrsstttu</v>
      </c>
      <c r="J75" s="3" t="s">
        <v>96</v>
      </c>
      <c r="K75" s="3">
        <f t="array" ref="K75">xlookup(J75,Sheet2!A:A,Sheet2!B:B)</f>
        <v>47</v>
      </c>
      <c r="L75" s="3" t="s">
        <v>352</v>
      </c>
      <c r="M75" s="3" t="s">
        <v>10</v>
      </c>
      <c r="N75" s="3">
        <f t="array" ref="N75">xlookup(M75,Sheet2!A:A,Sheet2!B:B)</f>
        <v>9</v>
      </c>
      <c r="O75" s="3" t="s">
        <v>352</v>
      </c>
      <c r="P75" s="4" t="str">
        <f t="shared" si="1"/>
        <v>168 : [34,47,9],</v>
      </c>
      <c r="Q75" s="4" t="str">
        <f t="shared" si="2"/>
        <v>168 : 1,</v>
      </c>
    </row>
    <row r="76">
      <c r="A76" s="3" t="s">
        <v>216</v>
      </c>
      <c r="B76" s="5">
        <v>119930.0</v>
      </c>
      <c r="C76" s="10">
        <v>171.0</v>
      </c>
      <c r="D76" s="3" t="s">
        <v>153</v>
      </c>
      <c r="E76" s="3">
        <f t="array" ref="E76">xlookup(D76,Sheet3!A:A,Sheet3!B:B)</f>
        <v>2</v>
      </c>
      <c r="F76" s="3" t="s">
        <v>74</v>
      </c>
      <c r="G76" s="3">
        <f t="array" ref="G76">xlookup(F76,Sheet2!A:A,Sheet2!B:B)</f>
        <v>50</v>
      </c>
      <c r="H76" s="3" t="s">
        <v>217</v>
      </c>
      <c r="I76" s="3" t="str">
        <f t="array" ref="I76">JOIN("", SORT(MID(LOWER(H76), SEQUENCE(LEN(H76)), 1)))</f>
        <v>   ,aaaeegghhhiilllmnnnwzz</v>
      </c>
      <c r="J76" s="3" t="s">
        <v>76</v>
      </c>
      <c r="K76" s="3">
        <f t="array" ref="K76">xlookup(J76,Sheet2!A:A,Sheet2!B:B)</f>
        <v>24</v>
      </c>
      <c r="L76" s="3" t="s">
        <v>217</v>
      </c>
      <c r="M76" s="3" t="s">
        <v>125</v>
      </c>
      <c r="N76" s="3">
        <f t="array" ref="N76">xlookup(M76,Sheet2!A:A,Sheet2!B:B)</f>
        <v>19</v>
      </c>
      <c r="O76" s="3" t="s">
        <v>217</v>
      </c>
      <c r="P76" s="4" t="str">
        <f t="shared" si="1"/>
        <v>171 : [50,24,19],</v>
      </c>
      <c r="Q76" s="4" t="str">
        <f t="shared" si="2"/>
        <v>171 : 2,</v>
      </c>
    </row>
    <row r="77">
      <c r="A77" s="3" t="s">
        <v>566</v>
      </c>
      <c r="B77" s="5">
        <v>204860.0</v>
      </c>
      <c r="C77" s="10">
        <v>173.0</v>
      </c>
      <c r="D77" s="3" t="s">
        <v>459</v>
      </c>
      <c r="E77" s="3">
        <f t="array" ref="E77">xlookup(D77,Sheet3!A:A,Sheet3!B:B)</f>
        <v>0</v>
      </c>
      <c r="F77" s="3" t="s">
        <v>9</v>
      </c>
      <c r="G77" s="3">
        <f t="array" ref="G77">xlookup(F77,Sheet2!A:A,Sheet2!B:B)</f>
        <v>5</v>
      </c>
      <c r="H77" s="3" t="s">
        <v>567</v>
      </c>
      <c r="I77" s="3" t="str">
        <f t="array" ref="I77">JOIN("", SORT(MID(LOWER(H77), SEQUENCE(LEN(H77)), 1)))</f>
        <v>   ,aaeehiijlmnnsttuuwy</v>
      </c>
      <c r="J77" s="3" t="s">
        <v>7</v>
      </c>
      <c r="K77" s="3">
        <f t="array" ref="K77">xlookup(J77,Sheet2!A:A,Sheet2!B:B)</f>
        <v>15</v>
      </c>
      <c r="L77" s="3" t="s">
        <v>567</v>
      </c>
      <c r="M77" s="3" t="s">
        <v>309</v>
      </c>
      <c r="N77" s="3">
        <f t="array" ref="N77">xlookup(M77,Sheet2!A:A,Sheet2!B:B)</f>
        <v>40</v>
      </c>
      <c r="O77" s="3" t="s">
        <v>3</v>
      </c>
      <c r="P77" s="4" t="str">
        <f t="shared" si="1"/>
        <v>173 : [5,15,40],</v>
      </c>
      <c r="Q77" s="4" t="str">
        <f t="shared" si="2"/>
        <v>173 : 0,</v>
      </c>
    </row>
    <row r="78">
      <c r="A78" s="3" t="s">
        <v>88</v>
      </c>
      <c r="B78" s="5">
        <v>165873.0</v>
      </c>
      <c r="C78" s="10">
        <v>175.0</v>
      </c>
      <c r="D78" s="3" t="s">
        <v>459</v>
      </c>
      <c r="E78" s="3">
        <f t="array" ref="E78">xlookup(D78,Sheet3!A:A,Sheet3!B:B)</f>
        <v>0</v>
      </c>
      <c r="F78" s="3" t="s">
        <v>109</v>
      </c>
      <c r="G78" s="3">
        <f t="array" ref="G78">xlookup(F78,Sheet2!A:A,Sheet2!B:B)</f>
        <v>49</v>
      </c>
      <c r="H78" s="3" t="s">
        <v>568</v>
      </c>
      <c r="I78" s="3" t="str">
        <f t="array" ref="I78">JOIN("", SORT(MID(LOWER(H78), SEQUENCE(LEN(H78)), 1)))</f>
        <v>      ,,aaaaaaaaacddeeehhhhiiiiklmrrrsttvwyy</v>
      </c>
      <c r="J78" s="3" t="s">
        <v>47</v>
      </c>
      <c r="K78" s="3">
        <f t="array" ref="K78">xlookup(J78,Sheet2!A:A,Sheet2!B:B)</f>
        <v>27</v>
      </c>
      <c r="L78" s="3" t="s">
        <v>568</v>
      </c>
      <c r="M78" s="3" t="s">
        <v>139</v>
      </c>
      <c r="N78" s="3">
        <f t="array" ref="N78">xlookup(M78,Sheet2!A:A,Sheet2!B:B)</f>
        <v>21</v>
      </c>
      <c r="O78" s="3" t="s">
        <v>568</v>
      </c>
      <c r="P78" s="4" t="str">
        <f t="shared" si="1"/>
        <v>175 : [49,27,21],</v>
      </c>
      <c r="Q78" s="4" t="str">
        <f t="shared" si="2"/>
        <v>175 : 0,</v>
      </c>
    </row>
    <row r="79">
      <c r="A79" s="3" t="s">
        <v>219</v>
      </c>
      <c r="B79" s="5">
        <v>109668.0</v>
      </c>
      <c r="C79" s="10">
        <v>176.0</v>
      </c>
      <c r="D79" s="3" t="s">
        <v>153</v>
      </c>
      <c r="E79" s="3">
        <f t="array" ref="E79">xlookup(D79,Sheet3!A:A,Sheet3!B:B)</f>
        <v>2</v>
      </c>
      <c r="F79" s="3" t="s">
        <v>32</v>
      </c>
      <c r="G79" s="3">
        <f t="array" ref="G79">xlookup(F79,Sheet2!A:A,Sheet2!B:B)</f>
        <v>11</v>
      </c>
      <c r="H79" s="3" t="s">
        <v>220</v>
      </c>
      <c r="I79" s="3" t="str">
        <f t="array" ref="I79">JOIN("", SORT(MID(LOWER(H79), SEQUENCE(LEN(H79)), 1)))</f>
        <v>     ,,aaaaaaaaaaaabddeghhhhiijjmmmnnorrrrrrsstuvwy</v>
      </c>
      <c r="J79" s="3" t="s">
        <v>47</v>
      </c>
      <c r="K79" s="3">
        <f t="array" ref="K79">xlookup(J79,Sheet2!A:A,Sheet2!B:B)</f>
        <v>27</v>
      </c>
      <c r="L79" s="3" t="s">
        <v>220</v>
      </c>
      <c r="M79" s="3" t="s">
        <v>111</v>
      </c>
      <c r="N79" s="3">
        <f t="array" ref="N79">xlookup(M79,Sheet2!A:A,Sheet2!B:B)</f>
        <v>28</v>
      </c>
      <c r="O79" s="3" t="s">
        <v>220</v>
      </c>
      <c r="P79" s="4" t="str">
        <f t="shared" si="1"/>
        <v>176 : [11,27,28],</v>
      </c>
      <c r="Q79" s="4" t="str">
        <f t="shared" si="2"/>
        <v>176 : 2,</v>
      </c>
    </row>
    <row r="80">
      <c r="A80" s="3" t="s">
        <v>571</v>
      </c>
      <c r="B80" s="5">
        <v>151869.0</v>
      </c>
      <c r="C80" s="10">
        <v>178.0</v>
      </c>
      <c r="D80" s="3" t="s">
        <v>459</v>
      </c>
      <c r="E80" s="3">
        <f t="array" ref="E80">xlookup(D80,Sheet3!A:A,Sheet3!B:B)</f>
        <v>0</v>
      </c>
      <c r="F80" s="3" t="s">
        <v>26</v>
      </c>
      <c r="G80" s="3">
        <f t="array" ref="G80">xlookup(F80,Sheet2!A:A,Sheet2!B:B)</f>
        <v>7</v>
      </c>
      <c r="H80" s="3" t="s">
        <v>572</v>
      </c>
      <c r="I80" s="3" t="str">
        <f t="array" ref="I80">JOIN("", SORT(MID(LOWER(H80), SEQUENCE(LEN(H80)), 1)))</f>
        <v>     ,,aaaaaaabcceeeeeeehiiiikllllllnpprrrsstwy</v>
      </c>
      <c r="J80" s="3" t="s">
        <v>47</v>
      </c>
      <c r="K80" s="3">
        <f t="array" ref="K80">xlookup(J80,Sheet2!A:A,Sheet2!B:B)</f>
        <v>27</v>
      </c>
      <c r="L80" s="3" t="s">
        <v>572</v>
      </c>
      <c r="M80" s="3" t="s">
        <v>18</v>
      </c>
      <c r="N80" s="3">
        <f t="array" ref="N80">xlookup(M80,Sheet2!A:A,Sheet2!B:B)</f>
        <v>22</v>
      </c>
      <c r="O80" s="3" t="s">
        <v>572</v>
      </c>
      <c r="P80" s="4" t="str">
        <f t="shared" si="1"/>
        <v>178 : [7,27,22],</v>
      </c>
      <c r="Q80" s="4" t="str">
        <f t="shared" si="2"/>
        <v>178 : 0,</v>
      </c>
    </row>
    <row r="81">
      <c r="A81" s="3" t="s">
        <v>575</v>
      </c>
      <c r="B81" s="5">
        <v>151509.0</v>
      </c>
      <c r="C81" s="10">
        <v>180.0</v>
      </c>
      <c r="D81" s="3" t="s">
        <v>459</v>
      </c>
      <c r="E81" s="3">
        <f t="array" ref="E81">xlookup(D81,Sheet3!A:A,Sheet3!B:B)</f>
        <v>0</v>
      </c>
      <c r="F81" s="3" t="s">
        <v>26</v>
      </c>
      <c r="G81" s="3">
        <f t="array" ref="G81">xlookup(F81,Sheet2!A:A,Sheet2!B:B)</f>
        <v>7</v>
      </c>
      <c r="H81" s="3" t="s">
        <v>576</v>
      </c>
      <c r="I81" s="3" t="str">
        <f t="array" ref="I81">JOIN("", SORT(MID(LOWER(H81), SEQUENCE(LEN(H81)), 1)))</f>
        <v>      ,,aaaaaaabcceeeeeeehiiiikllllllnpprrrsstwy</v>
      </c>
      <c r="J81" s="3" t="s">
        <v>114</v>
      </c>
      <c r="K81" s="3">
        <f t="array" ref="K81">xlookup(J81,Sheet2!A:A,Sheet2!B:B)</f>
        <v>12</v>
      </c>
      <c r="L81" s="3" t="s">
        <v>577</v>
      </c>
      <c r="M81" s="3" t="s">
        <v>18</v>
      </c>
      <c r="N81" s="3">
        <f t="array" ref="N81">xlookup(M81,Sheet2!A:A,Sheet2!B:B)</f>
        <v>22</v>
      </c>
      <c r="O81" s="3" t="s">
        <v>576</v>
      </c>
      <c r="P81" s="4" t="str">
        <f t="shared" si="1"/>
        <v>180 : [7,12,22],</v>
      </c>
      <c r="Q81" s="4" t="str">
        <f t="shared" si="2"/>
        <v>180 : 0,</v>
      </c>
    </row>
    <row r="82">
      <c r="A82" s="3" t="s">
        <v>540</v>
      </c>
      <c r="B82" s="5">
        <v>306354.0</v>
      </c>
      <c r="C82" s="10">
        <v>185.0</v>
      </c>
      <c r="D82" s="3" t="s">
        <v>459</v>
      </c>
      <c r="E82" s="3">
        <f t="array" ref="E82">xlookup(D82,Sheet3!A:A,Sheet3!B:B)</f>
        <v>0</v>
      </c>
      <c r="F82" s="3" t="s">
        <v>34</v>
      </c>
      <c r="G82" s="3">
        <f t="array" ref="G82">xlookup(F82,Sheet2!A:A,Sheet2!B:B)</f>
        <v>8</v>
      </c>
      <c r="H82" s="3" t="s">
        <v>582</v>
      </c>
      <c r="I82" s="3" t="str">
        <f t="array" ref="I82">JOIN("", SORT(MID(LOWER(H82), SEQUENCE(LEN(H82)), 1)))</f>
        <v>     aaaceeeeghiklllnnnssuuvxyy</v>
      </c>
      <c r="J82" s="3" t="s">
        <v>28</v>
      </c>
      <c r="K82" s="3">
        <f t="array" ref="K82">xlookup(J82,Sheet2!A:A,Sheet2!B:B)</f>
        <v>32</v>
      </c>
      <c r="L82" s="3" t="s">
        <v>582</v>
      </c>
      <c r="M82" s="3" t="s">
        <v>401</v>
      </c>
      <c r="N82" s="3">
        <f t="array" ref="N82">xlookup(M82,Sheet2!A:A,Sheet2!B:B)</f>
        <v>38</v>
      </c>
      <c r="O82" s="3" t="s">
        <v>582</v>
      </c>
      <c r="P82" s="4" t="str">
        <f t="shared" si="1"/>
        <v>185 : [8,32,38],</v>
      </c>
      <c r="Q82" s="4" t="str">
        <f t="shared" si="2"/>
        <v>185 : 0,</v>
      </c>
    </row>
    <row r="83">
      <c r="A83" s="3" t="s">
        <v>583</v>
      </c>
      <c r="B83" s="5">
        <v>313865.0</v>
      </c>
      <c r="C83" s="10">
        <v>186.0</v>
      </c>
      <c r="D83" s="3" t="s">
        <v>459</v>
      </c>
      <c r="E83" s="3">
        <f t="array" ref="E83">xlookup(D83,Sheet3!A:A,Sheet3!B:B)</f>
        <v>0</v>
      </c>
      <c r="F83" s="3" t="s">
        <v>125</v>
      </c>
      <c r="G83" s="3">
        <f t="array" ref="G83">xlookup(F83,Sheet2!A:A,Sheet2!B:B)</f>
        <v>19</v>
      </c>
      <c r="H83" s="3" t="s">
        <v>584</v>
      </c>
      <c r="I83" s="3" t="str">
        <f t="array" ref="I83">JOIN("", SORT(MID(LOWER(H83), SEQUENCE(LEN(H83)), 1)))</f>
        <v>    ,aaaaaaaddeehiiklmnnnrsww</v>
      </c>
      <c r="J83" s="3" t="s">
        <v>309</v>
      </c>
      <c r="K83" s="3">
        <f t="array" ref="K83">xlookup(J83,Sheet2!A:A,Sheet2!B:B)</f>
        <v>40</v>
      </c>
      <c r="L83" s="3" t="s">
        <v>3</v>
      </c>
      <c r="M83" s="3" t="s">
        <v>124</v>
      </c>
      <c r="N83" s="3">
        <f t="array" ref="N83">xlookup(M83,Sheet2!A:A,Sheet2!B:B)</f>
        <v>46</v>
      </c>
      <c r="O83" s="3" t="s">
        <v>3</v>
      </c>
      <c r="P83" s="4" t="str">
        <f t="shared" si="1"/>
        <v>186 : [19,40,46],</v>
      </c>
      <c r="Q83" s="4" t="str">
        <f t="shared" si="2"/>
        <v>186 : 0,</v>
      </c>
    </row>
    <row r="84">
      <c r="A84" s="3" t="s">
        <v>357</v>
      </c>
      <c r="B84" s="5">
        <v>137043.0</v>
      </c>
      <c r="C84" s="10">
        <v>188.0</v>
      </c>
      <c r="D84" s="3" t="s">
        <v>282</v>
      </c>
      <c r="E84" s="3">
        <f t="array" ref="E84">xlookup(D84,Sheet3!A:A,Sheet3!B:B)</f>
        <v>1</v>
      </c>
      <c r="F84" s="3" t="s">
        <v>114</v>
      </c>
      <c r="G84" s="3">
        <f t="array" ref="G84">xlookup(F84,Sheet2!A:A,Sheet2!B:B)</f>
        <v>12</v>
      </c>
      <c r="H84" s="3" t="s">
        <v>358</v>
      </c>
      <c r="I84" s="3" t="str">
        <f t="array" ref="I84">JOIN("", SORT(MID(LOWER(H84), SEQUENCE(LEN(H84)), 1)))</f>
        <v>     ,,aaaaaaaacceeehhhiiiiilllmnnoprrrrssttyy</v>
      </c>
      <c r="J84" s="3" t="s">
        <v>47</v>
      </c>
      <c r="K84" s="3">
        <f t="array" ref="K84">xlookup(J84,Sheet2!A:A,Sheet2!B:B)</f>
        <v>27</v>
      </c>
      <c r="L84" s="3" t="s">
        <v>358</v>
      </c>
      <c r="M84" s="3" t="s">
        <v>30</v>
      </c>
      <c r="N84" s="3">
        <f t="array" ref="N84">xlookup(M84,Sheet2!A:A,Sheet2!B:B)</f>
        <v>13</v>
      </c>
      <c r="O84" s="3" t="s">
        <v>358</v>
      </c>
      <c r="P84" s="4" t="str">
        <f t="shared" si="1"/>
        <v>188 : [12,27,13],</v>
      </c>
      <c r="Q84" s="4" t="str">
        <f t="shared" si="2"/>
        <v>188 : 1,</v>
      </c>
    </row>
    <row r="85">
      <c r="A85" s="3" t="s">
        <v>586</v>
      </c>
      <c r="B85" s="5">
        <v>157280.0</v>
      </c>
      <c r="C85" s="10">
        <v>189.0</v>
      </c>
      <c r="D85" s="3" t="s">
        <v>459</v>
      </c>
      <c r="E85" s="3">
        <f t="array" ref="E85">xlookup(D85,Sheet3!A:A,Sheet3!B:B)</f>
        <v>0</v>
      </c>
      <c r="F85" s="3" t="s">
        <v>125</v>
      </c>
      <c r="G85" s="3">
        <f t="array" ref="G85">xlookup(F85,Sheet2!A:A,Sheet2!B:B)</f>
        <v>19</v>
      </c>
      <c r="H85" s="3" t="s">
        <v>587</v>
      </c>
      <c r="I85" s="3" t="str">
        <f t="array" ref="I85">JOIN("", SORT(MID(LOWER(H85), SEQUENCE(LEN(H85)), 1)))</f>
        <v>   ,aaaaaacdhiiikllmmnrruuvw</v>
      </c>
      <c r="J85" s="3" t="s">
        <v>74</v>
      </c>
      <c r="K85" s="3">
        <f t="array" ref="K85">xlookup(J85,Sheet2!A:A,Sheet2!B:B)</f>
        <v>50</v>
      </c>
      <c r="L85" s="3" t="s">
        <v>587</v>
      </c>
      <c r="M85" s="3" t="s">
        <v>96</v>
      </c>
      <c r="N85" s="3">
        <f t="array" ref="N85">xlookup(M85,Sheet2!A:A,Sheet2!B:B)</f>
        <v>47</v>
      </c>
      <c r="O85" s="3" t="s">
        <v>587</v>
      </c>
      <c r="P85" s="4" t="str">
        <f t="shared" si="1"/>
        <v>189 : [19,50,47],</v>
      </c>
      <c r="Q85" s="4" t="str">
        <f t="shared" si="2"/>
        <v>189 : 0,</v>
      </c>
    </row>
    <row r="86">
      <c r="A86" s="3" t="s">
        <v>359</v>
      </c>
      <c r="B86" s="5">
        <v>127778.0</v>
      </c>
      <c r="C86" s="10">
        <v>191.0</v>
      </c>
      <c r="D86" s="3" t="s">
        <v>282</v>
      </c>
      <c r="E86" s="3">
        <f t="array" ref="E86">xlookup(D86,Sheet3!A:A,Sheet3!B:B)</f>
        <v>1</v>
      </c>
      <c r="F86" s="3" t="s">
        <v>114</v>
      </c>
      <c r="G86" s="3">
        <f t="array" ref="G86">xlookup(F86,Sheet2!A:A,Sheet2!B:B)</f>
        <v>12</v>
      </c>
      <c r="H86" s="3" t="s">
        <v>360</v>
      </c>
      <c r="I86" s="3" t="str">
        <f t="array" ref="I86">JOIN("", SORT(MID(LOWER(H86), SEQUENCE(LEN(H86)), 1)))</f>
        <v>   ,aaaabeeghilmnnotvwz</v>
      </c>
      <c r="J86" s="3" t="s">
        <v>139</v>
      </c>
      <c r="K86" s="3">
        <f t="array" ref="K86">xlookup(J86,Sheet2!A:A,Sheet2!B:B)</f>
        <v>21</v>
      </c>
      <c r="L86" s="3" t="s">
        <v>360</v>
      </c>
      <c r="M86" s="3" t="s">
        <v>61</v>
      </c>
      <c r="N86" s="3">
        <f t="array" ref="N86">xlookup(M86,Sheet2!A:A,Sheet2!B:B)</f>
        <v>31</v>
      </c>
      <c r="O86" s="3" t="s">
        <v>360</v>
      </c>
      <c r="P86" s="4" t="str">
        <f t="shared" si="1"/>
        <v>191 : [12,21,31],</v>
      </c>
      <c r="Q86" s="4" t="str">
        <f t="shared" si="2"/>
        <v>191 : 1,</v>
      </c>
    </row>
    <row r="87">
      <c r="A87" s="3" t="s">
        <v>590</v>
      </c>
      <c r="B87" s="5">
        <v>118704.0</v>
      </c>
      <c r="C87" s="10">
        <v>194.0</v>
      </c>
      <c r="D87" s="3" t="s">
        <v>459</v>
      </c>
      <c r="E87" s="3">
        <f t="array" ref="E87">xlookup(D87,Sheet3!A:A,Sheet3!B:B)</f>
        <v>0</v>
      </c>
      <c r="F87" s="3" t="s">
        <v>96</v>
      </c>
      <c r="G87" s="3">
        <f t="array" ref="G87">xlookup(F87,Sheet2!A:A,Sheet2!B:B)</f>
        <v>47</v>
      </c>
      <c r="H87" s="3" t="s">
        <v>591</v>
      </c>
      <c r="I87" s="3" t="str">
        <f t="array" ref="I87">JOIN("", SORT(MID(LOWER(H87), SEQUENCE(LEN(H87)), 1)))</f>
        <v>   ,aaacddeeeehiiikklmnnoorrstuvwyz</v>
      </c>
      <c r="J87" s="3" t="s">
        <v>9</v>
      </c>
      <c r="K87" s="3">
        <f t="array" ref="K87">xlookup(J87,Sheet2!A:A,Sheet2!B:B)</f>
        <v>5</v>
      </c>
      <c r="L87" s="3" t="s">
        <v>591</v>
      </c>
      <c r="M87" s="3" t="s">
        <v>7</v>
      </c>
      <c r="N87" s="3">
        <f t="array" ref="N87">xlookup(M87,Sheet2!A:A,Sheet2!B:B)</f>
        <v>15</v>
      </c>
      <c r="O87" s="3" t="s">
        <v>591</v>
      </c>
      <c r="P87" s="4" t="str">
        <f t="shared" si="1"/>
        <v>194 : [47,5,15],</v>
      </c>
      <c r="Q87" s="4" t="str">
        <f t="shared" si="2"/>
        <v>194 : 0,</v>
      </c>
    </row>
    <row r="88">
      <c r="A88" s="3" t="s">
        <v>363</v>
      </c>
      <c r="B88" s="5">
        <v>193690.0</v>
      </c>
      <c r="C88" s="10">
        <v>196.0</v>
      </c>
      <c r="D88" s="3" t="s">
        <v>282</v>
      </c>
      <c r="E88" s="3">
        <f t="array" ref="E88">xlookup(D88,Sheet3!A:A,Sheet3!B:B)</f>
        <v>1</v>
      </c>
      <c r="F88" s="3" t="s">
        <v>28</v>
      </c>
      <c r="G88" s="3">
        <f t="array" ref="G88">xlookup(F88,Sheet2!A:A,Sheet2!B:B)</f>
        <v>32</v>
      </c>
      <c r="H88" s="3" t="s">
        <v>364</v>
      </c>
      <c r="I88" s="3" t="str">
        <f t="array" ref="I88">JOIN("", SORT(MID(LOWER(H88), SEQUENCE(LEN(H88)), 1)))</f>
        <v>     ,,aaaaeeghhhhiiijjjlnnnnosssuu</v>
      </c>
      <c r="J88" s="3" t="s">
        <v>139</v>
      </c>
      <c r="K88" s="3">
        <f t="array" ref="K88">xlookup(J88,Sheet2!A:A,Sheet2!B:B)</f>
        <v>21</v>
      </c>
      <c r="L88" s="3" t="s">
        <v>364</v>
      </c>
      <c r="M88" s="3" t="s">
        <v>111</v>
      </c>
      <c r="N88" s="3">
        <f t="array" ref="N88">xlookup(M88,Sheet2!A:A,Sheet2!B:B)</f>
        <v>28</v>
      </c>
      <c r="O88" s="3" t="s">
        <v>364</v>
      </c>
      <c r="P88" s="4" t="str">
        <f t="shared" si="1"/>
        <v>196 : [32,21,28],</v>
      </c>
      <c r="Q88" s="4" t="str">
        <f t="shared" si="2"/>
        <v>196 : 1,</v>
      </c>
    </row>
    <row r="89">
      <c r="A89" s="3" t="s">
        <v>223</v>
      </c>
      <c r="B89" s="5">
        <v>138492.0</v>
      </c>
      <c r="C89" s="10">
        <v>197.0</v>
      </c>
      <c r="D89" s="3" t="s">
        <v>153</v>
      </c>
      <c r="E89" s="3">
        <f t="array" ref="E89">xlookup(D89,Sheet3!A:A,Sheet3!B:B)</f>
        <v>2</v>
      </c>
      <c r="F89" s="3" t="s">
        <v>125</v>
      </c>
      <c r="G89" s="3">
        <f t="array" ref="G89">xlookup(F89,Sheet2!A:A,Sheet2!B:B)</f>
        <v>19</v>
      </c>
      <c r="H89" s="3" t="s">
        <v>224</v>
      </c>
      <c r="I89" s="3" t="str">
        <f t="array" ref="I89">JOIN("", SORT(MID(LOWER(H89), SEQUENCE(LEN(H89)), 1)))</f>
        <v>  ,eiiklmv</v>
      </c>
      <c r="J89" s="3" t="s">
        <v>9</v>
      </c>
      <c r="K89" s="3">
        <f t="array" ref="K89">xlookup(J89,Sheet2!A:A,Sheet2!B:B)</f>
        <v>5</v>
      </c>
      <c r="L89" s="3" t="s">
        <v>224</v>
      </c>
      <c r="M89" s="3" t="s">
        <v>7</v>
      </c>
      <c r="N89" s="3">
        <f t="array" ref="N89">xlookup(M89,Sheet2!A:A,Sheet2!B:B)</f>
        <v>15</v>
      </c>
      <c r="O89" s="3" t="s">
        <v>225</v>
      </c>
      <c r="P89" s="4" t="str">
        <f t="shared" si="1"/>
        <v>197 : [19,5,15],</v>
      </c>
      <c r="Q89" s="4" t="str">
        <f t="shared" si="2"/>
        <v>197 : 2,</v>
      </c>
    </row>
    <row r="90">
      <c r="A90" s="3" t="s">
        <v>365</v>
      </c>
      <c r="B90" s="5">
        <v>185286.0</v>
      </c>
      <c r="C90" s="10">
        <v>198.0</v>
      </c>
      <c r="D90" s="3" t="s">
        <v>282</v>
      </c>
      <c r="E90" s="3">
        <f t="array" ref="E90">xlookup(D90,Sheet3!A:A,Sheet3!B:B)</f>
        <v>1</v>
      </c>
      <c r="F90" s="3" t="s">
        <v>111</v>
      </c>
      <c r="G90" s="3">
        <f t="array" ref="G90">xlookup(F90,Sheet2!A:A,Sheet2!B:B)</f>
        <v>28</v>
      </c>
      <c r="H90" s="3" t="s">
        <v>366</v>
      </c>
      <c r="I90" s="3" t="str">
        <f t="array" ref="I90">JOIN("", SORT(MID(LOWER(H90), SEQUENCE(LEN(H90)), 1)))</f>
        <v>   ,aaaaaabbhhhiklnrsstty</v>
      </c>
      <c r="J90" s="3" t="s">
        <v>28</v>
      </c>
      <c r="K90" s="3">
        <f t="array" ref="K90">xlookup(J90,Sheet2!A:A,Sheet2!B:B)</f>
        <v>32</v>
      </c>
      <c r="L90" s="3" t="s">
        <v>366</v>
      </c>
      <c r="M90" s="3" t="s">
        <v>109</v>
      </c>
      <c r="N90" s="3">
        <f t="array" ref="N90">xlookup(M90,Sheet2!A:A,Sheet2!B:B)</f>
        <v>49</v>
      </c>
      <c r="O90" s="3" t="s">
        <v>366</v>
      </c>
      <c r="P90" s="4" t="str">
        <f t="shared" si="1"/>
        <v>198 : [28,32,49],</v>
      </c>
      <c r="Q90" s="4" t="str">
        <f t="shared" si="2"/>
        <v>198 : 1,</v>
      </c>
    </row>
    <row r="91">
      <c r="A91" s="3" t="s">
        <v>367</v>
      </c>
      <c r="B91" s="5">
        <v>111931.0</v>
      </c>
      <c r="C91" s="10">
        <v>202.0</v>
      </c>
      <c r="D91" s="3" t="s">
        <v>282</v>
      </c>
      <c r="E91" s="3">
        <f t="array" ref="E91">xlookup(D91,Sheet3!A:A,Sheet3!B:B)</f>
        <v>1</v>
      </c>
      <c r="F91" s="3" t="s">
        <v>47</v>
      </c>
      <c r="G91" s="3">
        <f t="array" ref="G91">xlookup(F91,Sheet2!A:A,Sheet2!B:B)</f>
        <v>27</v>
      </c>
      <c r="H91" s="3" t="s">
        <v>132</v>
      </c>
      <c r="I91" s="3" t="str">
        <f t="array" ref="I91">JOIN("", SORT(MID(LOWER(H91), SEQUENCE(LEN(H91)), 1)))</f>
        <v>   ,ceeeeehiiillllmnuw</v>
      </c>
      <c r="J91" s="3" t="s">
        <v>109</v>
      </c>
      <c r="K91" s="3">
        <f t="array" ref="K91">xlookup(J91,Sheet2!A:A,Sheet2!B:B)</f>
        <v>49</v>
      </c>
      <c r="L91" s="3" t="s">
        <v>132</v>
      </c>
      <c r="M91" s="3" t="s">
        <v>28</v>
      </c>
      <c r="N91" s="3">
        <f t="array" ref="N91">xlookup(M91,Sheet2!A:A,Sheet2!B:B)</f>
        <v>32</v>
      </c>
      <c r="O91" s="3" t="s">
        <v>132</v>
      </c>
      <c r="P91" s="4" t="str">
        <f t="shared" si="1"/>
        <v>202 : [27,49,32],</v>
      </c>
      <c r="Q91" s="4" t="str">
        <f t="shared" si="2"/>
        <v>202 : 1,</v>
      </c>
    </row>
    <row r="92">
      <c r="A92" s="3" t="s">
        <v>595</v>
      </c>
      <c r="B92" s="5">
        <v>198278.0</v>
      </c>
      <c r="C92" s="10">
        <v>203.0</v>
      </c>
      <c r="D92" s="3" t="s">
        <v>459</v>
      </c>
      <c r="E92" s="3">
        <f t="array" ref="E92">xlookup(D92,Sheet3!A:A,Sheet3!B:B)</f>
        <v>0</v>
      </c>
      <c r="F92" s="3" t="s">
        <v>7</v>
      </c>
      <c r="G92" s="3">
        <f t="array" ref="G92">xlookup(F92,Sheet2!A:A,Sheet2!B:B)</f>
        <v>15</v>
      </c>
      <c r="H92" s="3" t="s">
        <v>596</v>
      </c>
      <c r="I92" s="3" t="str">
        <f t="array" ref="I92">JOIN("", SORT(MID(LOWER(H92), SEQUENCE(LEN(H92)), 1)))</f>
        <v>   ,aaaaaaddghhhiijkmnrsstuuy</v>
      </c>
      <c r="J92" s="3" t="s">
        <v>125</v>
      </c>
      <c r="K92" s="3">
        <f t="array" ref="K92">xlookup(J92,Sheet2!A:A,Sheet2!B:B)</f>
        <v>19</v>
      </c>
      <c r="L92" s="3" t="s">
        <v>596</v>
      </c>
      <c r="M92" s="3" t="s">
        <v>72</v>
      </c>
      <c r="N92" s="3">
        <f t="array" ref="N92">xlookup(M92,Sheet2!A:A,Sheet2!B:B)</f>
        <v>34</v>
      </c>
      <c r="O92" s="3" t="s">
        <v>596</v>
      </c>
      <c r="P92" s="4" t="str">
        <f t="shared" si="1"/>
        <v>203 : [15,19,34],</v>
      </c>
      <c r="Q92" s="4" t="str">
        <f t="shared" si="2"/>
        <v>203 : 0,</v>
      </c>
    </row>
    <row r="93">
      <c r="A93" s="3" t="s">
        <v>597</v>
      </c>
      <c r="B93" s="5">
        <v>320526.0</v>
      </c>
      <c r="C93" s="10">
        <v>205.0</v>
      </c>
      <c r="D93" s="3" t="s">
        <v>459</v>
      </c>
      <c r="E93" s="3">
        <f t="array" ref="E93">xlookup(D93,Sheet3!A:A,Sheet3!B:B)</f>
        <v>0</v>
      </c>
      <c r="F93" s="3" t="s">
        <v>20</v>
      </c>
      <c r="G93" s="3">
        <f t="array" ref="G93">xlookup(F93,Sheet2!A:A,Sheet2!B:B)</f>
        <v>48</v>
      </c>
      <c r="H93" s="3" t="s">
        <v>1654</v>
      </c>
      <c r="I93" s="3" t="str">
        <f t="array" ref="I93">JOIN("", SORT(MID(LOWER(H93), SEQUENCE(LEN(H93)), 1)))</f>
        <v>           )))aaaaaaaaaabbbbbbcddeeeeeeghhiiilmmmmmmnnrrrrrrsstyy</v>
      </c>
      <c r="J93" s="3" t="s">
        <v>401</v>
      </c>
      <c r="K93" s="3">
        <f t="array" ref="K93">xlookup(J93,Sheet2!A:A,Sheet2!B:B)</f>
        <v>38</v>
      </c>
      <c r="L93" s="3" t="s">
        <v>3</v>
      </c>
      <c r="M93" s="3" t="s">
        <v>465</v>
      </c>
      <c r="N93" s="3">
        <f t="array" ref="N93">xlookup(M93,Sheet2!A:A,Sheet2!B:B)</f>
        <v>36</v>
      </c>
      <c r="O93" s="3" t="s">
        <v>3</v>
      </c>
      <c r="P93" s="4" t="str">
        <f t="shared" si="1"/>
        <v>205 : [48,38,36],</v>
      </c>
      <c r="Q93" s="4" t="str">
        <f t="shared" si="2"/>
        <v>205 : 0,</v>
      </c>
    </row>
    <row r="94">
      <c r="A94" s="3" t="s">
        <v>369</v>
      </c>
      <c r="B94" s="5">
        <v>171926.0</v>
      </c>
      <c r="C94" s="10">
        <v>207.0</v>
      </c>
      <c r="D94" s="3" t="s">
        <v>282</v>
      </c>
      <c r="E94" s="3">
        <f t="array" ref="E94">xlookup(D94,Sheet3!A:A,Sheet3!B:B)</f>
        <v>1</v>
      </c>
      <c r="F94" s="3" t="s">
        <v>26</v>
      </c>
      <c r="G94" s="3">
        <f t="array" ref="G94">xlookup(F94,Sheet2!A:A,Sheet2!B:B)</f>
        <v>7</v>
      </c>
      <c r="H94" s="3" t="s">
        <v>370</v>
      </c>
      <c r="I94" s="3" t="str">
        <f t="array" ref="I94">JOIN("", SORT(MID(LOWER(H94), SEQUENCE(LEN(H94)), 1)))</f>
        <v>     ,,aaaaaabcdeeeehiiklllmmmnnnoooorssy</v>
      </c>
      <c r="J94" s="3" t="s">
        <v>18</v>
      </c>
      <c r="K94" s="3">
        <f t="array" ref="K94">xlookup(J94,Sheet2!A:A,Sheet2!B:B)</f>
        <v>22</v>
      </c>
      <c r="L94" s="3" t="s">
        <v>370</v>
      </c>
      <c r="M94" s="3" t="s">
        <v>21</v>
      </c>
      <c r="N94" s="3">
        <f t="array" ref="N94">xlookup(M94,Sheet2!A:A,Sheet2!B:B)</f>
        <v>10</v>
      </c>
      <c r="O94" s="3" t="s">
        <v>370</v>
      </c>
      <c r="P94" s="4" t="str">
        <f t="shared" si="1"/>
        <v>207 : [7,22,10],</v>
      </c>
      <c r="Q94" s="4" t="str">
        <f t="shared" si="2"/>
        <v>207 : 1,</v>
      </c>
    </row>
    <row r="95">
      <c r="A95" s="3" t="s">
        <v>373</v>
      </c>
      <c r="B95" s="5">
        <v>301949.0</v>
      </c>
      <c r="C95" s="10">
        <v>213.0</v>
      </c>
      <c r="D95" s="3" t="s">
        <v>282</v>
      </c>
      <c r="E95" s="3">
        <f t="array" ref="E95">xlookup(D95,Sheet3!A:A,Sheet3!B:B)</f>
        <v>1</v>
      </c>
      <c r="F95" s="3" t="s">
        <v>64</v>
      </c>
      <c r="G95" s="3">
        <f t="array" ref="G95">xlookup(F95,Sheet2!A:A,Sheet2!B:B)</f>
        <v>30</v>
      </c>
      <c r="H95" s="3" t="s">
        <v>374</v>
      </c>
      <c r="I95" s="3" t="str">
        <f t="array" ref="I95">JOIN("", SORT(MID(LOWER(H95), SEQUENCE(LEN(H95)), 1)))</f>
        <v>           ,,,,,aaaaaaaaabbbbbbceeeeeeeeehhhhiiimmmmmmmnnorrrrrrsssssssty</v>
      </c>
      <c r="J95" s="3" t="s">
        <v>63</v>
      </c>
      <c r="K95" s="3">
        <f t="array" ref="K95">xlookup(J95,Sheet2!A:A,Sheet2!B:B)</f>
        <v>29</v>
      </c>
      <c r="L95" s="3" t="s">
        <v>374</v>
      </c>
      <c r="M95" s="3" t="s">
        <v>61</v>
      </c>
      <c r="N95" s="3">
        <f t="array" ref="N95">xlookup(M95,Sheet2!A:A,Sheet2!B:B)</f>
        <v>31</v>
      </c>
      <c r="O95" s="3" t="s">
        <v>374</v>
      </c>
      <c r="P95" s="4" t="str">
        <f t="shared" si="1"/>
        <v>213 : [30,29,31],</v>
      </c>
      <c r="Q95" s="4" t="str">
        <f t="shared" si="2"/>
        <v>213 : 1,</v>
      </c>
    </row>
    <row r="96">
      <c r="A96" s="3" t="s">
        <v>228</v>
      </c>
      <c r="B96" s="5">
        <v>184727.0</v>
      </c>
      <c r="C96" s="10">
        <v>214.0</v>
      </c>
      <c r="D96" s="3" t="s">
        <v>153</v>
      </c>
      <c r="E96" s="3">
        <f t="array" ref="E96">xlookup(D96,Sheet3!A:A,Sheet3!B:B)</f>
        <v>2</v>
      </c>
      <c r="F96" s="3" t="s">
        <v>74</v>
      </c>
      <c r="G96" s="3">
        <f t="array" ref="G96">xlookup(F96,Sheet2!A:A,Sheet2!B:B)</f>
        <v>50</v>
      </c>
      <c r="H96" s="3" t="s">
        <v>229</v>
      </c>
      <c r="I96" s="3" t="str">
        <f t="array" ref="I96">JOIN("", SORT(MID(LOWER(H96), SEQUENCE(LEN(H96)), 1)))</f>
        <v>   ,aaaaaaacdddhhhhhiiimnnnnorrssstuvy</v>
      </c>
      <c r="J96" s="3" t="s">
        <v>96</v>
      </c>
      <c r="K96" s="3">
        <f t="array" ref="K96">xlookup(J96,Sheet2!A:A,Sheet2!B:B)</f>
        <v>47</v>
      </c>
      <c r="L96" s="3" t="s">
        <v>229</v>
      </c>
      <c r="M96" s="3" t="s">
        <v>76</v>
      </c>
      <c r="N96" s="3">
        <f t="array" ref="N96">xlookup(M96,Sheet2!A:A,Sheet2!B:B)</f>
        <v>24</v>
      </c>
      <c r="O96" s="3" t="s">
        <v>229</v>
      </c>
      <c r="P96" s="4" t="str">
        <f t="shared" si="1"/>
        <v>214 : [50,47,24],</v>
      </c>
      <c r="Q96" s="4" t="str">
        <f t="shared" si="2"/>
        <v>214 : 2,</v>
      </c>
    </row>
    <row r="97">
      <c r="A97" s="3" t="s">
        <v>609</v>
      </c>
      <c r="B97" s="5">
        <v>192335.0</v>
      </c>
      <c r="C97" s="10">
        <v>218.0</v>
      </c>
      <c r="D97" s="3" t="s">
        <v>459</v>
      </c>
      <c r="E97" s="3">
        <f t="array" ref="E97">xlookup(D97,Sheet3!A:A,Sheet3!B:B)</f>
        <v>0</v>
      </c>
      <c r="F97" s="3" t="s">
        <v>76</v>
      </c>
      <c r="G97" s="3">
        <f t="array" ref="G97">xlookup(F97,Sheet2!A:A,Sheet2!B:B)</f>
        <v>24</v>
      </c>
      <c r="H97" s="3" t="s">
        <v>610</v>
      </c>
      <c r="I97" s="3" t="str">
        <f t="array" ref="I97">JOIN("", SORT(MID(LOWER(H97), SEQUENCE(LEN(H97)), 1)))</f>
        <v>    ,aaaaaaahhiiiikkklmmnnprsssuy</v>
      </c>
      <c r="J97" s="3" t="s">
        <v>7</v>
      </c>
      <c r="K97" s="3">
        <f t="array" ref="K97">xlookup(J97,Sheet2!A:A,Sheet2!B:B)</f>
        <v>15</v>
      </c>
      <c r="L97" s="3" t="s">
        <v>610</v>
      </c>
      <c r="M97" s="3" t="s">
        <v>72</v>
      </c>
      <c r="N97" s="3">
        <f t="array" ref="N97">xlookup(M97,Sheet2!A:A,Sheet2!B:B)</f>
        <v>34</v>
      </c>
      <c r="O97" s="3" t="s">
        <v>610</v>
      </c>
      <c r="P97" s="4" t="str">
        <f t="shared" si="1"/>
        <v>218 : [24,15,34],</v>
      </c>
      <c r="Q97" s="4" t="str">
        <f t="shared" si="2"/>
        <v>218 : 0,</v>
      </c>
    </row>
    <row r="98">
      <c r="A98" s="3" t="s">
        <v>98</v>
      </c>
      <c r="B98" s="5">
        <v>135551.0</v>
      </c>
      <c r="C98" s="10">
        <v>219.0</v>
      </c>
      <c r="D98" s="3" t="s">
        <v>60</v>
      </c>
      <c r="E98" s="3">
        <f t="array" ref="E98">xlookup(D98,Sheet3!A:A,Sheet3!B:B)</f>
        <v>4</v>
      </c>
      <c r="F98" s="3" t="s">
        <v>10</v>
      </c>
      <c r="G98" s="3">
        <f t="array" ref="G98">xlookup(F98,Sheet2!A:A,Sheet2!B:B)</f>
        <v>9</v>
      </c>
      <c r="H98" s="3" t="s">
        <v>99</v>
      </c>
      <c r="I98" s="3" t="str">
        <f t="array" ref="I98">JOIN("", SORT(MID(LOWER(H98), SEQUENCE(LEN(H98)), 1)))</f>
        <v>   ,aaacdehiiklmmnnrrsuu</v>
      </c>
      <c r="J98" s="3" t="s">
        <v>96</v>
      </c>
      <c r="K98" s="3">
        <f t="array" ref="K98">xlookup(J98,Sheet2!A:A,Sheet2!B:B)</f>
        <v>47</v>
      </c>
      <c r="L98" s="3" t="s">
        <v>99</v>
      </c>
      <c r="M98" s="3" t="s">
        <v>74</v>
      </c>
      <c r="N98" s="3">
        <f t="array" ref="N98">xlookup(M98,Sheet2!A:A,Sheet2!B:B)</f>
        <v>50</v>
      </c>
      <c r="O98" s="3" t="s">
        <v>99</v>
      </c>
      <c r="P98" s="4" t="str">
        <f t="shared" si="1"/>
        <v>219 : [9,47,50],</v>
      </c>
      <c r="Q98" s="4" t="str">
        <f t="shared" si="2"/>
        <v>219 : 4,</v>
      </c>
    </row>
    <row r="99">
      <c r="A99" s="3" t="s">
        <v>135</v>
      </c>
      <c r="B99" s="5">
        <v>110580.0</v>
      </c>
      <c r="C99" s="10">
        <v>223.0</v>
      </c>
      <c r="D99" s="3" t="s">
        <v>118</v>
      </c>
      <c r="E99" s="3">
        <f t="array" ref="E99">xlookup(D99,Sheet3!A:A,Sheet3!B:B)</f>
        <v>3</v>
      </c>
      <c r="F99" s="3" t="s">
        <v>30</v>
      </c>
      <c r="G99" s="3">
        <f t="array" ref="G99">xlookup(F99,Sheet2!A:A,Sheet2!B:B)</f>
        <v>13</v>
      </c>
      <c r="H99" s="3" t="s">
        <v>136</v>
      </c>
      <c r="I99" s="3" t="str">
        <f t="array" ref="I99">JOIN("", SORT(MID(LOWER(H99), SEQUENCE(LEN(H99)), 1)))</f>
        <v>     ,,aaaaaaaabddeeggghhhhiiiiillmmnnnoprrrrrrrrsssuwy</v>
      </c>
      <c r="J99" s="3" t="s">
        <v>114</v>
      </c>
      <c r="K99" s="3">
        <f t="array" ref="K99">xlookup(J99,Sheet2!A:A,Sheet2!B:B)</f>
        <v>12</v>
      </c>
      <c r="L99" s="3" t="s">
        <v>136</v>
      </c>
      <c r="M99" s="3" t="s">
        <v>34</v>
      </c>
      <c r="N99" s="3">
        <f t="array" ref="N99">xlookup(M99,Sheet2!A:A,Sheet2!B:B)</f>
        <v>8</v>
      </c>
      <c r="O99" s="3" t="s">
        <v>3</v>
      </c>
      <c r="P99" s="4" t="str">
        <f t="shared" si="1"/>
        <v>223 : [13,12,8],</v>
      </c>
      <c r="Q99" s="4" t="str">
        <f t="shared" si="2"/>
        <v>223 : 3,</v>
      </c>
    </row>
    <row r="100">
      <c r="A100" s="3" t="s">
        <v>377</v>
      </c>
      <c r="B100" s="5">
        <v>139550.0</v>
      </c>
      <c r="C100" s="10">
        <v>224.0</v>
      </c>
      <c r="D100" s="3" t="s">
        <v>282</v>
      </c>
      <c r="E100" s="3">
        <f t="array" ref="E100">xlookup(D100,Sheet3!A:A,Sheet3!B:B)</f>
        <v>1</v>
      </c>
      <c r="F100" s="3" t="s">
        <v>30</v>
      </c>
      <c r="G100" s="3">
        <f t="array" ref="G100">xlookup(F100,Sheet2!A:A,Sheet2!B:B)</f>
        <v>13</v>
      </c>
      <c r="H100" s="3" t="s">
        <v>378</v>
      </c>
      <c r="I100" s="3" t="str">
        <f t="array" ref="I100">JOIN("", SORT(MID(LOWER(H100), SEQUENCE(LEN(H100)), 1)))</f>
        <v>     ,,aaaaaaaabddeeeggghhhiiiilllmmnnnoprrrrrrrrsssuwy</v>
      </c>
      <c r="J100" s="3" t="s">
        <v>114</v>
      </c>
      <c r="K100" s="3">
        <f t="array" ref="K100">xlookup(J100,Sheet2!A:A,Sheet2!B:B)</f>
        <v>12</v>
      </c>
      <c r="L100" s="3" t="s">
        <v>378</v>
      </c>
      <c r="M100" s="3" t="s">
        <v>32</v>
      </c>
      <c r="N100" s="3">
        <f t="array" ref="N100">xlookup(M100,Sheet2!A:A,Sheet2!B:B)</f>
        <v>11</v>
      </c>
      <c r="O100" s="3" t="s">
        <v>378</v>
      </c>
      <c r="P100" s="4" t="str">
        <f t="shared" si="1"/>
        <v>224 : [13,12,11],</v>
      </c>
      <c r="Q100" s="4" t="str">
        <f t="shared" si="2"/>
        <v>224 : 1,</v>
      </c>
    </row>
    <row r="101">
      <c r="A101" s="3" t="s">
        <v>382</v>
      </c>
      <c r="B101" s="5">
        <v>320476.0</v>
      </c>
      <c r="C101" s="10">
        <v>230.0</v>
      </c>
      <c r="D101" s="3" t="s">
        <v>282</v>
      </c>
      <c r="E101" s="3">
        <f t="array" ref="E101">xlookup(D101,Sheet3!A:A,Sheet3!B:B)</f>
        <v>1</v>
      </c>
      <c r="F101" s="3" t="s">
        <v>74</v>
      </c>
      <c r="G101" s="3">
        <f t="array" ref="G101">xlookup(F101,Sheet2!A:A,Sheet2!B:B)</f>
        <v>50</v>
      </c>
      <c r="H101" s="3" t="s">
        <v>383</v>
      </c>
      <c r="I101" s="3" t="str">
        <f t="array" ref="I101">JOIN("", SORT(MID(LOWER(H101), SEQUENCE(LEN(H101)), 1)))</f>
        <v>   ,aacddeehijnoorstvyy</v>
      </c>
      <c r="J101" s="3" t="s">
        <v>7</v>
      </c>
      <c r="K101" s="3">
        <f t="array" ref="K101">xlookup(J101,Sheet2!A:A,Sheet2!B:B)</f>
        <v>15</v>
      </c>
      <c r="L101" s="3" t="s">
        <v>383</v>
      </c>
      <c r="M101" s="3" t="s">
        <v>72</v>
      </c>
      <c r="N101" s="3">
        <f t="array" ref="N101">xlookup(M101,Sheet2!A:A,Sheet2!B:B)</f>
        <v>34</v>
      </c>
      <c r="O101" s="3" t="s">
        <v>383</v>
      </c>
      <c r="P101" s="4" t="str">
        <f t="shared" si="1"/>
        <v>230 : [50,15,34],</v>
      </c>
      <c r="Q101" s="4" t="str">
        <f t="shared" si="2"/>
        <v>230 : 1,</v>
      </c>
    </row>
    <row r="102">
      <c r="A102" s="3" t="s">
        <v>612</v>
      </c>
      <c r="B102" s="5">
        <v>301453.0</v>
      </c>
      <c r="C102" s="10">
        <v>231.0</v>
      </c>
      <c r="D102" s="3" t="s">
        <v>459</v>
      </c>
      <c r="E102" s="3">
        <f t="array" ref="E102">xlookup(D102,Sheet3!A:A,Sheet3!B:B)</f>
        <v>0</v>
      </c>
      <c r="F102" s="3" t="s">
        <v>20</v>
      </c>
      <c r="G102" s="3">
        <f t="array" ref="G102">xlookup(F102,Sheet2!A:A,Sheet2!B:B)</f>
        <v>48</v>
      </c>
      <c r="H102" s="3" t="s">
        <v>613</v>
      </c>
      <c r="I102" s="3" t="str">
        <f t="array" ref="I102">JOIN("", SORT(MID(LOWER(H102), SEQUENCE(LEN(H102)), 1)))</f>
        <v>     ,,aaaaaaaaabbddghhiiilnnrrrsstyy</v>
      </c>
      <c r="J102" s="3" t="s">
        <v>4</v>
      </c>
      <c r="K102" s="3">
        <f t="array" ref="K102">xlookup(J102,Sheet2!A:A,Sheet2!B:B)</f>
        <v>23</v>
      </c>
      <c r="L102" s="3" t="s">
        <v>3</v>
      </c>
      <c r="M102" s="3" t="s">
        <v>309</v>
      </c>
      <c r="N102" s="3">
        <f t="array" ref="N102">xlookup(M102,Sheet2!A:A,Sheet2!B:B)</f>
        <v>40</v>
      </c>
      <c r="O102" s="3" t="s">
        <v>3</v>
      </c>
      <c r="P102" s="4" t="str">
        <f t="shared" si="1"/>
        <v>231 : [48,23,40],</v>
      </c>
      <c r="Q102" s="4" t="str">
        <f t="shared" si="2"/>
        <v>231 : 0,</v>
      </c>
    </row>
    <row r="103">
      <c r="A103" s="3" t="s">
        <v>614</v>
      </c>
      <c r="B103" s="5">
        <v>136296.0</v>
      </c>
      <c r="C103" s="10">
        <v>232.0</v>
      </c>
      <c r="D103" s="3" t="s">
        <v>459</v>
      </c>
      <c r="E103" s="3">
        <f t="array" ref="E103">xlookup(D103,Sheet3!A:A,Sheet3!B:B)</f>
        <v>0</v>
      </c>
      <c r="F103" s="3" t="s">
        <v>74</v>
      </c>
      <c r="G103" s="3">
        <f t="array" ref="G103">xlookup(F103,Sheet2!A:A,Sheet2!B:B)</f>
        <v>50</v>
      </c>
      <c r="H103" s="3" t="s">
        <v>616</v>
      </c>
      <c r="I103" s="3" t="str">
        <f t="array" ref="I103">JOIN("", SORT(MID(LOWER(H103), SEQUENCE(LEN(H103)), 1)))</f>
        <v>       --,aaabbbcddeeeeeehijmmmmnoorrrstvyy</v>
      </c>
      <c r="J103" s="3" t="s">
        <v>7</v>
      </c>
      <c r="K103" s="3">
        <f t="array" ref="K103">xlookup(J103,Sheet2!A:A,Sheet2!B:B)</f>
        <v>15</v>
      </c>
      <c r="L103" s="3" t="s">
        <v>616</v>
      </c>
      <c r="M103" s="3" t="s">
        <v>72</v>
      </c>
      <c r="N103" s="3">
        <f t="array" ref="N103">xlookup(M103,Sheet2!A:A,Sheet2!B:B)</f>
        <v>34</v>
      </c>
      <c r="O103" s="3" t="s">
        <v>616</v>
      </c>
      <c r="P103" s="4" t="str">
        <f t="shared" si="1"/>
        <v>232 : [50,15,34],</v>
      </c>
      <c r="Q103" s="4" t="str">
        <f t="shared" si="2"/>
        <v>232 : 0,</v>
      </c>
    </row>
    <row r="104">
      <c r="A104" s="3" t="s">
        <v>617</v>
      </c>
      <c r="B104" s="5">
        <v>150327.0</v>
      </c>
      <c r="C104" s="10">
        <v>235.0</v>
      </c>
      <c r="D104" s="3" t="s">
        <v>459</v>
      </c>
      <c r="E104" s="3">
        <f t="array" ref="E104">xlookup(D104,Sheet3!A:A,Sheet3!B:B)</f>
        <v>0</v>
      </c>
      <c r="F104" s="3" t="s">
        <v>7</v>
      </c>
      <c r="G104" s="3">
        <f t="array" ref="G104">xlookup(F104,Sheet2!A:A,Sheet2!B:B)</f>
        <v>15</v>
      </c>
      <c r="H104" s="3" t="s">
        <v>1655</v>
      </c>
      <c r="I104" s="3" t="str">
        <f t="array" ref="I104">JOIN("", SORT(MID(LOWER(H104), SEQUENCE(LEN(H104)), 1)))</f>
        <v>       ,::aaaaabeeeeeiillmmmmmmrsstxy</v>
      </c>
      <c r="J104" s="3" t="s">
        <v>125</v>
      </c>
      <c r="K104" s="3">
        <f t="array" ref="K104">xlookup(J104,Sheet2!A:A,Sheet2!B:B)</f>
        <v>19</v>
      </c>
      <c r="L104" s="3" t="s">
        <v>619</v>
      </c>
      <c r="M104" s="3" t="s">
        <v>9</v>
      </c>
      <c r="N104" s="3">
        <f t="array" ref="N104">xlookup(M104,Sheet2!A:A,Sheet2!B:B)</f>
        <v>5</v>
      </c>
      <c r="O104" s="3" t="s">
        <v>619</v>
      </c>
      <c r="P104" s="4" t="str">
        <f t="shared" si="1"/>
        <v>235 : [15,19,5],</v>
      </c>
      <c r="Q104" s="4" t="str">
        <f t="shared" si="2"/>
        <v>235 : 0,</v>
      </c>
    </row>
    <row r="105">
      <c r="A105" s="3" t="s">
        <v>620</v>
      </c>
      <c r="B105" s="5">
        <v>127437.0</v>
      </c>
      <c r="C105" s="10">
        <v>237.0</v>
      </c>
      <c r="D105" s="3" t="s">
        <v>459</v>
      </c>
      <c r="E105" s="3">
        <f t="array" ref="E105">xlookup(D105,Sheet3!A:A,Sheet3!B:B)</f>
        <v>0</v>
      </c>
      <c r="F105" s="3" t="s">
        <v>18</v>
      </c>
      <c r="G105" s="3">
        <f t="array" ref="G105">xlookup(F105,Sheet2!A:A,Sheet2!B:B)</f>
        <v>22</v>
      </c>
      <c r="H105" s="3" t="s">
        <v>621</v>
      </c>
      <c r="I105" s="3" t="str">
        <f t="array" ref="I105">JOIN("", SORT(MID(LOWER(H105), SEQUENCE(LEN(H105)), 1)))</f>
        <v>      ,,aaaaaaaaadefhiiiiklllmnnnoprrsssyy</v>
      </c>
      <c r="J105" s="3" t="s">
        <v>21</v>
      </c>
      <c r="K105" s="3">
        <f t="array" ref="K105">xlookup(J105,Sheet2!A:A,Sheet2!B:B)</f>
        <v>10</v>
      </c>
      <c r="L105" s="3" t="s">
        <v>621</v>
      </c>
      <c r="M105" s="3" t="s">
        <v>42</v>
      </c>
      <c r="N105" s="3">
        <f t="array" ref="N105">xlookup(M105,Sheet2!A:A,Sheet2!B:B)</f>
        <v>14</v>
      </c>
      <c r="O105" s="3" t="s">
        <v>621</v>
      </c>
      <c r="P105" s="4" t="str">
        <f t="shared" si="1"/>
        <v>237 : [22,10,14],</v>
      </c>
      <c r="Q105" s="4" t="str">
        <f t="shared" si="2"/>
        <v>237 : 0,</v>
      </c>
    </row>
    <row r="106">
      <c r="A106" s="3" t="s">
        <v>622</v>
      </c>
      <c r="B106" s="5">
        <v>119813.0</v>
      </c>
      <c r="C106" s="10">
        <v>239.0</v>
      </c>
      <c r="D106" s="3" t="s">
        <v>459</v>
      </c>
      <c r="E106" s="3">
        <f t="array" ref="E106">xlookup(D106,Sheet3!A:A,Sheet3!B:B)</f>
        <v>0</v>
      </c>
      <c r="F106" s="3" t="s">
        <v>18</v>
      </c>
      <c r="G106" s="3">
        <f t="array" ref="G106">xlookup(F106,Sheet2!A:A,Sheet2!B:B)</f>
        <v>22</v>
      </c>
      <c r="H106" s="3" t="s">
        <v>623</v>
      </c>
      <c r="I106" s="3" t="str">
        <f t="array" ref="I106">JOIN("", SORT(MID(LOWER(H106), SEQUENCE(LEN(H106)), 1)))</f>
        <v>     ,,aaaaaaaaadefhiiiiklllmnnnoprrsssyy</v>
      </c>
      <c r="J106" s="3" t="s">
        <v>21</v>
      </c>
      <c r="K106" s="3">
        <f t="array" ref="K106">xlookup(J106,Sheet2!A:A,Sheet2!B:B)</f>
        <v>10</v>
      </c>
      <c r="L106" s="3" t="s">
        <v>624</v>
      </c>
      <c r="M106" s="3" t="s">
        <v>42</v>
      </c>
      <c r="N106" s="3">
        <f t="array" ref="N106">xlookup(M106,Sheet2!A:A,Sheet2!B:B)</f>
        <v>14</v>
      </c>
      <c r="O106" s="3" t="s">
        <v>623</v>
      </c>
      <c r="P106" s="4" t="str">
        <f t="shared" si="1"/>
        <v>239 : [22,10,14],</v>
      </c>
      <c r="Q106" s="4" t="str">
        <f t="shared" si="2"/>
        <v>239 : 0,</v>
      </c>
    </row>
    <row r="107">
      <c r="A107" s="3" t="s">
        <v>137</v>
      </c>
      <c r="B107" s="5">
        <v>110176.0</v>
      </c>
      <c r="C107" s="10">
        <v>240.0</v>
      </c>
      <c r="D107" s="3" t="s">
        <v>118</v>
      </c>
      <c r="E107" s="3">
        <f t="array" ref="E107">xlookup(D107,Sheet3!A:A,Sheet3!B:B)</f>
        <v>3</v>
      </c>
      <c r="F107" s="3" t="s">
        <v>35</v>
      </c>
      <c r="G107" s="3">
        <f t="array" ref="G107">xlookup(F107,Sheet2!A:A,Sheet2!B:B)</f>
        <v>45</v>
      </c>
      <c r="H107" s="3" t="s">
        <v>137</v>
      </c>
      <c r="I107" s="3" t="str">
        <f t="array" ref="I107">JOIN("", SORT(MID(LOWER(H107), SEQUENCE(LEN(H107)), 1)))</f>
        <v> aaabhhiillrst</v>
      </c>
      <c r="J107" s="3" t="s">
        <v>26</v>
      </c>
      <c r="K107" s="3">
        <f t="array" ref="K107">xlookup(J107,Sheet2!A:A,Sheet2!B:B)</f>
        <v>7</v>
      </c>
      <c r="L107" s="3" t="s">
        <v>137</v>
      </c>
      <c r="M107" s="3" t="s">
        <v>25</v>
      </c>
      <c r="N107" s="3">
        <f t="array" ref="N107">xlookup(M107,Sheet2!A:A,Sheet2!B:B)</f>
        <v>18</v>
      </c>
      <c r="O107" s="3" t="s">
        <v>137</v>
      </c>
      <c r="P107" s="4" t="str">
        <f t="shared" si="1"/>
        <v>240 : [45,7,18],</v>
      </c>
      <c r="Q107" s="4" t="str">
        <f t="shared" si="2"/>
        <v>240 : 3,</v>
      </c>
    </row>
    <row r="108">
      <c r="A108" s="3" t="s">
        <v>387</v>
      </c>
      <c r="B108" s="5">
        <v>110246.0</v>
      </c>
      <c r="C108" s="10">
        <v>244.0</v>
      </c>
      <c r="D108" s="3" t="s">
        <v>282</v>
      </c>
      <c r="E108" s="3">
        <f t="array" ref="E108">xlookup(D108,Sheet3!A:A,Sheet3!B:B)</f>
        <v>1</v>
      </c>
      <c r="F108" s="3" t="s">
        <v>30</v>
      </c>
      <c r="G108" s="3">
        <f t="array" ref="G108">xlookup(F108,Sheet2!A:A,Sheet2!B:B)</f>
        <v>13</v>
      </c>
      <c r="H108" s="3" t="s">
        <v>388</v>
      </c>
      <c r="I108" s="3" t="str">
        <f t="array" ref="I108">JOIN("", SORT(MID(LOWER(H108), SEQUENCE(LEN(H108)), 1)))</f>
        <v>     ,,aaaaaaaabddeeggghhhhiiiiilllmmnnnoprrrrrrrrsssuwy</v>
      </c>
      <c r="J108" s="3" t="s">
        <v>114</v>
      </c>
      <c r="K108" s="3">
        <f t="array" ref="K108">xlookup(J108,Sheet2!A:A,Sheet2!B:B)</f>
        <v>12</v>
      </c>
      <c r="L108" s="3" t="s">
        <v>388</v>
      </c>
      <c r="M108" s="3" t="s">
        <v>32</v>
      </c>
      <c r="N108" s="3">
        <f t="array" ref="N108">xlookup(M108,Sheet2!A:A,Sheet2!B:B)</f>
        <v>11</v>
      </c>
      <c r="O108" s="3" t="s">
        <v>388</v>
      </c>
      <c r="P108" s="4" t="str">
        <f t="shared" si="1"/>
        <v>244 : [13,12,11],</v>
      </c>
      <c r="Q108" s="4" t="str">
        <f t="shared" si="2"/>
        <v>244 : 1,</v>
      </c>
    </row>
    <row r="109">
      <c r="A109" s="3" t="s">
        <v>138</v>
      </c>
      <c r="B109" s="5">
        <v>136893.0</v>
      </c>
      <c r="C109" s="10">
        <v>246.0</v>
      </c>
      <c r="D109" s="3" t="s">
        <v>118</v>
      </c>
      <c r="E109" s="3">
        <f t="array" ref="E109">xlookup(D109,Sheet3!A:A,Sheet3!B:B)</f>
        <v>3</v>
      </c>
      <c r="F109" s="3" t="s">
        <v>139</v>
      </c>
      <c r="G109" s="3">
        <f t="array" ref="G109">xlookup(F109,Sheet2!A:A,Sheet2!B:B)</f>
        <v>21</v>
      </c>
      <c r="H109" s="3" t="s">
        <v>140</v>
      </c>
      <c r="I109" s="3" t="str">
        <f t="array" ref="I109">JOIN("", SORT(MID(LOWER(H109), SEQUENCE(LEN(H109)), 1)))</f>
        <v>     ,,aaaaghiillmnnnooorrrrssstuuuuvz</v>
      </c>
      <c r="J109" s="3" t="s">
        <v>34</v>
      </c>
      <c r="K109" s="3">
        <f t="array" ref="K109">xlookup(J109,Sheet2!A:A,Sheet2!B:B)</f>
        <v>8</v>
      </c>
      <c r="L109" s="3" t="s">
        <v>140</v>
      </c>
      <c r="M109" s="3" t="s">
        <v>28</v>
      </c>
      <c r="N109" s="3">
        <f t="array" ref="N109">xlookup(M109,Sheet2!A:A,Sheet2!B:B)</f>
        <v>32</v>
      </c>
      <c r="O109" s="3" t="s">
        <v>140</v>
      </c>
      <c r="P109" s="4" t="str">
        <f t="shared" si="1"/>
        <v>246 : [21,8,32],</v>
      </c>
      <c r="Q109" s="4" t="str">
        <f t="shared" si="2"/>
        <v>246 : 3,</v>
      </c>
    </row>
    <row r="110">
      <c r="A110" s="3" t="s">
        <v>627</v>
      </c>
      <c r="B110" s="5">
        <v>304150.0</v>
      </c>
      <c r="C110" s="10">
        <v>249.0</v>
      </c>
      <c r="D110" s="3" t="s">
        <v>459</v>
      </c>
      <c r="E110" s="3">
        <f t="array" ref="E110">xlookup(D110,Sheet3!A:A,Sheet3!B:B)</f>
        <v>0</v>
      </c>
      <c r="F110" s="3" t="s">
        <v>76</v>
      </c>
      <c r="G110" s="3">
        <f t="array" ref="G110">xlookup(F110,Sheet2!A:A,Sheet2!B:B)</f>
        <v>24</v>
      </c>
      <c r="H110" s="3" t="s">
        <v>628</v>
      </c>
      <c r="I110" s="3" t="str">
        <f t="array" ref="I110">JOIN("", SORT(MID(LOWER(H110), SEQUENCE(LEN(H110)), 1)))</f>
        <v>    ,aadeegghhjlllmmnnnnooosyy</v>
      </c>
      <c r="J110" s="3" t="s">
        <v>74</v>
      </c>
      <c r="K110" s="3">
        <f t="array" ref="K110">xlookup(J110,Sheet2!A:A,Sheet2!B:B)</f>
        <v>50</v>
      </c>
      <c r="L110" s="3" t="s">
        <v>629</v>
      </c>
      <c r="M110" s="3" t="s">
        <v>10</v>
      </c>
      <c r="N110" s="3">
        <f t="array" ref="N110">xlookup(M110,Sheet2!A:A,Sheet2!B:B)</f>
        <v>9</v>
      </c>
      <c r="O110" s="3" t="s">
        <v>629</v>
      </c>
      <c r="P110" s="4" t="str">
        <f t="shared" si="1"/>
        <v>249 : [24,50,9],</v>
      </c>
      <c r="Q110" s="4" t="str">
        <f t="shared" si="2"/>
        <v>249 : 0,</v>
      </c>
    </row>
    <row r="111">
      <c r="A111" s="3" t="s">
        <v>630</v>
      </c>
      <c r="B111" s="5">
        <v>149804.0</v>
      </c>
      <c r="C111" s="10">
        <v>250.0</v>
      </c>
      <c r="D111" s="3" t="s">
        <v>459</v>
      </c>
      <c r="E111" s="3">
        <f t="array" ref="E111">xlookup(D111,Sheet3!A:A,Sheet3!B:B)</f>
        <v>0</v>
      </c>
      <c r="F111" s="3" t="s">
        <v>7</v>
      </c>
      <c r="G111" s="3">
        <f t="array" ref="G111">xlookup(F111,Sheet2!A:A,Sheet2!B:B)</f>
        <v>15</v>
      </c>
      <c r="H111" s="3" t="s">
        <v>632</v>
      </c>
      <c r="I111" s="3" t="str">
        <f t="array" ref="I111">JOIN("", SORT(MID(LOWER(H111), SEQUENCE(LEN(H111)), 1)))</f>
        <v>      ,::aaaaabeeeeeiillmmmmmmrsstxy</v>
      </c>
      <c r="J111" s="3" t="s">
        <v>125</v>
      </c>
      <c r="K111" s="3">
        <f t="array" ref="K111">xlookup(J111,Sheet2!A:A,Sheet2!B:B)</f>
        <v>19</v>
      </c>
      <c r="L111" s="3" t="s">
        <v>632</v>
      </c>
      <c r="M111" s="3" t="s">
        <v>9</v>
      </c>
      <c r="N111" s="3">
        <f t="array" ref="N111">xlookup(M111,Sheet2!A:A,Sheet2!B:B)</f>
        <v>5</v>
      </c>
      <c r="O111" s="3" t="s">
        <v>632</v>
      </c>
      <c r="P111" s="4" t="str">
        <f t="shared" si="1"/>
        <v>250 : [15,19,5],</v>
      </c>
      <c r="Q111" s="4" t="str">
        <f t="shared" si="2"/>
        <v>250 : 0,</v>
      </c>
    </row>
    <row r="112">
      <c r="A112" s="3" t="s">
        <v>635</v>
      </c>
      <c r="B112" s="5">
        <v>311055.0</v>
      </c>
      <c r="C112" s="10">
        <v>254.0</v>
      </c>
      <c r="D112" s="3" t="s">
        <v>459</v>
      </c>
      <c r="E112" s="3">
        <f t="array" ref="E112">xlookup(D112,Sheet3!A:A,Sheet3!B:B)</f>
        <v>0</v>
      </c>
      <c r="F112" s="3" t="s">
        <v>7</v>
      </c>
      <c r="G112" s="3">
        <f t="array" ref="G112">xlookup(F112,Sheet2!A:A,Sheet2!B:B)</f>
        <v>15</v>
      </c>
      <c r="H112" s="3" t="s">
        <v>636</v>
      </c>
      <c r="I112" s="3" t="str">
        <f t="array" ref="I112">JOIN("", SORT(MID(LOWER(H112), SEQUENCE(LEN(H112)), 1)))</f>
        <v>   ,aaaadeeejllmnprtxy</v>
      </c>
      <c r="J112" s="3" t="s">
        <v>238</v>
      </c>
      <c r="K112" s="3">
        <f t="array" ref="K112">xlookup(J112,Sheet2!A:A,Sheet2!B:B)</f>
        <v>37</v>
      </c>
      <c r="L112" s="3" t="s">
        <v>3</v>
      </c>
      <c r="M112" s="3" t="s">
        <v>465</v>
      </c>
      <c r="N112" s="3">
        <f t="array" ref="N112">xlookup(M112,Sheet2!A:A,Sheet2!B:B)</f>
        <v>36</v>
      </c>
      <c r="O112" s="3" t="s">
        <v>3</v>
      </c>
      <c r="P112" s="4" t="str">
        <f t="shared" si="1"/>
        <v>254 : [15,37,36],</v>
      </c>
      <c r="Q112" s="4" t="str">
        <f t="shared" si="2"/>
        <v>254 : 0,</v>
      </c>
    </row>
    <row r="113">
      <c r="A113" s="3" t="s">
        <v>389</v>
      </c>
      <c r="B113" s="5">
        <v>157686.0</v>
      </c>
      <c r="C113" s="10">
        <v>255.0</v>
      </c>
      <c r="D113" s="3" t="s">
        <v>282</v>
      </c>
      <c r="E113" s="3">
        <f t="array" ref="E113">xlookup(D113,Sheet3!A:A,Sheet3!B:B)</f>
        <v>1</v>
      </c>
      <c r="F113" s="3" t="s">
        <v>20</v>
      </c>
      <c r="G113" s="3">
        <f t="array" ref="G113">xlookup(F113,Sheet2!A:A,Sheet2!B:B)</f>
        <v>48</v>
      </c>
      <c r="H113" s="3" t="s">
        <v>390</v>
      </c>
      <c r="I113" s="3" t="str">
        <f t="array" ref="I113">JOIN("", SORT(MID(LOWER(H113), SEQUENCE(LEN(H113)), 1)))</f>
        <v>     ,,aaaaaaaaaaaaaccdeeehiijkklmnnnnnnorrrxy</v>
      </c>
      <c r="J113" s="3" t="s">
        <v>170</v>
      </c>
      <c r="K113" s="3">
        <f t="array" ref="K113">xlookup(J113,Sheet2!A:A,Sheet2!B:B)</f>
        <v>16</v>
      </c>
      <c r="L113" s="3" t="s">
        <v>390</v>
      </c>
      <c r="M113" s="3" t="s">
        <v>25</v>
      </c>
      <c r="N113" s="3">
        <f t="array" ref="N113">xlookup(M113,Sheet2!A:A,Sheet2!B:B)</f>
        <v>18</v>
      </c>
      <c r="O113" s="3" t="s">
        <v>390</v>
      </c>
      <c r="P113" s="4" t="str">
        <f t="shared" si="1"/>
        <v>255 : [48,16,18],</v>
      </c>
      <c r="Q113" s="4" t="str">
        <f t="shared" si="2"/>
        <v>255 : 1,</v>
      </c>
    </row>
    <row r="114">
      <c r="A114" s="3" t="s">
        <v>645</v>
      </c>
      <c r="B114" s="5">
        <v>148270.0</v>
      </c>
      <c r="C114" s="10">
        <v>260.0</v>
      </c>
      <c r="D114" s="3" t="s">
        <v>459</v>
      </c>
      <c r="E114" s="3">
        <f t="array" ref="E114">xlookup(D114,Sheet3!A:A,Sheet3!B:B)</f>
        <v>0</v>
      </c>
      <c r="F114" s="3" t="s">
        <v>18</v>
      </c>
      <c r="G114" s="3">
        <f t="array" ref="G114">xlookup(F114,Sheet2!A:A,Sheet2!B:B)</f>
        <v>22</v>
      </c>
      <c r="H114" s="3" t="s">
        <v>646</v>
      </c>
      <c r="I114" s="3" t="str">
        <f t="array" ref="I114">JOIN("", SORT(MID(LOWER(H114), SEQUENCE(LEN(H114)), 1)))</f>
        <v>   ,aaaaabbdeegiiillnnoopqrrsuu</v>
      </c>
      <c r="J114" s="3" t="s">
        <v>74</v>
      </c>
      <c r="K114" s="3">
        <f t="array" ref="K114">xlookup(J114,Sheet2!A:A,Sheet2!B:B)</f>
        <v>50</v>
      </c>
      <c r="L114" s="3" t="s">
        <v>646</v>
      </c>
      <c r="M114" s="3" t="s">
        <v>76</v>
      </c>
      <c r="N114" s="3">
        <f t="array" ref="N114">xlookup(M114,Sheet2!A:A,Sheet2!B:B)</f>
        <v>24</v>
      </c>
      <c r="O114" s="3" t="s">
        <v>646</v>
      </c>
      <c r="P114" s="4" t="str">
        <f t="shared" si="1"/>
        <v>260 : [22,50,24],</v>
      </c>
      <c r="Q114" s="4" t="str">
        <f t="shared" si="2"/>
        <v>260 : 0,</v>
      </c>
    </row>
    <row r="115">
      <c r="A115" s="3" t="s">
        <v>647</v>
      </c>
      <c r="B115" s="5">
        <v>189122.0</v>
      </c>
      <c r="C115" s="10">
        <v>264.0</v>
      </c>
      <c r="D115" s="3" t="s">
        <v>459</v>
      </c>
      <c r="E115" s="3">
        <f t="array" ref="E115">xlookup(D115,Sheet3!A:A,Sheet3!B:B)</f>
        <v>0</v>
      </c>
      <c r="F115" s="3" t="s">
        <v>64</v>
      </c>
      <c r="G115" s="3">
        <f t="array" ref="G115">xlookup(F115,Sheet2!A:A,Sheet2!B:B)</f>
        <v>30</v>
      </c>
      <c r="H115" s="3" t="s">
        <v>648</v>
      </c>
      <c r="I115" s="3" t="str">
        <f t="array" ref="I115">JOIN("", SORT(MID(LOWER(H115), SEQUENCE(LEN(H115)), 1)))</f>
        <v>   ,aaaaaddeeiiklmnnprrruvvwy</v>
      </c>
      <c r="J115" s="3" t="s">
        <v>111</v>
      </c>
      <c r="K115" s="3">
        <f t="array" ref="K115">xlookup(J115,Sheet2!A:A,Sheet2!B:B)</f>
        <v>28</v>
      </c>
      <c r="L115" s="3" t="s">
        <v>648</v>
      </c>
      <c r="M115" s="3" t="s">
        <v>47</v>
      </c>
      <c r="N115" s="3">
        <f t="array" ref="N115">xlookup(M115,Sheet2!A:A,Sheet2!B:B)</f>
        <v>27</v>
      </c>
      <c r="O115" s="3" t="s">
        <v>649</v>
      </c>
      <c r="P115" s="4" t="str">
        <f t="shared" si="1"/>
        <v>264 : [30,28,27],</v>
      </c>
      <c r="Q115" s="4" t="str">
        <f t="shared" si="2"/>
        <v>264 : 0,</v>
      </c>
    </row>
    <row r="116">
      <c r="A116" s="3" t="s">
        <v>650</v>
      </c>
      <c r="B116" s="5">
        <v>318753.0</v>
      </c>
      <c r="C116" s="10">
        <v>265.0</v>
      </c>
      <c r="D116" s="3" t="s">
        <v>459</v>
      </c>
      <c r="E116" s="3">
        <f t="array" ref="E116">xlookup(D116,Sheet3!A:A,Sheet3!B:B)</f>
        <v>0</v>
      </c>
      <c r="F116" s="3" t="s">
        <v>64</v>
      </c>
      <c r="G116" s="3">
        <f t="array" ref="G116">xlookup(F116,Sheet2!A:A,Sheet2!B:B)</f>
        <v>30</v>
      </c>
      <c r="H116" s="3" t="s">
        <v>651</v>
      </c>
      <c r="I116" s="3" t="str">
        <f t="array" ref="I116">JOIN("", SORT(MID(LOWER(H116), SEQUENCE(LEN(H116)), 1)))</f>
        <v>    ,aaaaaddddeeeiiklmnnprrrruvvwyy</v>
      </c>
      <c r="J116" s="3" t="s">
        <v>111</v>
      </c>
      <c r="K116" s="3">
        <f t="array" ref="K116">xlookup(J116,Sheet2!A:A,Sheet2!B:B)</f>
        <v>28</v>
      </c>
      <c r="L116" s="3" t="s">
        <v>651</v>
      </c>
      <c r="M116" s="3" t="s">
        <v>47</v>
      </c>
      <c r="N116" s="3">
        <f t="array" ref="N116">xlookup(M116,Sheet2!A:A,Sheet2!B:B)</f>
        <v>27</v>
      </c>
      <c r="O116" s="3" t="s">
        <v>651</v>
      </c>
      <c r="P116" s="4" t="str">
        <f t="shared" si="1"/>
        <v>265 : [30,28,27],</v>
      </c>
      <c r="Q116" s="4" t="str">
        <f t="shared" si="2"/>
        <v>265 : 0,</v>
      </c>
    </row>
    <row r="117">
      <c r="A117" s="3" t="s">
        <v>652</v>
      </c>
      <c r="B117" s="5">
        <v>151566.0</v>
      </c>
      <c r="C117" s="10">
        <v>266.0</v>
      </c>
      <c r="D117" s="3" t="s">
        <v>459</v>
      </c>
      <c r="E117" s="3">
        <f t="array" ref="E117">xlookup(D117,Sheet3!A:A,Sheet3!B:B)</f>
        <v>0</v>
      </c>
      <c r="F117" s="3" t="s">
        <v>18</v>
      </c>
      <c r="G117" s="3">
        <f t="array" ref="G117">xlookup(F117,Sheet2!A:A,Sheet2!B:B)</f>
        <v>22</v>
      </c>
      <c r="H117" s="3" t="s">
        <v>653</v>
      </c>
      <c r="I117" s="3" t="str">
        <f t="array" ref="I117">JOIN("", SORT(MID(LOWER(H117), SEQUENCE(LEN(H117)), 1)))</f>
        <v>     ,,aaaaaaaadggghhhhiikmnnnnoqrrstu</v>
      </c>
      <c r="J117" s="3" t="s">
        <v>64</v>
      </c>
      <c r="K117" s="3">
        <f t="array" ref="K117">xlookup(J117,Sheet2!A:A,Sheet2!B:B)</f>
        <v>30</v>
      </c>
      <c r="L117" s="3" t="s">
        <v>653</v>
      </c>
      <c r="M117" s="3" t="s">
        <v>61</v>
      </c>
      <c r="N117" s="3">
        <f t="array" ref="N117">xlookup(M117,Sheet2!A:A,Sheet2!B:B)</f>
        <v>31</v>
      </c>
      <c r="O117" s="3" t="s">
        <v>653</v>
      </c>
      <c r="P117" s="4" t="str">
        <f t="shared" si="1"/>
        <v>266 : [22,30,31],</v>
      </c>
      <c r="Q117" s="4" t="str">
        <f t="shared" si="2"/>
        <v>266 : 0,</v>
      </c>
    </row>
    <row r="118">
      <c r="A118" s="3" t="s">
        <v>234</v>
      </c>
      <c r="B118" s="5">
        <v>137962.0</v>
      </c>
      <c r="C118" s="10">
        <v>271.0</v>
      </c>
      <c r="D118" s="3" t="s">
        <v>153</v>
      </c>
      <c r="E118" s="3">
        <f t="array" ref="E118">xlookup(D118,Sheet3!A:A,Sheet3!B:B)</f>
        <v>2</v>
      </c>
      <c r="F118" s="3" t="s">
        <v>40</v>
      </c>
      <c r="G118" s="3">
        <f t="array" ref="G118">xlookup(F118,Sheet2!A:A,Sheet2!B:B)</f>
        <v>44</v>
      </c>
      <c r="H118" s="3" t="s">
        <v>234</v>
      </c>
      <c r="I118" s="3" t="str">
        <f t="array" ref="I118">JOIN("", SORT(MID(LOWER(H118), SEQUENCE(LEN(H118)), 1)))</f>
        <v> aaadeeffklnrsx</v>
      </c>
      <c r="J118" s="3" t="s">
        <v>38</v>
      </c>
      <c r="K118" s="3">
        <f t="array" ref="K118">xlookup(J118,Sheet2!A:A,Sheet2!B:B)</f>
        <v>6</v>
      </c>
      <c r="L118" s="3" t="s">
        <v>234</v>
      </c>
      <c r="M118" s="3" t="s">
        <v>2</v>
      </c>
      <c r="N118" s="3">
        <f t="array" ref="N118">xlookup(M118,Sheet2!A:A,Sheet2!B:B)</f>
        <v>25</v>
      </c>
      <c r="O118" s="3" t="s">
        <v>234</v>
      </c>
      <c r="P118" s="4" t="str">
        <f t="shared" si="1"/>
        <v>271 : [44,6,25],</v>
      </c>
      <c r="Q118" s="4" t="str">
        <f t="shared" si="2"/>
        <v>271 : 2,</v>
      </c>
    </row>
    <row r="119">
      <c r="A119" s="3" t="s">
        <v>660</v>
      </c>
      <c r="B119" s="5">
        <v>310859.0</v>
      </c>
      <c r="C119" s="10">
        <v>273.0</v>
      </c>
      <c r="D119" s="3" t="s">
        <v>459</v>
      </c>
      <c r="E119" s="3">
        <f t="array" ref="E119">xlookup(D119,Sheet3!A:A,Sheet3!B:B)</f>
        <v>0</v>
      </c>
      <c r="F119" s="3" t="s">
        <v>7</v>
      </c>
      <c r="G119" s="3">
        <f t="array" ref="G119">xlookup(F119,Sheet2!A:A,Sheet2!B:B)</f>
        <v>15</v>
      </c>
      <c r="H119" s="3" t="s">
        <v>661</v>
      </c>
      <c r="I119" s="3" t="str">
        <f t="array" ref="I119">JOIN("", SORT(MID(LOWER(H119), SEQUENCE(LEN(H119)), 1)))</f>
        <v>   ,aaaaaaaaaeeehhijkllmnnprrss</v>
      </c>
      <c r="J119" s="3" t="s">
        <v>10</v>
      </c>
      <c r="K119" s="3">
        <f t="array" ref="K119">xlookup(J119,Sheet2!A:A,Sheet2!B:B)</f>
        <v>9</v>
      </c>
      <c r="L119" s="3" t="s">
        <v>661</v>
      </c>
      <c r="M119" s="3" t="s">
        <v>28</v>
      </c>
      <c r="N119" s="3">
        <f t="array" ref="N119">xlookup(M119,Sheet2!A:A,Sheet2!B:B)</f>
        <v>32</v>
      </c>
      <c r="O119" s="3" t="s">
        <v>661</v>
      </c>
      <c r="P119" s="4" t="str">
        <f t="shared" si="1"/>
        <v>273 : [15,9,32],</v>
      </c>
      <c r="Q119" s="4" t="str">
        <f t="shared" si="2"/>
        <v>273 : 0,</v>
      </c>
    </row>
    <row r="120">
      <c r="A120" s="3" t="s">
        <v>235</v>
      </c>
      <c r="B120" s="5">
        <v>119049.0</v>
      </c>
      <c r="C120" s="10">
        <v>275.0</v>
      </c>
      <c r="D120" s="3" t="s">
        <v>153</v>
      </c>
      <c r="E120" s="3">
        <f t="array" ref="E120">xlookup(D120,Sheet3!A:A,Sheet3!B:B)</f>
        <v>2</v>
      </c>
      <c r="F120" s="3" t="s">
        <v>10</v>
      </c>
      <c r="G120" s="3">
        <f t="array" ref="G120">xlookup(F120,Sheet2!A:A,Sheet2!B:B)</f>
        <v>9</v>
      </c>
      <c r="H120" s="3" t="s">
        <v>236</v>
      </c>
      <c r="I120" s="3" t="str">
        <f t="array" ref="I120">JOIN("", SORT(MID(LOWER(H120), SEQUENCE(LEN(H120)), 1)))</f>
        <v>   ,aaaaaabdegiijkllmnnnrsty</v>
      </c>
      <c r="J120" s="3" t="s">
        <v>9</v>
      </c>
      <c r="K120" s="3">
        <f t="array" ref="K120">xlookup(J120,Sheet2!A:A,Sheet2!B:B)</f>
        <v>5</v>
      </c>
      <c r="L120" s="3" t="s">
        <v>236</v>
      </c>
      <c r="M120" s="3" t="s">
        <v>74</v>
      </c>
      <c r="N120" s="3">
        <f t="array" ref="N120">xlookup(M120,Sheet2!A:A,Sheet2!B:B)</f>
        <v>50</v>
      </c>
      <c r="O120" s="3" t="s">
        <v>236</v>
      </c>
      <c r="P120" s="4" t="str">
        <f t="shared" si="1"/>
        <v>275 : [9,5,50],</v>
      </c>
      <c r="Q120" s="4" t="str">
        <f t="shared" si="2"/>
        <v>275 : 2,</v>
      </c>
    </row>
    <row r="121">
      <c r="A121" s="3" t="s">
        <v>144</v>
      </c>
      <c r="B121" s="5">
        <v>306538.0</v>
      </c>
      <c r="C121" s="10">
        <v>277.0</v>
      </c>
      <c r="D121" s="3" t="s">
        <v>118</v>
      </c>
      <c r="E121" s="3">
        <f t="array" ref="E121">xlookup(D121,Sheet3!A:A,Sheet3!B:B)</f>
        <v>3</v>
      </c>
      <c r="F121" s="3" t="s">
        <v>72</v>
      </c>
      <c r="G121" s="3">
        <f t="array" ref="G121">xlookup(F121,Sheet2!A:A,Sheet2!B:B)</f>
        <v>34</v>
      </c>
      <c r="H121" s="3" t="s">
        <v>145</v>
      </c>
      <c r="I121" s="3" t="str">
        <f t="array" ref="I121">JOIN("", SORT(MID(LOWER(H121), SEQUENCE(LEN(H121)), 1)))</f>
        <v>   ,aaeiiijjlmmnorrs</v>
      </c>
      <c r="J121" s="3" t="s">
        <v>10</v>
      </c>
      <c r="K121" s="3">
        <f t="array" ref="K121">xlookup(J121,Sheet2!A:A,Sheet2!B:B)</f>
        <v>9</v>
      </c>
      <c r="L121" s="3" t="s">
        <v>145</v>
      </c>
      <c r="M121" s="3" t="s">
        <v>76</v>
      </c>
      <c r="N121" s="3">
        <f t="array" ref="N121">xlookup(M121,Sheet2!A:A,Sheet2!B:B)</f>
        <v>24</v>
      </c>
      <c r="O121" s="3" t="s">
        <v>145</v>
      </c>
      <c r="P121" s="4" t="str">
        <f t="shared" si="1"/>
        <v>277 : [34,9,24],</v>
      </c>
      <c r="Q121" s="4" t="str">
        <f t="shared" si="2"/>
        <v>277 : 3,</v>
      </c>
    </row>
    <row r="122">
      <c r="A122" s="3" t="s">
        <v>667</v>
      </c>
      <c r="B122" s="5">
        <v>150437.0</v>
      </c>
      <c r="C122" s="10">
        <v>283.0</v>
      </c>
      <c r="D122" s="3" t="s">
        <v>459</v>
      </c>
      <c r="E122" s="3">
        <f t="array" ref="E122">xlookup(D122,Sheet3!A:A,Sheet3!B:B)</f>
        <v>0</v>
      </c>
      <c r="F122" s="3" t="s">
        <v>30</v>
      </c>
      <c r="G122" s="3">
        <f t="array" ref="G122">xlookup(F122,Sheet2!A:A,Sheet2!B:B)</f>
        <v>13</v>
      </c>
      <c r="H122" s="3" t="s">
        <v>668</v>
      </c>
      <c r="I122" s="3" t="str">
        <f t="array" ref="I122">JOIN("", SORT(MID(LOWER(H122), SEQUENCE(LEN(H122)), 1)))</f>
        <v>   ,aaaaaaabccddhhiiiijklllmmnnrrssuw</v>
      </c>
      <c r="J122" s="3" t="s">
        <v>114</v>
      </c>
      <c r="K122" s="3">
        <f t="array" ref="K122">xlookup(J122,Sheet2!A:A,Sheet2!B:B)</f>
        <v>12</v>
      </c>
      <c r="L122" s="3" t="s">
        <v>668</v>
      </c>
      <c r="M122" s="3" t="s">
        <v>10</v>
      </c>
      <c r="N122" s="3">
        <f t="array" ref="N122">xlookup(M122,Sheet2!A:A,Sheet2!B:B)</f>
        <v>9</v>
      </c>
      <c r="O122" s="3" t="s">
        <v>668</v>
      </c>
      <c r="P122" s="4" t="str">
        <f t="shared" si="1"/>
        <v>283 : [13,12,9],</v>
      </c>
      <c r="Q122" s="4" t="str">
        <f t="shared" si="2"/>
        <v>283 : 0,</v>
      </c>
    </row>
    <row r="123">
      <c r="A123" s="3" t="s">
        <v>240</v>
      </c>
      <c r="B123" s="5">
        <v>124166.0</v>
      </c>
      <c r="C123" s="10">
        <v>289.0</v>
      </c>
      <c r="D123" s="3" t="s">
        <v>153</v>
      </c>
      <c r="E123" s="3">
        <f t="array" ref="E123">xlookup(D123,Sheet3!A:A,Sheet3!B:B)</f>
        <v>2</v>
      </c>
      <c r="F123" s="3" t="s">
        <v>61</v>
      </c>
      <c r="G123" s="3">
        <f t="array" ref="G123">xlookup(F123,Sheet2!A:A,Sheet2!B:B)</f>
        <v>31</v>
      </c>
      <c r="H123" s="3" t="s">
        <v>241</v>
      </c>
      <c r="I123" s="3" t="str">
        <f t="array" ref="I123">JOIN("", SORT(MID(LOWER(H123), SEQUENCE(LEN(H123)), 1)))</f>
        <v>   ,aaaaaaaaaaddghhiilllmnnnrstty</v>
      </c>
      <c r="J123" s="3" t="s">
        <v>64</v>
      </c>
      <c r="K123" s="3">
        <f t="array" ref="K123">xlookup(J123,Sheet2!A:A,Sheet2!B:B)</f>
        <v>30</v>
      </c>
      <c r="L123" s="3" t="s">
        <v>241</v>
      </c>
      <c r="M123" s="3" t="s">
        <v>63</v>
      </c>
      <c r="N123" s="3">
        <f t="array" ref="N123">xlookup(M123,Sheet2!A:A,Sheet2!B:B)</f>
        <v>29</v>
      </c>
      <c r="O123" s="3" t="s">
        <v>241</v>
      </c>
      <c r="P123" s="4" t="str">
        <f t="shared" si="1"/>
        <v>289 : [31,30,29],</v>
      </c>
      <c r="Q123" s="4" t="str">
        <f t="shared" si="2"/>
        <v>289 : 2,</v>
      </c>
    </row>
    <row r="124">
      <c r="A124" s="3" t="s">
        <v>672</v>
      </c>
      <c r="B124" s="5">
        <v>178492.0</v>
      </c>
      <c r="C124" s="10">
        <v>296.0</v>
      </c>
      <c r="D124" s="3" t="s">
        <v>459</v>
      </c>
      <c r="E124" s="3">
        <f t="array" ref="E124">xlookup(D124,Sheet3!A:A,Sheet3!B:B)</f>
        <v>0</v>
      </c>
      <c r="F124" s="3" t="s">
        <v>109</v>
      </c>
      <c r="G124" s="3">
        <f t="array" ref="G124">xlookup(F124,Sheet2!A:A,Sheet2!B:B)</f>
        <v>49</v>
      </c>
      <c r="H124" s="3" t="s">
        <v>673</v>
      </c>
      <c r="I124" s="3" t="str">
        <f t="array" ref="I124">JOIN("", SORT(MID(LOWER(H124), SEQUENCE(LEN(H124)), 1)))</f>
        <v>     ,,aaabcdeeeffgghiilmnnnnrrsssuuvw</v>
      </c>
      <c r="J124" s="3" t="s">
        <v>28</v>
      </c>
      <c r="K124" s="3">
        <f t="array" ref="K124">xlookup(J124,Sheet2!A:A,Sheet2!B:B)</f>
        <v>32</v>
      </c>
      <c r="L124" s="3" t="s">
        <v>673</v>
      </c>
      <c r="M124" s="3" t="s">
        <v>35</v>
      </c>
      <c r="N124" s="3">
        <f t="array" ref="N124">xlookup(M124,Sheet2!A:A,Sheet2!B:B)</f>
        <v>45</v>
      </c>
      <c r="O124" s="3" t="s">
        <v>673</v>
      </c>
      <c r="P124" s="4" t="str">
        <f t="shared" si="1"/>
        <v>296 : [49,32,45],</v>
      </c>
      <c r="Q124" s="4" t="str">
        <f t="shared" si="2"/>
        <v>296 : 0,</v>
      </c>
    </row>
    <row r="125">
      <c r="A125" s="3" t="s">
        <v>678</v>
      </c>
      <c r="B125" s="5">
        <v>151672.0</v>
      </c>
      <c r="C125" s="10">
        <v>302.0</v>
      </c>
      <c r="D125" s="3" t="s">
        <v>459</v>
      </c>
      <c r="E125" s="3">
        <f t="array" ref="E125">xlookup(D125,Sheet3!A:A,Sheet3!B:B)</f>
        <v>0</v>
      </c>
      <c r="F125" s="3" t="s">
        <v>96</v>
      </c>
      <c r="G125" s="3">
        <f t="array" ref="G125">xlookup(F125,Sheet2!A:A,Sheet2!B:B)</f>
        <v>47</v>
      </c>
      <c r="H125" s="3" t="s">
        <v>679</v>
      </c>
      <c r="I125" s="3" t="str">
        <f t="array" ref="I125">JOIN("", SORT(MID(LOWER(H125), SEQUENCE(LEN(H125)), 1)))</f>
        <v>   ,()adeeeeikmnnnoprrtw</v>
      </c>
      <c r="J125" s="3" t="s">
        <v>124</v>
      </c>
      <c r="K125" s="3">
        <f t="array" ref="K125">xlookup(J125,Sheet2!A:A,Sheet2!B:B)</f>
        <v>46</v>
      </c>
      <c r="L125" s="3" t="s">
        <v>679</v>
      </c>
      <c r="M125" s="3" t="s">
        <v>39</v>
      </c>
      <c r="N125" s="3">
        <f t="array" ref="N125">xlookup(M125,Sheet2!A:A,Sheet2!B:B)</f>
        <v>20</v>
      </c>
      <c r="O125" s="3" t="s">
        <v>679</v>
      </c>
      <c r="P125" s="4" t="str">
        <f t="shared" si="1"/>
        <v>302 : [47,46,20],</v>
      </c>
      <c r="Q125" s="4" t="str">
        <f t="shared" si="2"/>
        <v>302 : 0,</v>
      </c>
    </row>
    <row r="126">
      <c r="A126" s="3" t="s">
        <v>411</v>
      </c>
      <c r="B126" s="5">
        <v>148487.0</v>
      </c>
      <c r="C126" s="10">
        <v>305.0</v>
      </c>
      <c r="D126" s="3" t="s">
        <v>459</v>
      </c>
      <c r="E126" s="3">
        <f t="array" ref="E126">xlookup(D126,Sheet3!A:A,Sheet3!B:B)</f>
        <v>0</v>
      </c>
      <c r="F126" s="3" t="s">
        <v>72</v>
      </c>
      <c r="G126" s="3">
        <f t="array" ref="G126">xlookup(F126,Sheet2!A:A,Sheet2!B:B)</f>
        <v>34</v>
      </c>
      <c r="H126" s="3" t="s">
        <v>410</v>
      </c>
      <c r="I126" s="3" t="str">
        <f t="array" ref="I126">JOIN("", SORT(MID(LOWER(H126), SEQUENCE(LEN(H126)), 1)))</f>
        <v>   ,abbcdeeghiiijnnnnnorrsty</v>
      </c>
      <c r="J126" s="3" t="s">
        <v>7</v>
      </c>
      <c r="K126" s="3">
        <f t="array" ref="K126">xlookup(J126,Sheet2!A:A,Sheet2!B:B)</f>
        <v>15</v>
      </c>
      <c r="L126" s="3" t="s">
        <v>410</v>
      </c>
      <c r="M126" s="3" t="s">
        <v>10</v>
      </c>
      <c r="N126" s="3">
        <f t="array" ref="N126">xlookup(M126,Sheet2!A:A,Sheet2!B:B)</f>
        <v>9</v>
      </c>
      <c r="O126" s="3" t="s">
        <v>410</v>
      </c>
      <c r="P126" s="4" t="str">
        <f t="shared" si="1"/>
        <v>305 : [34,15,9],</v>
      </c>
      <c r="Q126" s="4" t="str">
        <f t="shared" si="2"/>
        <v>305 : 0,</v>
      </c>
    </row>
    <row r="127">
      <c r="A127" s="3" t="s">
        <v>246</v>
      </c>
      <c r="B127" s="5">
        <v>111838.0</v>
      </c>
      <c r="C127" s="10">
        <v>306.0</v>
      </c>
      <c r="D127" s="3" t="s">
        <v>153</v>
      </c>
      <c r="E127" s="3">
        <f t="array" ref="E127">xlookup(D127,Sheet3!A:A,Sheet3!B:B)</f>
        <v>2</v>
      </c>
      <c r="F127" s="3" t="s">
        <v>74</v>
      </c>
      <c r="G127" s="3">
        <f t="array" ref="G127">xlookup(F127,Sheet2!A:A,Sheet2!B:B)</f>
        <v>50</v>
      </c>
      <c r="H127" s="3" t="s">
        <v>247</v>
      </c>
      <c r="I127" s="3" t="str">
        <f t="array" ref="I127">JOIN("", SORT(MID(LOWER(H127), SEQUENCE(LEN(H127)), 1)))</f>
        <v>   ,aaaadddeehiikknnprrsvy</v>
      </c>
      <c r="J127" s="3" t="s">
        <v>76</v>
      </c>
      <c r="K127" s="3">
        <f t="array" ref="K127">xlookup(J127,Sheet2!A:A,Sheet2!B:B)</f>
        <v>24</v>
      </c>
      <c r="L127" s="3" t="s">
        <v>247</v>
      </c>
      <c r="M127" s="3" t="s">
        <v>72</v>
      </c>
      <c r="N127" s="3">
        <f t="array" ref="N127">xlookup(M127,Sheet2!A:A,Sheet2!B:B)</f>
        <v>34</v>
      </c>
      <c r="O127" s="3" t="s">
        <v>247</v>
      </c>
      <c r="P127" s="4" t="str">
        <f t="shared" si="1"/>
        <v>306 : [50,24,34],</v>
      </c>
      <c r="Q127" s="4" t="str">
        <f t="shared" si="2"/>
        <v>306 : 2,</v>
      </c>
    </row>
    <row r="128">
      <c r="A128" s="3" t="s">
        <v>409</v>
      </c>
      <c r="B128" s="5">
        <v>138608.0</v>
      </c>
      <c r="C128" s="10">
        <v>308.0</v>
      </c>
      <c r="D128" s="3" t="s">
        <v>282</v>
      </c>
      <c r="E128" s="3">
        <f t="array" ref="E128">xlookup(D128,Sheet3!A:A,Sheet3!B:B)</f>
        <v>1</v>
      </c>
      <c r="F128" s="3" t="s">
        <v>72</v>
      </c>
      <c r="G128" s="3">
        <f t="array" ref="G128">xlookup(F128,Sheet2!A:A,Sheet2!B:B)</f>
        <v>34</v>
      </c>
      <c r="H128" s="3" t="s">
        <v>411</v>
      </c>
      <c r="I128" s="3" t="str">
        <f t="array" ref="I128">JOIN("", SORT(MID(LOWER(H128), SEQUENCE(LEN(H128)), 1)))</f>
        <v> bcdeehinnorrsy</v>
      </c>
      <c r="J128" s="3" t="s">
        <v>7</v>
      </c>
      <c r="K128" s="3">
        <f t="array" ref="K128">xlookup(J128,Sheet2!A:A,Sheet2!B:B)</f>
        <v>15</v>
      </c>
      <c r="L128" s="3" t="s">
        <v>411</v>
      </c>
      <c r="M128" s="3" t="s">
        <v>10</v>
      </c>
      <c r="N128" s="3">
        <f t="array" ref="N128">xlookup(M128,Sheet2!A:A,Sheet2!B:B)</f>
        <v>9</v>
      </c>
      <c r="O128" s="3" t="s">
        <v>411</v>
      </c>
      <c r="P128" s="4" t="str">
        <f t="shared" si="1"/>
        <v>308 : [34,15,9],</v>
      </c>
      <c r="Q128" s="4" t="str">
        <f t="shared" si="2"/>
        <v>308 : 1,</v>
      </c>
    </row>
    <row r="129">
      <c r="A129" s="3" t="s">
        <v>52</v>
      </c>
      <c r="B129" s="5">
        <v>111512.0</v>
      </c>
      <c r="C129" s="10">
        <v>309.0</v>
      </c>
      <c r="D129" s="3" t="s">
        <v>1</v>
      </c>
      <c r="E129" s="3">
        <f t="array" ref="E129">xlookup(D129,Sheet3!A:A,Sheet3!B:B)</f>
        <v>5</v>
      </c>
      <c r="F129" s="3" t="s">
        <v>20</v>
      </c>
      <c r="G129" s="3">
        <f t="array" ref="G129">xlookup(F129,Sheet2!A:A,Sheet2!B:B)</f>
        <v>48</v>
      </c>
      <c r="H129" s="3" t="s">
        <v>53</v>
      </c>
      <c r="I129" s="3" t="str">
        <f t="array" ref="I129">JOIN("", SORT(MID(LOWER(H129), SEQUENCE(LEN(H129)), 1)))</f>
        <v>     ,,aaaaccehhiiiiilllllmooprrssuuuy</v>
      </c>
      <c r="J129" s="3" t="s">
        <v>21</v>
      </c>
      <c r="K129" s="3">
        <f t="array" ref="K129">xlookup(J129,Sheet2!A:A,Sheet2!B:B)</f>
        <v>10</v>
      </c>
      <c r="L129" s="3" t="s">
        <v>53</v>
      </c>
      <c r="M129" s="3" t="s">
        <v>34</v>
      </c>
      <c r="N129" s="3">
        <f t="array" ref="N129">xlookup(M129,Sheet2!A:A,Sheet2!B:B)</f>
        <v>8</v>
      </c>
      <c r="O129" s="3" t="s">
        <v>53</v>
      </c>
      <c r="P129" s="4" t="str">
        <f t="shared" si="1"/>
        <v>309 : [48,10,8],</v>
      </c>
      <c r="Q129" s="4" t="str">
        <f t="shared" si="2"/>
        <v>309 : 5,</v>
      </c>
    </row>
    <row r="130">
      <c r="A130" s="3" t="s">
        <v>248</v>
      </c>
      <c r="B130" s="5">
        <v>110571.0</v>
      </c>
      <c r="C130" s="10">
        <v>310.0</v>
      </c>
      <c r="D130" s="3" t="s">
        <v>153</v>
      </c>
      <c r="E130" s="3">
        <f t="array" ref="E130">xlookup(D130,Sheet3!A:A,Sheet3!B:B)</f>
        <v>2</v>
      </c>
      <c r="F130" s="3" t="s">
        <v>74</v>
      </c>
      <c r="G130" s="3">
        <f t="array" ref="G130">xlookup(F130,Sheet2!A:A,Sheet2!B:B)</f>
        <v>50</v>
      </c>
      <c r="H130" s="3" t="s">
        <v>249</v>
      </c>
      <c r="I130" s="3" t="str">
        <f t="array" ref="I130">JOIN("", SORT(MID(LOWER(H130), SEQUENCE(LEN(H130)), 1)))</f>
        <v>   ,aaaaaacehhillmnnnorsuy</v>
      </c>
      <c r="J130" s="3" t="s">
        <v>76</v>
      </c>
      <c r="K130" s="3">
        <f t="array" ref="K130">xlookup(J130,Sheet2!A:A,Sheet2!B:B)</f>
        <v>24</v>
      </c>
      <c r="L130" s="3" t="s">
        <v>249</v>
      </c>
      <c r="M130" s="3" t="s">
        <v>9</v>
      </c>
      <c r="N130" s="3">
        <f t="array" ref="N130">xlookup(M130,Sheet2!A:A,Sheet2!B:B)</f>
        <v>5</v>
      </c>
      <c r="O130" s="3" t="s">
        <v>249</v>
      </c>
      <c r="P130" s="4" t="str">
        <f t="shared" si="1"/>
        <v>310 : [50,24,5],</v>
      </c>
      <c r="Q130" s="4" t="str">
        <f t="shared" si="2"/>
        <v>310 : 2,</v>
      </c>
    </row>
    <row r="131">
      <c r="A131" s="3" t="s">
        <v>680</v>
      </c>
      <c r="B131" s="5">
        <v>180390.0</v>
      </c>
      <c r="C131" s="10">
        <v>311.0</v>
      </c>
      <c r="D131" s="3" t="s">
        <v>459</v>
      </c>
      <c r="E131" s="3">
        <f t="array" ref="E131">xlookup(D131,Sheet3!A:A,Sheet3!B:B)</f>
        <v>0</v>
      </c>
      <c r="F131" s="3" t="s">
        <v>7</v>
      </c>
      <c r="G131" s="3">
        <f t="array" ref="G131">xlookup(F131,Sheet2!A:A,Sheet2!B:B)</f>
        <v>15</v>
      </c>
      <c r="H131" s="3" t="s">
        <v>681</v>
      </c>
      <c r="I131" s="3" t="str">
        <f t="array" ref="I131">JOIN("", SORT(MID(LOWER(H131), SEQUENCE(LEN(H131)), 1)))</f>
        <v>    ,aacccdeeegillnnoorttuy</v>
      </c>
      <c r="J131" s="3" t="s">
        <v>4</v>
      </c>
      <c r="K131" s="3">
        <f t="array" ref="K131">xlookup(J131,Sheet2!A:A,Sheet2!B:B)</f>
        <v>23</v>
      </c>
      <c r="L131" s="3" t="s">
        <v>3</v>
      </c>
      <c r="M131" s="3" t="s">
        <v>42</v>
      </c>
      <c r="N131" s="3">
        <f t="array" ref="N131">xlookup(M131,Sheet2!A:A,Sheet2!B:B)</f>
        <v>14</v>
      </c>
      <c r="O131" s="3" t="s">
        <v>3</v>
      </c>
      <c r="P131" s="4" t="str">
        <f t="shared" si="1"/>
        <v>311 : [15,23,14],</v>
      </c>
      <c r="Q131" s="4" t="str">
        <f t="shared" si="2"/>
        <v>311 : 0,</v>
      </c>
    </row>
    <row r="132">
      <c r="A132" s="3" t="s">
        <v>412</v>
      </c>
      <c r="B132" s="5">
        <v>137122.0</v>
      </c>
      <c r="C132" s="10">
        <v>313.0</v>
      </c>
      <c r="D132" s="3" t="s">
        <v>282</v>
      </c>
      <c r="E132" s="3">
        <f t="array" ref="E132">xlookup(D132,Sheet3!A:A,Sheet3!B:B)</f>
        <v>1</v>
      </c>
      <c r="F132" s="3" t="s">
        <v>9</v>
      </c>
      <c r="G132" s="3">
        <f t="array" ref="G132">xlookup(F132,Sheet2!A:A,Sheet2!B:B)</f>
        <v>5</v>
      </c>
      <c r="H132" s="3" t="s">
        <v>414</v>
      </c>
      <c r="I132" s="3" t="str">
        <f t="array" ref="I132">JOIN("", SORT(MID(LOWER(H132), SEQUENCE(LEN(H132)), 1)))</f>
        <v> aabeiimnssy</v>
      </c>
      <c r="J132" s="3" t="s">
        <v>76</v>
      </c>
      <c r="K132" s="3">
        <f t="array" ref="K132">xlookup(J132,Sheet2!A:A,Sheet2!B:B)</f>
        <v>24</v>
      </c>
      <c r="L132" s="3" t="s">
        <v>414</v>
      </c>
      <c r="M132" s="3" t="s">
        <v>7</v>
      </c>
      <c r="N132" s="3">
        <f t="array" ref="N132">xlookup(M132,Sheet2!A:A,Sheet2!B:B)</f>
        <v>15</v>
      </c>
      <c r="O132" s="3" t="s">
        <v>414</v>
      </c>
      <c r="P132" s="4" t="str">
        <f t="shared" si="1"/>
        <v>313 : [5,24,15],</v>
      </c>
      <c r="Q132" s="4" t="str">
        <f t="shared" si="2"/>
        <v>313 : 1,</v>
      </c>
    </row>
    <row r="133">
      <c r="A133" s="3" t="s">
        <v>683</v>
      </c>
      <c r="B133" s="5">
        <v>137855.0</v>
      </c>
      <c r="C133" s="10">
        <v>314.0</v>
      </c>
      <c r="D133" s="3" t="s">
        <v>459</v>
      </c>
      <c r="E133" s="3">
        <f t="array" ref="E133">xlookup(D133,Sheet3!A:A,Sheet3!B:B)</f>
        <v>0</v>
      </c>
      <c r="F133" s="3" t="s">
        <v>9</v>
      </c>
      <c r="G133" s="3">
        <f t="array" ref="G133">xlookup(F133,Sheet2!A:A,Sheet2!B:B)</f>
        <v>5</v>
      </c>
      <c r="H133" s="3" t="s">
        <v>684</v>
      </c>
      <c r="I133" s="3" t="str">
        <f t="array" ref="I133">JOIN("", SORT(MID(LOWER(H133), SEQUENCE(LEN(H133)), 1)))</f>
        <v>     &amp;aaaaabbceehiiiimmnnorssuy</v>
      </c>
      <c r="J133" s="3" t="s">
        <v>76</v>
      </c>
      <c r="K133" s="3">
        <f t="array" ref="K133">xlookup(J133,Sheet2!A:A,Sheet2!B:B)</f>
        <v>24</v>
      </c>
      <c r="L133" s="3" t="s">
        <v>684</v>
      </c>
      <c r="M133" s="3" t="s">
        <v>7</v>
      </c>
      <c r="N133" s="3">
        <f t="array" ref="N133">xlookup(M133,Sheet2!A:A,Sheet2!B:B)</f>
        <v>15</v>
      </c>
      <c r="O133" s="3" t="s">
        <v>685</v>
      </c>
      <c r="P133" s="4" t="str">
        <f t="shared" si="1"/>
        <v>314 : [5,24,15],</v>
      </c>
      <c r="Q133" s="4" t="str">
        <f t="shared" si="2"/>
        <v>314 : 0,</v>
      </c>
    </row>
    <row r="134">
      <c r="A134" s="3" t="s">
        <v>415</v>
      </c>
      <c r="B134" s="5">
        <v>137374.0</v>
      </c>
      <c r="C134" s="10">
        <v>315.0</v>
      </c>
      <c r="D134" s="3" t="s">
        <v>282</v>
      </c>
      <c r="E134" s="3">
        <f t="array" ref="E134">xlookup(D134,Sheet3!A:A,Sheet3!B:B)</f>
        <v>1</v>
      </c>
      <c r="F134" s="3" t="s">
        <v>64</v>
      </c>
      <c r="G134" s="3">
        <f t="array" ref="G134">xlookup(F134,Sheet2!A:A,Sheet2!B:B)</f>
        <v>30</v>
      </c>
      <c r="H134" s="3" t="s">
        <v>416</v>
      </c>
      <c r="I134" s="3" t="str">
        <f t="array" ref="I134">JOIN("", SORT(MID(LOWER(H134), SEQUENCE(LEN(H134)), 1)))</f>
        <v>   ,aaeeeeiillmnouxxy</v>
      </c>
      <c r="J134" s="3" t="s">
        <v>28</v>
      </c>
      <c r="K134" s="3">
        <f t="array" ref="K134">xlookup(J134,Sheet2!A:A,Sheet2!B:B)</f>
        <v>32</v>
      </c>
      <c r="L134" s="3" t="s">
        <v>416</v>
      </c>
      <c r="M134" s="3" t="s">
        <v>96</v>
      </c>
      <c r="N134" s="3">
        <f t="array" ref="N134">xlookup(M134,Sheet2!A:A,Sheet2!B:B)</f>
        <v>47</v>
      </c>
      <c r="O134" s="3" t="s">
        <v>416</v>
      </c>
      <c r="P134" s="4" t="str">
        <f t="shared" si="1"/>
        <v>315 : [30,32,47],</v>
      </c>
      <c r="Q134" s="4" t="str">
        <f t="shared" si="2"/>
        <v>315 : 1,</v>
      </c>
    </row>
    <row r="135">
      <c r="A135" s="3" t="s">
        <v>686</v>
      </c>
      <c r="B135" s="5">
        <v>323044.0</v>
      </c>
      <c r="C135" s="10">
        <v>317.0</v>
      </c>
      <c r="D135" s="3" t="s">
        <v>459</v>
      </c>
      <c r="E135" s="3">
        <f t="array" ref="E135">xlookup(D135,Sheet3!A:A,Sheet3!B:B)</f>
        <v>0</v>
      </c>
      <c r="F135" s="3" t="s">
        <v>35</v>
      </c>
      <c r="G135" s="3">
        <f t="array" ref="G135">xlookup(F135,Sheet2!A:A,Sheet2!B:B)</f>
        <v>45</v>
      </c>
      <c r="H135" s="3" t="s">
        <v>687</v>
      </c>
      <c r="I135" s="3" t="str">
        <f t="array" ref="I135">JOIN("", SORT(MID(LOWER(H135), SEQUENCE(LEN(H135)), 1)))</f>
        <v>     ,,aaaaaaaaaaccdhhhhiiiiiikkklmnprrrrsstttuw</v>
      </c>
      <c r="J135" s="3" t="s">
        <v>111</v>
      </c>
      <c r="K135" s="3">
        <f t="array" ref="K135">xlookup(J135,Sheet2!A:A,Sheet2!B:B)</f>
        <v>28</v>
      </c>
      <c r="L135" s="3" t="s">
        <v>687</v>
      </c>
      <c r="M135" s="3" t="s">
        <v>114</v>
      </c>
      <c r="N135" s="3">
        <f t="array" ref="N135">xlookup(M135,Sheet2!A:A,Sheet2!B:B)</f>
        <v>12</v>
      </c>
      <c r="O135" s="3" t="s">
        <v>687</v>
      </c>
      <c r="P135" s="4" t="str">
        <f t="shared" si="1"/>
        <v>317 : [45,28,12],</v>
      </c>
      <c r="Q135" s="4" t="str">
        <f t="shared" si="2"/>
        <v>317 : 0,</v>
      </c>
    </row>
    <row r="136">
      <c r="A136" s="3" t="s">
        <v>688</v>
      </c>
      <c r="B136" s="5">
        <v>192465.0</v>
      </c>
      <c r="C136" s="10">
        <v>318.0</v>
      </c>
      <c r="D136" s="3" t="s">
        <v>459</v>
      </c>
      <c r="E136" s="3">
        <f t="array" ref="E136">xlookup(D136,Sheet3!A:A,Sheet3!B:B)</f>
        <v>0</v>
      </c>
      <c r="F136" s="3" t="s">
        <v>35</v>
      </c>
      <c r="G136" s="3">
        <f t="array" ref="G136">xlookup(F136,Sheet2!A:A,Sheet2!B:B)</f>
        <v>45</v>
      </c>
      <c r="H136" s="3" t="s">
        <v>689</v>
      </c>
      <c r="I136" s="3" t="str">
        <f t="array" ref="I136">JOIN("", SORT(MID(LOWER(H136), SEQUENCE(LEN(H136)), 1)))</f>
        <v>     ,,aaaaaaaaaaccdhhhhiiiiiikklmnprrrrrsstttuw</v>
      </c>
      <c r="J136" s="3" t="s">
        <v>111</v>
      </c>
      <c r="K136" s="3">
        <f t="array" ref="K136">xlookup(J136,Sheet2!A:A,Sheet2!B:B)</f>
        <v>28</v>
      </c>
      <c r="L136" s="3" t="s">
        <v>689</v>
      </c>
      <c r="M136" s="3" t="s">
        <v>114</v>
      </c>
      <c r="N136" s="3">
        <f t="array" ref="N136">xlookup(M136,Sheet2!A:A,Sheet2!B:B)</f>
        <v>12</v>
      </c>
      <c r="O136" s="3" t="s">
        <v>689</v>
      </c>
      <c r="P136" s="4" t="str">
        <f t="shared" si="1"/>
        <v>318 : [45,28,12],</v>
      </c>
      <c r="Q136" s="4" t="str">
        <f t="shared" si="2"/>
        <v>318 : 0,</v>
      </c>
    </row>
    <row r="137">
      <c r="A137" s="3" t="s">
        <v>418</v>
      </c>
      <c r="B137" s="5">
        <v>111847.0</v>
      </c>
      <c r="C137" s="10">
        <v>321.0</v>
      </c>
      <c r="D137" s="3" t="s">
        <v>282</v>
      </c>
      <c r="E137" s="3">
        <f t="array" ref="E137">xlookup(D137,Sheet3!A:A,Sheet3!B:B)</f>
        <v>1</v>
      </c>
      <c r="F137" s="3" t="s">
        <v>7</v>
      </c>
      <c r="G137" s="3">
        <f t="array" ref="G137">xlookup(F137,Sheet2!A:A,Sheet2!B:B)</f>
        <v>15</v>
      </c>
      <c r="H137" s="3" t="s">
        <v>419</v>
      </c>
      <c r="I137" s="3" t="str">
        <f t="array" ref="I137">JOIN("", SORT(MID(LOWER(H137), SEQUENCE(LEN(H137)), 1)))</f>
        <v>   ,aacdhlprrttuuuuvy</v>
      </c>
      <c r="J137" s="3" t="s">
        <v>125</v>
      </c>
      <c r="K137" s="3">
        <f t="array" ref="K137">xlookup(J137,Sheet2!A:A,Sheet2!B:B)</f>
        <v>19</v>
      </c>
      <c r="L137" s="3" t="s">
        <v>419</v>
      </c>
      <c r="M137" s="3" t="s">
        <v>10</v>
      </c>
      <c r="N137" s="3">
        <f t="array" ref="N137">xlookup(M137,Sheet2!A:A,Sheet2!B:B)</f>
        <v>9</v>
      </c>
      <c r="O137" s="3" t="s">
        <v>419</v>
      </c>
      <c r="P137" s="4" t="str">
        <f t="shared" si="1"/>
        <v>321 : [15,19,9],</v>
      </c>
      <c r="Q137" s="4" t="str">
        <f t="shared" si="2"/>
        <v>321 : 1,</v>
      </c>
    </row>
    <row r="138">
      <c r="A138" s="3" t="s">
        <v>693</v>
      </c>
      <c r="B138" s="5">
        <v>203326.0</v>
      </c>
      <c r="C138" s="10">
        <v>323.0</v>
      </c>
      <c r="D138" s="3" t="s">
        <v>459</v>
      </c>
      <c r="E138" s="3">
        <f t="array" ref="E138">xlookup(D138,Sheet3!A:A,Sheet3!B:B)</f>
        <v>0</v>
      </c>
      <c r="F138" s="3" t="s">
        <v>9</v>
      </c>
      <c r="G138" s="3">
        <f t="array" ref="G138">xlookup(F138,Sheet2!A:A,Sheet2!B:B)</f>
        <v>5</v>
      </c>
      <c r="H138" s="3" t="s">
        <v>694</v>
      </c>
      <c r="I138" s="3" t="str">
        <f t="array" ref="I138">JOIN("", SORT(MID(LOWER(H138), SEQUENCE(LEN(H138)), 1)))</f>
        <v>   ,aaaaaaaacdghhhhiiiikllmnnnnnrtuvy</v>
      </c>
      <c r="J138" s="3" t="s">
        <v>74</v>
      </c>
      <c r="K138" s="3">
        <f t="array" ref="K138">xlookup(J138,Sheet2!A:A,Sheet2!B:B)</f>
        <v>50</v>
      </c>
      <c r="L138" s="3" t="s">
        <v>694</v>
      </c>
      <c r="M138" s="3" t="s">
        <v>5</v>
      </c>
      <c r="N138" s="3">
        <f t="array" ref="N138">xlookup(M138,Sheet2!A:A,Sheet2!B:B)</f>
        <v>35</v>
      </c>
      <c r="O138" s="3" t="s">
        <v>694</v>
      </c>
      <c r="P138" s="4" t="str">
        <f t="shared" si="1"/>
        <v>323 : [5,50,35],</v>
      </c>
      <c r="Q138" s="4" t="str">
        <f t="shared" si="2"/>
        <v>323 : 0,</v>
      </c>
    </row>
    <row r="139">
      <c r="A139" s="3" t="s">
        <v>699</v>
      </c>
      <c r="B139" s="5">
        <v>149907.0</v>
      </c>
      <c r="C139" s="10">
        <v>327.0</v>
      </c>
      <c r="D139" s="3" t="s">
        <v>459</v>
      </c>
      <c r="E139" s="3">
        <f t="array" ref="E139">xlookup(D139,Sheet3!A:A,Sheet3!B:B)</f>
        <v>0</v>
      </c>
      <c r="F139" s="3" t="s">
        <v>74</v>
      </c>
      <c r="G139" s="3">
        <f t="array" ref="G139">xlookup(F139,Sheet2!A:A,Sheet2!B:B)</f>
        <v>50</v>
      </c>
      <c r="H139" s="3" t="s">
        <v>700</v>
      </c>
      <c r="I139" s="3" t="str">
        <f t="array" ref="I139">JOIN("", SORT(MID(LOWER(H139), SEQUENCE(LEN(H139)), 1)))</f>
        <v>   ,aaaaaaaeehhkklnprtttuy</v>
      </c>
      <c r="J139" s="3" t="s">
        <v>76</v>
      </c>
      <c r="K139" s="3">
        <f t="array" ref="K139">xlookup(J139,Sheet2!A:A,Sheet2!B:B)</f>
        <v>24</v>
      </c>
      <c r="L139" s="3" t="s">
        <v>700</v>
      </c>
      <c r="M139" s="3" t="s">
        <v>7</v>
      </c>
      <c r="N139" s="3">
        <f t="array" ref="N139">xlookup(M139,Sheet2!A:A,Sheet2!B:B)</f>
        <v>15</v>
      </c>
      <c r="O139" s="3" t="s">
        <v>700</v>
      </c>
      <c r="P139" s="4" t="str">
        <f t="shared" si="1"/>
        <v>327 : [50,24,15],</v>
      </c>
      <c r="Q139" s="4" t="str">
        <f t="shared" si="2"/>
        <v>327 : 0,</v>
      </c>
    </row>
    <row r="140">
      <c r="A140" s="3" t="s">
        <v>54</v>
      </c>
      <c r="B140" s="5">
        <v>163664.0</v>
      </c>
      <c r="C140" s="10">
        <v>329.0</v>
      </c>
      <c r="D140" s="3" t="s">
        <v>1</v>
      </c>
      <c r="E140" s="3">
        <f t="array" ref="E140">xlookup(D140,Sheet3!A:A,Sheet3!B:B)</f>
        <v>5</v>
      </c>
      <c r="F140" s="3" t="s">
        <v>32</v>
      </c>
      <c r="G140" s="3">
        <f t="array" ref="G140">xlookup(F140,Sheet2!A:A,Sheet2!B:B)</f>
        <v>11</v>
      </c>
      <c r="H140" s="3" t="s">
        <v>55</v>
      </c>
      <c r="I140" s="3" t="str">
        <f t="array" ref="I140">JOIN("", SORT(MID(LOWER(H140), SEQUENCE(LEN(H140)), 1)))</f>
        <v>     ,,aaaabceeeghhiiiijklllllnooossuvy</v>
      </c>
      <c r="J140" s="3" t="s">
        <v>34</v>
      </c>
      <c r="K140" s="3">
        <f t="array" ref="K140">xlookup(J140,Sheet2!A:A,Sheet2!B:B)</f>
        <v>8</v>
      </c>
      <c r="L140" s="3" t="s">
        <v>55</v>
      </c>
      <c r="M140" s="3" t="s">
        <v>35</v>
      </c>
      <c r="N140" s="3">
        <f t="array" ref="N140">xlookup(M140,Sheet2!A:A,Sheet2!B:B)</f>
        <v>45</v>
      </c>
      <c r="O140" s="3" t="s">
        <v>55</v>
      </c>
      <c r="P140" s="4" t="str">
        <f t="shared" si="1"/>
        <v>329 : [11,8,45],</v>
      </c>
      <c r="Q140" s="4" t="str">
        <f t="shared" si="2"/>
        <v>329 : 5,</v>
      </c>
    </row>
    <row r="141">
      <c r="A141" s="3" t="s">
        <v>705</v>
      </c>
      <c r="B141" s="5">
        <v>311782.0</v>
      </c>
      <c r="C141" s="10">
        <v>332.0</v>
      </c>
      <c r="D141" s="3" t="s">
        <v>459</v>
      </c>
      <c r="E141" s="3">
        <f t="array" ref="E141">xlookup(D141,Sheet3!A:A,Sheet3!B:B)</f>
        <v>0</v>
      </c>
      <c r="F141" s="3" t="s">
        <v>184</v>
      </c>
      <c r="G141" s="3">
        <f t="array" ref="G141">xlookup(F141,Sheet2!A:A,Sheet2!B:B)</f>
        <v>4</v>
      </c>
      <c r="H141" s="3" t="s">
        <v>706</v>
      </c>
      <c r="I141" s="3" t="str">
        <f t="array" ref="I141">JOIN("", SORT(MID(LOWER(H141), SEQUENCE(LEN(H141)), 1)))</f>
        <v>      ,,aaaaaabbeeehhiijmmnnnnorrtttt</v>
      </c>
      <c r="J141" s="3" t="s">
        <v>64</v>
      </c>
      <c r="K141" s="3">
        <f t="array" ref="K141">xlookup(J141,Sheet2!A:A,Sheet2!B:B)</f>
        <v>30</v>
      </c>
      <c r="L141" s="3" t="s">
        <v>706</v>
      </c>
      <c r="M141" s="3" t="s">
        <v>111</v>
      </c>
      <c r="N141" s="3">
        <f t="array" ref="N141">xlookup(M141,Sheet2!A:A,Sheet2!B:B)</f>
        <v>28</v>
      </c>
      <c r="O141" s="3" t="s">
        <v>706</v>
      </c>
      <c r="P141" s="4" t="str">
        <f t="shared" si="1"/>
        <v>332 : [4,30,28],</v>
      </c>
      <c r="Q141" s="4" t="str">
        <f t="shared" si="2"/>
        <v>332 : 0,</v>
      </c>
    </row>
    <row r="142">
      <c r="A142" s="3" t="s">
        <v>713</v>
      </c>
      <c r="B142" s="5">
        <v>152330.0</v>
      </c>
      <c r="C142" s="10">
        <v>338.0</v>
      </c>
      <c r="D142" s="3" t="s">
        <v>459</v>
      </c>
      <c r="E142" s="3">
        <f t="array" ref="E142">xlookup(D142,Sheet3!A:A,Sheet3!B:B)</f>
        <v>0</v>
      </c>
      <c r="F142" s="3" t="s">
        <v>20</v>
      </c>
      <c r="G142" s="3">
        <f t="array" ref="G142">xlookup(F142,Sheet2!A:A,Sheet2!B:B)</f>
        <v>48</v>
      </c>
      <c r="H142" s="3" t="s">
        <v>714</v>
      </c>
      <c r="I142" s="3" t="str">
        <f t="array" ref="I142">JOIN("", SORT(MID(LOWER(H142), SEQUENCE(LEN(H142)), 1)))</f>
        <v>     ,,aaaaaaaaaaaaabcdghhiiiikkllnnnnnprrrstuuvvy</v>
      </c>
      <c r="J142" s="3" t="s">
        <v>25</v>
      </c>
      <c r="K142" s="3">
        <f t="array" ref="K142">xlookup(J142,Sheet2!A:A,Sheet2!B:B)</f>
        <v>18</v>
      </c>
      <c r="L142" s="3" t="s">
        <v>714</v>
      </c>
      <c r="M142" s="3" t="s">
        <v>34</v>
      </c>
      <c r="N142" s="3">
        <f t="array" ref="N142">xlookup(M142,Sheet2!A:A,Sheet2!B:B)</f>
        <v>8</v>
      </c>
      <c r="O142" s="3" t="s">
        <v>714</v>
      </c>
      <c r="P142" s="4" t="str">
        <f t="shared" si="1"/>
        <v>338 : [48,18,8],</v>
      </c>
      <c r="Q142" s="4" t="str">
        <f t="shared" si="2"/>
        <v>338 : 0,</v>
      </c>
    </row>
    <row r="143">
      <c r="A143" s="3" t="s">
        <v>422</v>
      </c>
      <c r="B143" s="5">
        <v>188263.0</v>
      </c>
      <c r="C143" s="10">
        <v>342.0</v>
      </c>
      <c r="D143" s="3" t="s">
        <v>282</v>
      </c>
      <c r="E143" s="3">
        <f t="array" ref="E143">xlookup(D143,Sheet3!A:A,Sheet3!B:B)</f>
        <v>1</v>
      </c>
      <c r="F143" s="3" t="s">
        <v>74</v>
      </c>
      <c r="G143" s="3">
        <f t="array" ref="G143">xlookup(F143,Sheet2!A:A,Sheet2!B:B)</f>
        <v>50</v>
      </c>
      <c r="H143" s="3" t="s">
        <v>1659</v>
      </c>
      <c r="I143" s="3" t="str">
        <f t="array" ref="I143">JOIN("", SORT(MID(LOWER(H143), SEQUENCE(LEN(H143)), 1)))</f>
        <v>  aadehiinpruy</v>
      </c>
      <c r="J143" s="3" t="s">
        <v>125</v>
      </c>
      <c r="K143" s="3">
        <f t="array" ref="K143">xlookup(J143,Sheet2!A:A,Sheet2!B:B)</f>
        <v>19</v>
      </c>
      <c r="L143" s="3" t="s">
        <v>424</v>
      </c>
      <c r="M143" s="3" t="s">
        <v>9</v>
      </c>
      <c r="N143" s="3">
        <f t="array" ref="N143">xlookup(M143,Sheet2!A:A,Sheet2!B:B)</f>
        <v>5</v>
      </c>
      <c r="O143" s="3" t="s">
        <v>424</v>
      </c>
      <c r="P143" s="4" t="str">
        <f t="shared" si="1"/>
        <v>342 : [50,19,5],</v>
      </c>
      <c r="Q143" s="4" t="str">
        <f t="shared" si="2"/>
        <v>342 : 1,</v>
      </c>
    </row>
    <row r="144">
      <c r="A144" s="3" t="s">
        <v>251</v>
      </c>
      <c r="B144" s="5">
        <v>136210.0</v>
      </c>
      <c r="C144" s="10">
        <v>343.0</v>
      </c>
      <c r="D144" s="3" t="s">
        <v>153</v>
      </c>
      <c r="E144" s="3">
        <f t="array" ref="E144">xlookup(D144,Sheet3!A:A,Sheet3!B:B)</f>
        <v>2</v>
      </c>
      <c r="F144" s="3" t="s">
        <v>74</v>
      </c>
      <c r="G144" s="3">
        <f t="array" ref="G144">xlookup(F144,Sheet2!A:A,Sheet2!B:B)</f>
        <v>50</v>
      </c>
      <c r="H144" s="3" t="s">
        <v>252</v>
      </c>
      <c r="I144" s="3" t="str">
        <f t="array" ref="I144">JOIN("", SORT(MID(LOWER(H144), SEQUENCE(LEN(H144)), 1)))</f>
        <v>   ,aaaaaehiikkllmmnrssv</v>
      </c>
      <c r="J144" s="3" t="s">
        <v>76</v>
      </c>
      <c r="K144" s="3">
        <f t="array" ref="K144">xlookup(J144,Sheet2!A:A,Sheet2!B:B)</f>
        <v>24</v>
      </c>
      <c r="L144" s="3" t="s">
        <v>252</v>
      </c>
      <c r="M144" s="3" t="s">
        <v>125</v>
      </c>
      <c r="N144" s="3">
        <f t="array" ref="N144">xlookup(M144,Sheet2!A:A,Sheet2!B:B)</f>
        <v>19</v>
      </c>
      <c r="O144" s="3" t="s">
        <v>252</v>
      </c>
      <c r="P144" s="4" t="str">
        <f t="shared" si="1"/>
        <v>343 : [50,24,19],</v>
      </c>
      <c r="Q144" s="4" t="str">
        <f t="shared" si="2"/>
        <v>343 : 2,</v>
      </c>
    </row>
    <row r="145">
      <c r="A145" s="3" t="s">
        <v>719</v>
      </c>
      <c r="B145" s="5">
        <v>152069.0</v>
      </c>
      <c r="C145" s="10">
        <v>345.0</v>
      </c>
      <c r="D145" s="3" t="s">
        <v>459</v>
      </c>
      <c r="E145" s="3">
        <f t="array" ref="E145">xlookup(D145,Sheet3!A:A,Sheet3!B:B)</f>
        <v>0</v>
      </c>
      <c r="F145" s="3" t="s">
        <v>21</v>
      </c>
      <c r="G145" s="3">
        <f t="array" ref="G145">xlookup(F145,Sheet2!A:A,Sheet2!B:B)</f>
        <v>10</v>
      </c>
      <c r="H145" s="3" t="s">
        <v>720</v>
      </c>
      <c r="I145" s="3" t="str">
        <f t="array" ref="I145">JOIN("", SORT(MID(LOWER(H145), SEQUENCE(LEN(H145)), 1)))</f>
        <v>     ,,aaaaaaaadiiiijjklllmnnprrrrstuuuvy</v>
      </c>
      <c r="J145" s="3" t="s">
        <v>114</v>
      </c>
      <c r="K145" s="3">
        <f t="array" ref="K145">xlookup(J145,Sheet2!A:A,Sheet2!B:B)</f>
        <v>12</v>
      </c>
      <c r="L145" s="3" t="s">
        <v>720</v>
      </c>
      <c r="M145" s="3" t="s">
        <v>30</v>
      </c>
      <c r="N145" s="3">
        <f t="array" ref="N145">xlookup(M145,Sheet2!A:A,Sheet2!B:B)</f>
        <v>13</v>
      </c>
      <c r="O145" s="3" t="s">
        <v>720</v>
      </c>
      <c r="P145" s="4" t="str">
        <f t="shared" si="1"/>
        <v>345 : [10,12,13],</v>
      </c>
      <c r="Q145" s="4" t="str">
        <f t="shared" si="2"/>
        <v>345 : 0,</v>
      </c>
    </row>
    <row r="146">
      <c r="A146" s="3" t="s">
        <v>190</v>
      </c>
      <c r="B146" s="5">
        <v>180335.0</v>
      </c>
      <c r="C146" s="10">
        <v>351.0</v>
      </c>
      <c r="D146" s="3" t="s">
        <v>153</v>
      </c>
      <c r="E146" s="3">
        <f t="array" ref="E146">xlookup(D146,Sheet3!A:A,Sheet3!B:B)</f>
        <v>2</v>
      </c>
      <c r="F146" s="3" t="s">
        <v>20</v>
      </c>
      <c r="G146" s="3">
        <f t="array" ref="G146">xlookup(F146,Sheet2!A:A,Sheet2!B:B)</f>
        <v>48</v>
      </c>
      <c r="H146" s="3" t="s">
        <v>255</v>
      </c>
      <c r="I146" s="3" t="str">
        <f t="array" ref="I146">JOIN("", SORT(MID(LOWER(H146), SEQUENCE(LEN(H146)), 1)))</f>
        <v>   ,aaabdeeghiijlmnnnnrwz</v>
      </c>
      <c r="J146" s="3" t="s">
        <v>26</v>
      </c>
      <c r="K146" s="3">
        <f t="array" ref="K146">xlookup(J146,Sheet2!A:A,Sheet2!B:B)</f>
        <v>7</v>
      </c>
      <c r="L146" s="3" t="s">
        <v>255</v>
      </c>
      <c r="M146" s="3" t="s">
        <v>18</v>
      </c>
      <c r="N146" s="3">
        <f t="array" ref="N146">xlookup(M146,Sheet2!A:A,Sheet2!B:B)</f>
        <v>22</v>
      </c>
      <c r="O146" s="3" t="s">
        <v>255</v>
      </c>
      <c r="P146" s="4" t="str">
        <f t="shared" si="1"/>
        <v>351 : [48,7,22],</v>
      </c>
      <c r="Q146" s="4" t="str">
        <f t="shared" si="2"/>
        <v>351 : 2,</v>
      </c>
    </row>
    <row r="147">
      <c r="A147" s="3" t="s">
        <v>426</v>
      </c>
      <c r="B147" s="5">
        <v>314879.0</v>
      </c>
      <c r="C147" s="10">
        <v>352.0</v>
      </c>
      <c r="D147" s="3" t="s">
        <v>282</v>
      </c>
      <c r="E147" s="3">
        <f t="array" ref="E147">xlookup(D147,Sheet3!A:A,Sheet3!B:B)</f>
        <v>1</v>
      </c>
      <c r="F147" s="3" t="s">
        <v>20</v>
      </c>
      <c r="G147" s="3">
        <f t="array" ref="G147">xlookup(F147,Sheet2!A:A,Sheet2!B:B)</f>
        <v>48</v>
      </c>
      <c r="H147" s="3" t="s">
        <v>427</v>
      </c>
      <c r="I147" s="3" t="str">
        <f t="array" ref="I147">JOIN("", SORT(MID(LOWER(H147), SEQUENCE(LEN(H147)), 1)))</f>
        <v>     ,,aaaabdeeeghhiiijlmnnnnnnorswz</v>
      </c>
      <c r="J147" s="3" t="s">
        <v>26</v>
      </c>
      <c r="K147" s="3">
        <f t="array" ref="K147">xlookup(J147,Sheet2!A:A,Sheet2!B:B)</f>
        <v>7</v>
      </c>
      <c r="L147" s="3" t="s">
        <v>427</v>
      </c>
      <c r="M147" s="3" t="s">
        <v>18</v>
      </c>
      <c r="N147" s="3">
        <f t="array" ref="N147">xlookup(M147,Sheet2!A:A,Sheet2!B:B)</f>
        <v>22</v>
      </c>
      <c r="O147" s="3" t="s">
        <v>427</v>
      </c>
      <c r="P147" s="4" t="str">
        <f t="shared" si="1"/>
        <v>352 : [48,7,22],</v>
      </c>
      <c r="Q147" s="4" t="str">
        <f t="shared" si="2"/>
        <v>352 : 1,</v>
      </c>
    </row>
    <row r="148">
      <c r="A148" s="3" t="s">
        <v>430</v>
      </c>
      <c r="B148" s="5">
        <v>157788.0</v>
      </c>
      <c r="C148" s="10">
        <v>354.0</v>
      </c>
      <c r="D148" s="3" t="s">
        <v>282</v>
      </c>
      <c r="E148" s="3">
        <f t="array" ref="E148">xlookup(D148,Sheet3!A:A,Sheet3!B:B)</f>
        <v>1</v>
      </c>
      <c r="F148" s="3" t="s">
        <v>74</v>
      </c>
      <c r="G148" s="3">
        <f t="array" ref="G148">xlookup(F148,Sheet2!A:A,Sheet2!B:B)</f>
        <v>50</v>
      </c>
      <c r="H148" s="3" t="s">
        <v>431</v>
      </c>
      <c r="I148" s="3" t="str">
        <f t="array" ref="I148">JOIN("", SORT(MID(LOWER(H148), SEQUENCE(LEN(H148)), 1)))</f>
        <v>   ,aaaaaddehhiiimmmnnsv</v>
      </c>
      <c r="J148" s="3" t="s">
        <v>9</v>
      </c>
      <c r="K148" s="3">
        <f t="array" ref="K148">xlookup(J148,Sheet2!A:A,Sheet2!B:B)</f>
        <v>5</v>
      </c>
      <c r="L148" s="3" t="s">
        <v>431</v>
      </c>
      <c r="M148" s="3" t="s">
        <v>96</v>
      </c>
      <c r="N148" s="3">
        <f t="array" ref="N148">xlookup(M148,Sheet2!A:A,Sheet2!B:B)</f>
        <v>47</v>
      </c>
      <c r="O148" s="3" t="s">
        <v>431</v>
      </c>
      <c r="P148" s="4" t="str">
        <f t="shared" si="1"/>
        <v>354 : [50,5,47],</v>
      </c>
      <c r="Q148" s="4" t="str">
        <f t="shared" si="2"/>
        <v>354 : 1,</v>
      </c>
    </row>
  </sheetData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15</v>
      </c>
      <c r="B1" s="5">
        <v>0.0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207</v>
      </c>
      <c r="B2" s="5">
        <v>1.0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 t="s">
        <v>212</v>
      </c>
      <c r="B3" s="5">
        <v>2.0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 t="s">
        <v>16</v>
      </c>
      <c r="B4" s="5">
        <v>3.0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 t="s">
        <v>184</v>
      </c>
      <c r="B5" s="5">
        <v>4.0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 t="s">
        <v>9</v>
      </c>
      <c r="B6" s="5">
        <v>5.0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 t="s">
        <v>38</v>
      </c>
      <c r="B7" s="5">
        <v>6.0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 t="s">
        <v>26</v>
      </c>
      <c r="B8" s="5">
        <v>7.0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 t="s">
        <v>34</v>
      </c>
      <c r="B9" s="5">
        <v>8.0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 t="s">
        <v>10</v>
      </c>
      <c r="B10" s="5">
        <v>9.0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 t="s">
        <v>21</v>
      </c>
      <c r="B11" s="5">
        <v>10.0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 t="s">
        <v>32</v>
      </c>
      <c r="B12" s="5">
        <v>11.0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 t="s">
        <v>114</v>
      </c>
      <c r="B13" s="5">
        <v>12.0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 t="s">
        <v>30</v>
      </c>
      <c r="B14" s="5">
        <v>13.0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 t="s">
        <v>42</v>
      </c>
      <c r="B15" s="5">
        <v>14.0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 t="s">
        <v>7</v>
      </c>
      <c r="B16" s="5">
        <v>15.0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 t="s">
        <v>170</v>
      </c>
      <c r="B17" s="5">
        <v>16.0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 t="s">
        <v>13</v>
      </c>
      <c r="B18" s="5">
        <v>17.0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 t="s">
        <v>25</v>
      </c>
      <c r="B19" s="5">
        <v>18.0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 t="s">
        <v>125</v>
      </c>
      <c r="B20" s="5">
        <v>19.0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 t="s">
        <v>39</v>
      </c>
      <c r="B21" s="5">
        <v>20.0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 t="s">
        <v>139</v>
      </c>
      <c r="B22" s="5">
        <v>21.0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 t="s">
        <v>18</v>
      </c>
      <c r="B23" s="5">
        <v>22.0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 t="s">
        <v>4</v>
      </c>
      <c r="B24" s="5">
        <v>23.0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 t="s">
        <v>76</v>
      </c>
      <c r="B25" s="5">
        <v>24.0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 t="s">
        <v>2</v>
      </c>
      <c r="B26" s="5">
        <v>25.0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 t="s">
        <v>105</v>
      </c>
      <c r="B27" s="5">
        <v>26.0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 t="s">
        <v>47</v>
      </c>
      <c r="B28" s="5">
        <v>27.0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 t="s">
        <v>111</v>
      </c>
      <c r="B29" s="5">
        <v>28.0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 t="s">
        <v>63</v>
      </c>
      <c r="B30" s="5">
        <v>29.0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 t="s">
        <v>64</v>
      </c>
      <c r="B31" s="5">
        <v>30.0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 t="s">
        <v>61</v>
      </c>
      <c r="B32" s="5">
        <v>31.0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 t="s">
        <v>28</v>
      </c>
      <c r="B33" s="5">
        <v>32.0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 t="s">
        <v>167</v>
      </c>
      <c r="B34" s="5">
        <v>33.0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 t="s">
        <v>72</v>
      </c>
      <c r="B35" s="5">
        <v>34.0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 t="s">
        <v>5</v>
      </c>
      <c r="B36" s="5">
        <v>35.0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 t="s">
        <v>465</v>
      </c>
      <c r="B37" s="5">
        <v>36.0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 t="s">
        <v>238</v>
      </c>
      <c r="B38" s="5">
        <v>37.0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 t="s">
        <v>401</v>
      </c>
      <c r="B39" s="5">
        <v>38.0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 t="s">
        <v>191</v>
      </c>
      <c r="B40" s="5">
        <v>39.0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 t="s">
        <v>309</v>
      </c>
      <c r="B41" s="5">
        <v>40.0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 t="s">
        <v>12</v>
      </c>
      <c r="B42" s="5">
        <v>41.0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 t="s">
        <v>120</v>
      </c>
      <c r="B43" s="5">
        <v>42.0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 t="s">
        <v>204</v>
      </c>
      <c r="B44" s="5">
        <v>43.0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 t="s">
        <v>40</v>
      </c>
      <c r="B45" s="5">
        <v>44.0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 t="s">
        <v>35</v>
      </c>
      <c r="B46" s="5">
        <v>45.0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 t="s">
        <v>124</v>
      </c>
      <c r="B47" s="5">
        <v>46.0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 t="s">
        <v>96</v>
      </c>
      <c r="B48" s="5">
        <v>47.0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 t="s">
        <v>20</v>
      </c>
      <c r="B49" s="5">
        <v>48.0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 t="s">
        <v>109</v>
      </c>
      <c r="B50" s="5">
        <v>49.0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 t="s">
        <v>74</v>
      </c>
      <c r="B51" s="5">
        <v>50.0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282</v>
      </c>
      <c r="B1" s="14">
        <v>1.0</v>
      </c>
    </row>
    <row r="2">
      <c r="A2" s="3" t="s">
        <v>459</v>
      </c>
      <c r="B2" s="14">
        <v>0.0</v>
      </c>
    </row>
    <row r="3">
      <c r="A3" s="3" t="s">
        <v>60</v>
      </c>
      <c r="B3" s="14">
        <v>4.0</v>
      </c>
    </row>
    <row r="4">
      <c r="A4" s="3" t="s">
        <v>1</v>
      </c>
      <c r="B4" s="14">
        <v>5.0</v>
      </c>
    </row>
    <row r="5">
      <c r="A5" s="3" t="s">
        <v>118</v>
      </c>
      <c r="B5" s="14">
        <v>3.0</v>
      </c>
    </row>
    <row r="6">
      <c r="A6" s="3" t="s">
        <v>153</v>
      </c>
      <c r="B6" s="14">
        <v>2.0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 t="s">
        <v>1540</v>
      </c>
    </row>
    <row r="2">
      <c r="A2" s="14" t="s">
        <v>1873</v>
      </c>
    </row>
    <row r="3">
      <c r="A3" s="14" t="s">
        <v>1874</v>
      </c>
    </row>
    <row r="4">
      <c r="A4" s="14" t="s">
        <v>1875</v>
      </c>
    </row>
    <row r="5">
      <c r="A5" s="14" t="s">
        <v>1876</v>
      </c>
    </row>
    <row r="6">
      <c r="A6" s="14" t="s">
        <v>1877</v>
      </c>
    </row>
    <row r="7">
      <c r="A7" s="14" t="s">
        <v>1878</v>
      </c>
    </row>
    <row r="8">
      <c r="A8" s="14" t="s">
        <v>1879</v>
      </c>
    </row>
    <row r="9">
      <c r="A9" s="14" t="s">
        <v>1880</v>
      </c>
    </row>
    <row r="10">
      <c r="A10" s="14" t="s">
        <v>1881</v>
      </c>
    </row>
    <row r="11">
      <c r="A11" s="14" t="s">
        <v>1882</v>
      </c>
    </row>
    <row r="12">
      <c r="A12" s="14" t="s">
        <v>1883</v>
      </c>
    </row>
    <row r="13">
      <c r="A13" s="14" t="s">
        <v>1884</v>
      </c>
    </row>
    <row r="14">
      <c r="A14" s="14" t="s">
        <v>1885</v>
      </c>
    </row>
    <row r="15">
      <c r="A15" s="14" t="s">
        <v>1886</v>
      </c>
    </row>
    <row r="16">
      <c r="A16" s="14" t="s">
        <v>1887</v>
      </c>
    </row>
    <row r="17">
      <c r="A17" s="14" t="s">
        <v>1888</v>
      </c>
    </row>
    <row r="18">
      <c r="A18" s="14" t="s">
        <v>1889</v>
      </c>
    </row>
    <row r="19">
      <c r="A19" s="14" t="s">
        <v>1890</v>
      </c>
    </row>
    <row r="20">
      <c r="A20" s="14" t="s">
        <v>1891</v>
      </c>
    </row>
    <row r="21">
      <c r="A21" s="14" t="s">
        <v>1892</v>
      </c>
    </row>
    <row r="22">
      <c r="A22" s="14" t="s">
        <v>1893</v>
      </c>
    </row>
    <row r="23">
      <c r="A23" s="14" t="s">
        <v>1894</v>
      </c>
    </row>
    <row r="24">
      <c r="A24" s="14" t="s">
        <v>1895</v>
      </c>
    </row>
    <row r="25">
      <c r="A25" s="14" t="s">
        <v>1896</v>
      </c>
    </row>
    <row r="26">
      <c r="A26" s="14" t="s">
        <v>1897</v>
      </c>
    </row>
    <row r="27">
      <c r="A27" s="14" t="s">
        <v>1898</v>
      </c>
    </row>
    <row r="28">
      <c r="A28" s="14" t="s">
        <v>1899</v>
      </c>
    </row>
    <row r="29">
      <c r="A29" s="14" t="s">
        <v>1900</v>
      </c>
    </row>
    <row r="30">
      <c r="A30" s="14" t="s">
        <v>1901</v>
      </c>
    </row>
    <row r="31">
      <c r="A31" s="14" t="s">
        <v>1902</v>
      </c>
    </row>
    <row r="32">
      <c r="A32" s="14" t="s">
        <v>1903</v>
      </c>
    </row>
    <row r="33">
      <c r="A33" s="14" t="s">
        <v>1904</v>
      </c>
    </row>
    <row r="34">
      <c r="A34" s="14" t="s">
        <v>1905</v>
      </c>
    </row>
    <row r="35">
      <c r="A35" s="14" t="s">
        <v>1906</v>
      </c>
    </row>
    <row r="36">
      <c r="A36" s="14" t="s">
        <v>1907</v>
      </c>
    </row>
    <row r="37">
      <c r="A37" s="14" t="s">
        <v>1908</v>
      </c>
    </row>
    <row r="38">
      <c r="A38" s="14" t="s">
        <v>1909</v>
      </c>
    </row>
    <row r="39">
      <c r="A39" s="14" t="s">
        <v>1910</v>
      </c>
    </row>
    <row r="40">
      <c r="A40" s="14" t="s">
        <v>1911</v>
      </c>
    </row>
    <row r="41">
      <c r="A41" s="14" t="s">
        <v>1912</v>
      </c>
    </row>
    <row r="42">
      <c r="A42" s="14" t="s">
        <v>1913</v>
      </c>
    </row>
    <row r="43">
      <c r="A43" s="14" t="s">
        <v>1914</v>
      </c>
    </row>
    <row r="44">
      <c r="A44" s="14" t="s">
        <v>1915</v>
      </c>
    </row>
    <row r="45">
      <c r="A45" s="14" t="s">
        <v>1916</v>
      </c>
    </row>
    <row r="46">
      <c r="A46" s="14" t="s">
        <v>1917</v>
      </c>
    </row>
    <row r="47">
      <c r="A47" s="14" t="s">
        <v>1918</v>
      </c>
    </row>
    <row r="48">
      <c r="A48" s="14" t="s">
        <v>1919</v>
      </c>
    </row>
    <row r="49">
      <c r="A49" s="14" t="s">
        <v>1920</v>
      </c>
    </row>
    <row r="50">
      <c r="A50" s="14" t="s">
        <v>1921</v>
      </c>
    </row>
    <row r="51">
      <c r="A51" s="14" t="s">
        <v>1922</v>
      </c>
    </row>
    <row r="52">
      <c r="A52" s="14" t="s">
        <v>1923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</cols>
  <sheetData>
    <row r="1">
      <c r="A1" s="14" t="s">
        <v>1540</v>
      </c>
    </row>
    <row r="2">
      <c r="A2" s="14" t="s">
        <v>1873</v>
      </c>
    </row>
    <row r="3">
      <c r="A3" s="14" t="s">
        <v>1924</v>
      </c>
    </row>
    <row r="4">
      <c r="A4" s="14" t="s">
        <v>1875</v>
      </c>
    </row>
    <row r="5">
      <c r="A5" s="14" t="s">
        <v>1925</v>
      </c>
    </row>
    <row r="6">
      <c r="A6" s="14" t="s">
        <v>1926</v>
      </c>
    </row>
    <row r="7">
      <c r="A7" s="14" t="s">
        <v>1927</v>
      </c>
    </row>
    <row r="8">
      <c r="A8" s="14" t="s">
        <v>1928</v>
      </c>
    </row>
    <row r="9">
      <c r="A9" s="14" t="s">
        <v>1929</v>
      </c>
    </row>
    <row r="10">
      <c r="A10" s="14" t="s">
        <v>1930</v>
      </c>
    </row>
    <row r="11">
      <c r="A11" s="14" t="s">
        <v>1931</v>
      </c>
    </row>
    <row r="12">
      <c r="A12" s="14" t="s">
        <v>1932</v>
      </c>
    </row>
    <row r="13">
      <c r="A13" s="14" t="s">
        <v>1933</v>
      </c>
    </row>
    <row r="14">
      <c r="A14" s="14" t="s">
        <v>1934</v>
      </c>
    </row>
    <row r="15">
      <c r="A15" s="14" t="s">
        <v>1935</v>
      </c>
    </row>
    <row r="16">
      <c r="A16" s="14" t="s">
        <v>1936</v>
      </c>
    </row>
    <row r="17">
      <c r="A17" s="14" t="s">
        <v>1937</v>
      </c>
    </row>
    <row r="18">
      <c r="A18" s="14" t="s">
        <v>1938</v>
      </c>
    </row>
    <row r="19">
      <c r="A19" s="14" t="s">
        <v>1939</v>
      </c>
    </row>
    <row r="20">
      <c r="A20" s="14" t="s">
        <v>1940</v>
      </c>
    </row>
    <row r="21">
      <c r="A21" s="14" t="s">
        <v>1941</v>
      </c>
    </row>
    <row r="22">
      <c r="A22" s="14" t="s">
        <v>1942</v>
      </c>
    </row>
    <row r="23">
      <c r="A23" s="14" t="s">
        <v>1943</v>
      </c>
    </row>
    <row r="24">
      <c r="A24" s="14" t="s">
        <v>1944</v>
      </c>
    </row>
    <row r="25">
      <c r="A25" s="14" t="s">
        <v>1896</v>
      </c>
    </row>
    <row r="26">
      <c r="A26" s="14" t="s">
        <v>1945</v>
      </c>
    </row>
    <row r="27">
      <c r="A27" s="14" t="s">
        <v>1898</v>
      </c>
    </row>
    <row r="28">
      <c r="A28" s="14" t="s">
        <v>1899</v>
      </c>
    </row>
    <row r="29">
      <c r="A29" s="14" t="s">
        <v>1946</v>
      </c>
    </row>
    <row r="30">
      <c r="A30" s="14" t="s">
        <v>1947</v>
      </c>
    </row>
    <row r="31">
      <c r="A31" s="14" t="s">
        <v>1948</v>
      </c>
    </row>
    <row r="32">
      <c r="A32" s="14" t="s">
        <v>1949</v>
      </c>
    </row>
    <row r="33">
      <c r="A33" s="14" t="s">
        <v>1950</v>
      </c>
    </row>
    <row r="34">
      <c r="A34" s="14" t="s">
        <v>1951</v>
      </c>
    </row>
    <row r="35">
      <c r="A35" s="14" t="s">
        <v>1906</v>
      </c>
    </row>
    <row r="36">
      <c r="A36" s="14" t="s">
        <v>1952</v>
      </c>
    </row>
    <row r="37">
      <c r="A37" s="14" t="s">
        <v>1953</v>
      </c>
    </row>
    <row r="38">
      <c r="A38" s="14" t="s">
        <v>1954</v>
      </c>
    </row>
    <row r="39">
      <c r="A39" s="14" t="s">
        <v>1910</v>
      </c>
    </row>
    <row r="40">
      <c r="A40" s="14" t="s">
        <v>1955</v>
      </c>
    </row>
    <row r="41">
      <c r="A41" s="14" t="s">
        <v>1912</v>
      </c>
    </row>
    <row r="42">
      <c r="A42" s="14" t="s">
        <v>1913</v>
      </c>
    </row>
    <row r="43">
      <c r="A43" s="14" t="s">
        <v>1914</v>
      </c>
    </row>
    <row r="44">
      <c r="A44" s="14" t="s">
        <v>1915</v>
      </c>
    </row>
    <row r="45">
      <c r="A45" s="14" t="s">
        <v>1916</v>
      </c>
    </row>
    <row r="46">
      <c r="A46" s="14" t="s">
        <v>1956</v>
      </c>
    </row>
    <row r="47">
      <c r="A47" s="14" t="s">
        <v>1957</v>
      </c>
    </row>
    <row r="48">
      <c r="A48" s="14" t="s">
        <v>1919</v>
      </c>
    </row>
    <row r="49">
      <c r="A49" s="14" t="s">
        <v>1958</v>
      </c>
    </row>
    <row r="50">
      <c r="A50" s="14" t="s">
        <v>1959</v>
      </c>
    </row>
    <row r="51">
      <c r="A51" s="14" t="s">
        <v>1960</v>
      </c>
    </row>
    <row r="52">
      <c r="A52" s="14" t="s">
        <v>1961</v>
      </c>
    </row>
    <row r="53">
      <c r="A53" s="14" t="s">
        <v>1962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  <col customWidth="1" min="3" max="3" width="22.25"/>
  </cols>
  <sheetData>
    <row r="1">
      <c r="A1" s="14" t="s">
        <v>1540</v>
      </c>
      <c r="C1" s="14" t="s">
        <v>1541</v>
      </c>
    </row>
    <row r="2">
      <c r="A2" s="14" t="s">
        <v>1873</v>
      </c>
      <c r="C2" s="4" t="str">
        <f>IFERROR(__xludf.DUMMYFUNCTION("REGEXREPLACE(A2, ""[^,[0-9]"", """")"),"0[236,251,12,253,292")</f>
        <v>0[236,251,12,253,292</v>
      </c>
      <c r="D2" s="4">
        <f>IFERROR(__xludf.DUMMYFUNCTION("SPLIT(C2,""["")"),0.0)</f>
        <v>0</v>
      </c>
      <c r="E2" s="4" t="str">
        <f>IFERROR(__xludf.DUMMYFUNCTION("""COMPUTED_VALUE"""),"236,251,12,253,292")</f>
        <v>236,251,12,253,292</v>
      </c>
      <c r="F2" s="4">
        <f>IFERROR(__xludf.DUMMYFUNCTION("SPLIT(E2,"","")"),236.0)</f>
        <v>236</v>
      </c>
      <c r="G2" s="4">
        <f>IFERROR(__xludf.DUMMYFUNCTION("""COMPUTED_VALUE"""),251.0)</f>
        <v>251</v>
      </c>
      <c r="H2" s="4">
        <f>IFERROR(__xludf.DUMMYFUNCTION("""COMPUTED_VALUE"""),12.0)</f>
        <v>12</v>
      </c>
      <c r="I2" s="4">
        <f>IFERROR(__xludf.DUMMYFUNCTION("""COMPUTED_VALUE"""),253.0)</f>
        <v>253</v>
      </c>
      <c r="J2" s="4">
        <f>IFERROR(__xludf.DUMMYFUNCTION("""COMPUTED_VALUE"""),292.0)</f>
        <v>292</v>
      </c>
    </row>
    <row r="3">
      <c r="A3" s="14" t="s">
        <v>1924</v>
      </c>
      <c r="C3" s="4" t="str">
        <f>IFERROR(__xludf.DUMMYFUNCTION("REGEXREPLACE(A3, ""[^,[0-9]"", """")"),"1[119,263,278,96,89")</f>
        <v>1[119,263,278,96,89</v>
      </c>
      <c r="D3" s="4">
        <f>IFERROR(__xludf.DUMMYFUNCTION("SPLIT(C3,""["")"),1.0)</f>
        <v>1</v>
      </c>
      <c r="E3" s="4" t="str">
        <f>IFERROR(__xludf.DUMMYFUNCTION("""COMPUTED_VALUE"""),"119,263,278,96,89")</f>
        <v>119,263,278,96,89</v>
      </c>
      <c r="F3" s="4">
        <f>IFERROR(__xludf.DUMMYFUNCTION("SPLIT(E3,"","")"),119.0)</f>
        <v>119</v>
      </c>
      <c r="G3" s="4">
        <f>IFERROR(__xludf.DUMMYFUNCTION("""COMPUTED_VALUE"""),263.0)</f>
        <v>263</v>
      </c>
      <c r="H3" s="4">
        <f>IFERROR(__xludf.DUMMYFUNCTION("""COMPUTED_VALUE"""),278.0)</f>
        <v>278</v>
      </c>
      <c r="I3" s="4">
        <f>IFERROR(__xludf.DUMMYFUNCTION("""COMPUTED_VALUE"""),96.0)</f>
        <v>96</v>
      </c>
      <c r="J3" s="4">
        <f>IFERROR(__xludf.DUMMYFUNCTION("""COMPUTED_VALUE"""),89.0)</f>
        <v>89</v>
      </c>
    </row>
    <row r="4">
      <c r="A4" s="14" t="s">
        <v>1875</v>
      </c>
      <c r="C4" s="4" t="str">
        <f>IFERROR(__xludf.DUMMYFUNCTION("REGEXREPLACE(A4, ""[^,[0-9]"", """")"),"2[155,150")</f>
        <v>2[155,150</v>
      </c>
      <c r="D4" s="4">
        <f>IFERROR(__xludf.DUMMYFUNCTION("SPLIT(C4,""["")"),2.0)</f>
        <v>2</v>
      </c>
      <c r="E4" s="17">
        <f>IFERROR(__xludf.DUMMYFUNCTION("""COMPUTED_VALUE"""),155150.0)</f>
        <v>155150</v>
      </c>
      <c r="F4" s="4">
        <f>IFERROR(__xludf.DUMMYFUNCTION("SPLIT(E4,"","")"),155.0)</f>
        <v>155</v>
      </c>
      <c r="G4" s="4">
        <f>IFERROR(__xludf.DUMMYFUNCTION("""COMPUTED_VALUE"""),150.0)</f>
        <v>150</v>
      </c>
    </row>
    <row r="5">
      <c r="A5" s="14" t="s">
        <v>1925</v>
      </c>
      <c r="C5" s="4" t="str">
        <f>IFERROR(__xludf.DUMMYFUNCTION("REGEXREPLACE(A5, ""[^,[0-9]"", """")"),"3[6,16,206,229,272")</f>
        <v>3[6,16,206,229,272</v>
      </c>
      <c r="D5" s="4">
        <f>IFERROR(__xludf.DUMMYFUNCTION("SPLIT(C5,""["")"),3.0)</f>
        <v>3</v>
      </c>
      <c r="E5" s="4" t="str">
        <f>IFERROR(__xludf.DUMMYFUNCTION("""COMPUTED_VALUE"""),"6,16,206,229,272")</f>
        <v>6,16,206,229,272</v>
      </c>
      <c r="F5" s="4">
        <f>IFERROR(__xludf.DUMMYFUNCTION("SPLIT(E5,"","")"),6.0)</f>
        <v>6</v>
      </c>
      <c r="G5" s="4">
        <f>IFERROR(__xludf.DUMMYFUNCTION("""COMPUTED_VALUE"""),16.0)</f>
        <v>16</v>
      </c>
      <c r="H5" s="4">
        <f>IFERROR(__xludf.DUMMYFUNCTION("""COMPUTED_VALUE"""),206.0)</f>
        <v>206</v>
      </c>
      <c r="I5" s="4">
        <f>IFERROR(__xludf.DUMMYFUNCTION("""COMPUTED_VALUE"""),229.0)</f>
        <v>229</v>
      </c>
      <c r="J5" s="4">
        <f>IFERROR(__xludf.DUMMYFUNCTION("""COMPUTED_VALUE"""),272.0)</f>
        <v>272</v>
      </c>
    </row>
    <row r="6">
      <c r="A6" s="14" t="s">
        <v>1926</v>
      </c>
      <c r="C6" s="4" t="str">
        <f>IFERROR(__xludf.DUMMYFUNCTION("REGEXREPLACE(A6, ""[^,[0-9]"", """")"),"4[332")</f>
        <v>4[332</v>
      </c>
      <c r="D6" s="4">
        <f>IFERROR(__xludf.DUMMYFUNCTION("SPLIT(C6,""["")"),4.0)</f>
        <v>4</v>
      </c>
      <c r="E6" s="4">
        <f>IFERROR(__xludf.DUMMYFUNCTION("""COMPUTED_VALUE"""),332.0)</f>
        <v>332</v>
      </c>
      <c r="F6" s="4">
        <f>IFERROR(__xludf.DUMMYFUNCTION("SPLIT(E6,"","")"),332.0)</f>
        <v>332</v>
      </c>
    </row>
    <row r="7">
      <c r="A7" s="14" t="s">
        <v>1927</v>
      </c>
      <c r="C7" s="4" t="str">
        <f>IFERROR(__xludf.DUMMYFUNCTION("REGEXREPLACE(A7, ""[^,[0-9]"", """")"),"5[19,66,313,354,57,102,173,314,323")</f>
        <v>5[19,66,313,354,57,102,173,314,323</v>
      </c>
      <c r="D7" s="4">
        <f>IFERROR(__xludf.DUMMYFUNCTION("SPLIT(C7,""["")"),5.0)</f>
        <v>5</v>
      </c>
      <c r="E7" s="4" t="str">
        <f>IFERROR(__xludf.DUMMYFUNCTION("""COMPUTED_VALUE"""),"19,66,313,354,57,102,173,314,323")</f>
        <v>19,66,313,354,57,102,173,314,323</v>
      </c>
      <c r="F7" s="4">
        <f>IFERROR(__xludf.DUMMYFUNCTION("SPLIT(E7,"","")"),19.0)</f>
        <v>19</v>
      </c>
      <c r="G7" s="4">
        <f>IFERROR(__xludf.DUMMYFUNCTION("""COMPUTED_VALUE"""),66.0)</f>
        <v>66</v>
      </c>
      <c r="H7" s="4">
        <f>IFERROR(__xludf.DUMMYFUNCTION("""COMPUTED_VALUE"""),313.0)</f>
        <v>313</v>
      </c>
      <c r="I7" s="4">
        <f>IFERROR(__xludf.DUMMYFUNCTION("""COMPUTED_VALUE"""),354.0)</f>
        <v>354</v>
      </c>
      <c r="J7" s="4">
        <f>IFERROR(__xludf.DUMMYFUNCTION("""COMPUTED_VALUE"""),57.0)</f>
        <v>57</v>
      </c>
      <c r="K7" s="4">
        <f>IFERROR(__xludf.DUMMYFUNCTION("""COMPUTED_VALUE"""),102.0)</f>
        <v>102</v>
      </c>
      <c r="L7" s="4">
        <f>IFERROR(__xludf.DUMMYFUNCTION("""COMPUTED_VALUE"""),173.0)</f>
        <v>173</v>
      </c>
      <c r="M7" s="4">
        <f>IFERROR(__xludf.DUMMYFUNCTION("""COMPUTED_VALUE"""),314.0)</f>
        <v>314</v>
      </c>
      <c r="N7" s="4">
        <f>IFERROR(__xludf.DUMMYFUNCTION("""COMPUTED_VALUE"""),323.0)</f>
        <v>323</v>
      </c>
    </row>
    <row r="8">
      <c r="A8" s="14" t="s">
        <v>1928</v>
      </c>
      <c r="C8" s="4" t="str">
        <f>IFERROR(__xludf.DUMMYFUNCTION("REGEXREPLACE(A8, ""[^,[0-9]"", """")"),"6[149,258")</f>
        <v>6[149,258</v>
      </c>
      <c r="D8" s="4">
        <f>IFERROR(__xludf.DUMMYFUNCTION("SPLIT(C8,""["")"),6.0)</f>
        <v>6</v>
      </c>
      <c r="E8" s="17">
        <f>IFERROR(__xludf.DUMMYFUNCTION("""COMPUTED_VALUE"""),149258.0)</f>
        <v>149258</v>
      </c>
      <c r="F8" s="4">
        <f>IFERROR(__xludf.DUMMYFUNCTION("SPLIT(E8,"","")"),149.0)</f>
        <v>149</v>
      </c>
      <c r="G8" s="4">
        <f>IFERROR(__xludf.DUMMYFUNCTION("""COMPUTED_VALUE"""),258.0)</f>
        <v>258</v>
      </c>
    </row>
    <row r="9">
      <c r="A9" s="14" t="s">
        <v>1929</v>
      </c>
      <c r="C9" s="4" t="str">
        <f>IFERROR(__xludf.DUMMYFUNCTION("REGEXREPLACE(A9, ""[^,[0-9]"", """")"),"7[207,62,30,178,180")</f>
        <v>7[207,62,30,178,180</v>
      </c>
      <c r="D9" s="4">
        <f>IFERROR(__xludf.DUMMYFUNCTION("SPLIT(C9,""["")"),7.0)</f>
        <v>7</v>
      </c>
      <c r="E9" s="4" t="str">
        <f>IFERROR(__xludf.DUMMYFUNCTION("""COMPUTED_VALUE"""),"207,62,30,178,180")</f>
        <v>207,62,30,178,180</v>
      </c>
      <c r="F9" s="4">
        <f>IFERROR(__xludf.DUMMYFUNCTION("SPLIT(E9,"","")"),207.0)</f>
        <v>207</v>
      </c>
      <c r="G9" s="4">
        <f>IFERROR(__xludf.DUMMYFUNCTION("""COMPUTED_VALUE"""),62.0)</f>
        <v>62</v>
      </c>
      <c r="H9" s="4">
        <f>IFERROR(__xludf.DUMMYFUNCTION("""COMPUTED_VALUE"""),30.0)</f>
        <v>30</v>
      </c>
      <c r="I9" s="4">
        <f>IFERROR(__xludf.DUMMYFUNCTION("""COMPUTED_VALUE"""),178.0)</f>
        <v>178</v>
      </c>
      <c r="J9" s="4">
        <f>IFERROR(__xludf.DUMMYFUNCTION("""COMPUTED_VALUE"""),180.0)</f>
        <v>180</v>
      </c>
    </row>
    <row r="10">
      <c r="A10" s="14" t="s">
        <v>1930</v>
      </c>
      <c r="C10" s="4" t="str">
        <f>IFERROR(__xludf.DUMMYFUNCTION("REGEXREPLACE(A10, ""[^,[0-9]"", """")"),"8[47,135,201,257,78,129,133,185")</f>
        <v>8[47,135,201,257,78,129,133,185</v>
      </c>
      <c r="D10" s="4">
        <f>IFERROR(__xludf.DUMMYFUNCTION("SPLIT(C10,""["")"),8.0)</f>
        <v>8</v>
      </c>
      <c r="E10" s="4" t="str">
        <f>IFERROR(__xludf.DUMMYFUNCTION("""COMPUTED_VALUE"""),"47,135,201,257,78,129,133,185")</f>
        <v>47,135,201,257,78,129,133,185</v>
      </c>
      <c r="F10" s="4">
        <f>IFERROR(__xludf.DUMMYFUNCTION("SPLIT(E10,"","")"),47.0)</f>
        <v>47</v>
      </c>
      <c r="G10" s="4">
        <f>IFERROR(__xludf.DUMMYFUNCTION("""COMPUTED_VALUE"""),135.0)</f>
        <v>135</v>
      </c>
      <c r="H10" s="4">
        <f>IFERROR(__xludf.DUMMYFUNCTION("""COMPUTED_VALUE"""),201.0)</f>
        <v>201</v>
      </c>
      <c r="I10" s="4">
        <f>IFERROR(__xludf.DUMMYFUNCTION("""COMPUTED_VALUE"""),257.0)</f>
        <v>257</v>
      </c>
      <c r="J10" s="4">
        <f>IFERROR(__xludf.DUMMYFUNCTION("""COMPUTED_VALUE"""),78.0)</f>
        <v>78</v>
      </c>
      <c r="K10" s="4">
        <f>IFERROR(__xludf.DUMMYFUNCTION("""COMPUTED_VALUE"""),129.0)</f>
        <v>129</v>
      </c>
      <c r="L10" s="4">
        <f>IFERROR(__xludf.DUMMYFUNCTION("""COMPUTED_VALUE"""),133.0)</f>
        <v>133</v>
      </c>
      <c r="M10" s="4">
        <f>IFERROR(__xludf.DUMMYFUNCTION("""COMPUTED_VALUE"""),185.0)</f>
        <v>185</v>
      </c>
    </row>
    <row r="11">
      <c r="A11" s="14" t="s">
        <v>1931</v>
      </c>
      <c r="C11" s="4" t="str">
        <f>IFERROR(__xludf.DUMMYFUNCTION("REGEXREPLACE(A11, ""[^,[0-9]"", """")"),"9[153,219,161,275,63,273")</f>
        <v>9[153,219,161,275,63,273</v>
      </c>
      <c r="D11" s="4">
        <f>IFERROR(__xludf.DUMMYFUNCTION("SPLIT(C11,""["")"),9.0)</f>
        <v>9</v>
      </c>
      <c r="E11" s="4" t="str">
        <f>IFERROR(__xludf.DUMMYFUNCTION("""COMPUTED_VALUE"""),"153,219,161,275,63,273")</f>
        <v>153,219,161,275,63,273</v>
      </c>
      <c r="F11" s="4">
        <f>IFERROR(__xludf.DUMMYFUNCTION("SPLIT(E11,"","")"),153.0)</f>
        <v>153</v>
      </c>
      <c r="G11" s="4">
        <f>IFERROR(__xludf.DUMMYFUNCTION("""COMPUTED_VALUE"""),219.0)</f>
        <v>219</v>
      </c>
      <c r="H11" s="4">
        <f>IFERROR(__xludf.DUMMYFUNCTION("""COMPUTED_VALUE"""),161.0)</f>
        <v>161</v>
      </c>
      <c r="I11" s="4">
        <f>IFERROR(__xludf.DUMMYFUNCTION("""COMPUTED_VALUE"""),275.0)</f>
        <v>275</v>
      </c>
      <c r="J11" s="4">
        <f>IFERROR(__xludf.DUMMYFUNCTION("""COMPUTED_VALUE"""),63.0)</f>
        <v>63</v>
      </c>
      <c r="K11" s="4">
        <f>IFERROR(__xludf.DUMMYFUNCTION("""COMPUTED_VALUE"""),273.0)</f>
        <v>273</v>
      </c>
    </row>
    <row r="12">
      <c r="A12" s="14" t="s">
        <v>1932</v>
      </c>
      <c r="C12" s="4" t="str">
        <f>IFERROR(__xludf.DUMMYFUNCTION("REGEXREPLACE(A12, ""[^,[0-9]"", """")"),"10[18,81,13,80,280,59,70,71,76,345")</f>
        <v>10[18,81,13,80,280,59,70,71,76,345</v>
      </c>
      <c r="D12" s="4">
        <f>IFERROR(__xludf.DUMMYFUNCTION("SPLIT(C12,""["")"),10.0)</f>
        <v>10</v>
      </c>
      <c r="E12" s="4" t="str">
        <f>IFERROR(__xludf.DUMMYFUNCTION("""COMPUTED_VALUE"""),"18,81,13,80,280,59,70,71,76,345")</f>
        <v>18,81,13,80,280,59,70,71,76,345</v>
      </c>
      <c r="F12" s="4">
        <f>IFERROR(__xludf.DUMMYFUNCTION("SPLIT(E12,"","")"),18.0)</f>
        <v>18</v>
      </c>
      <c r="G12" s="4">
        <f>IFERROR(__xludf.DUMMYFUNCTION("""COMPUTED_VALUE"""),81.0)</f>
        <v>81</v>
      </c>
      <c r="H12" s="4">
        <f>IFERROR(__xludf.DUMMYFUNCTION("""COMPUTED_VALUE"""),13.0)</f>
        <v>13</v>
      </c>
      <c r="I12" s="4">
        <f>IFERROR(__xludf.DUMMYFUNCTION("""COMPUTED_VALUE"""),80.0)</f>
        <v>80</v>
      </c>
      <c r="J12" s="4">
        <f>IFERROR(__xludf.DUMMYFUNCTION("""COMPUTED_VALUE"""),280.0)</f>
        <v>280</v>
      </c>
      <c r="K12" s="4">
        <f>IFERROR(__xludf.DUMMYFUNCTION("""COMPUTED_VALUE"""),59.0)</f>
        <v>59</v>
      </c>
      <c r="L12" s="4">
        <f>IFERROR(__xludf.DUMMYFUNCTION("""COMPUTED_VALUE"""),70.0)</f>
        <v>70</v>
      </c>
      <c r="M12" s="4">
        <f>IFERROR(__xludf.DUMMYFUNCTION("""COMPUTED_VALUE"""),71.0)</f>
        <v>71</v>
      </c>
      <c r="N12" s="4">
        <f>IFERROR(__xludf.DUMMYFUNCTION("""COMPUTED_VALUE"""),76.0)</f>
        <v>76</v>
      </c>
      <c r="O12" s="4">
        <f>IFERROR(__xludf.DUMMYFUNCTION("""COMPUTED_VALUE"""),345.0)</f>
        <v>345</v>
      </c>
    </row>
    <row r="13">
      <c r="A13" s="14" t="s">
        <v>1933</v>
      </c>
      <c r="C13" s="4" t="str">
        <f>IFERROR(__xludf.DUMMYFUNCTION("REGEXREPLACE(A13, ""[^,[0-9]"", """")"),"11[117,329,3,294,27,176")</f>
        <v>11[117,329,3,294,27,176</v>
      </c>
      <c r="D13" s="4">
        <f>IFERROR(__xludf.DUMMYFUNCTION("SPLIT(C13,""["")"),11.0)</f>
        <v>11</v>
      </c>
      <c r="E13" s="4" t="str">
        <f>IFERROR(__xludf.DUMMYFUNCTION("""COMPUTED_VALUE"""),"117,329,3,294,27,176")</f>
        <v>117,329,3,294,27,176</v>
      </c>
      <c r="F13" s="4">
        <f>IFERROR(__xludf.DUMMYFUNCTION("SPLIT(E13,"","")"),117.0)</f>
        <v>117</v>
      </c>
      <c r="G13" s="4">
        <f>IFERROR(__xludf.DUMMYFUNCTION("""COMPUTED_VALUE"""),329.0)</f>
        <v>329</v>
      </c>
      <c r="H13" s="4">
        <f>IFERROR(__xludf.DUMMYFUNCTION("""COMPUTED_VALUE"""),3.0)</f>
        <v>3</v>
      </c>
      <c r="I13" s="4">
        <f>IFERROR(__xludf.DUMMYFUNCTION("""COMPUTED_VALUE"""),294.0)</f>
        <v>294</v>
      </c>
      <c r="J13" s="4">
        <f>IFERROR(__xludf.DUMMYFUNCTION("""COMPUTED_VALUE"""),27.0)</f>
        <v>27</v>
      </c>
      <c r="K13" s="4">
        <f>IFERROR(__xludf.DUMMYFUNCTION("""COMPUTED_VALUE"""),176.0)</f>
        <v>176</v>
      </c>
    </row>
    <row r="14">
      <c r="A14" s="14" t="s">
        <v>1934</v>
      </c>
      <c r="C14" s="4" t="str">
        <f>IFERROR(__xludf.DUMMYFUNCTION("REGEXREPLACE(A14, ""[^,[0-9]"", """")"),"12[25,188,191")</f>
        <v>12[25,188,191</v>
      </c>
      <c r="D14" s="4">
        <f>IFERROR(__xludf.DUMMYFUNCTION("SPLIT(C14,""["")"),12.0)</f>
        <v>12</v>
      </c>
      <c r="E14" s="17">
        <f>IFERROR(__xludf.DUMMYFUNCTION("""COMPUTED_VALUE"""),2.5188191E7)</f>
        <v>25188191</v>
      </c>
      <c r="F14" s="4">
        <f>IFERROR(__xludf.DUMMYFUNCTION("SPLIT(E14,"","")"),25.0)</f>
        <v>25</v>
      </c>
      <c r="G14" s="4">
        <f>IFERROR(__xludf.DUMMYFUNCTION("""COMPUTED_VALUE"""),188.0)</f>
        <v>188</v>
      </c>
      <c r="H14" s="4">
        <f>IFERROR(__xludf.DUMMYFUNCTION("""COMPUTED_VALUE"""),191.0)</f>
        <v>191</v>
      </c>
    </row>
    <row r="15">
      <c r="A15" s="14" t="s">
        <v>1935</v>
      </c>
      <c r="C15" s="4" t="str">
        <f>IFERROR(__xludf.DUMMYFUNCTION("REGEXREPLACE(A15, ""[^,[0-9]"", """")"),"13[223,224,244,283")</f>
        <v>13[223,224,244,283</v>
      </c>
      <c r="D15" s="4">
        <f>IFERROR(__xludf.DUMMYFUNCTION("SPLIT(C15,""["")"),13.0)</f>
        <v>13</v>
      </c>
      <c r="E15" s="17">
        <f>IFERROR(__xludf.DUMMYFUNCTION("""COMPUTED_VALUE"""),2.23224244283E11)</f>
        <v>223224244283</v>
      </c>
      <c r="F15" s="4">
        <f>IFERROR(__xludf.DUMMYFUNCTION("SPLIT(E15,"","")"),223.0)</f>
        <v>223</v>
      </c>
      <c r="G15" s="4">
        <f>IFERROR(__xludf.DUMMYFUNCTION("""COMPUTED_VALUE"""),224.0)</f>
        <v>224</v>
      </c>
      <c r="H15" s="4">
        <f>IFERROR(__xludf.DUMMYFUNCTION("""COMPUTED_VALUE"""),244.0)</f>
        <v>244</v>
      </c>
      <c r="I15" s="4">
        <f>IFERROR(__xludf.DUMMYFUNCTION("""COMPUTED_VALUE"""),283.0)</f>
        <v>283</v>
      </c>
    </row>
    <row r="16">
      <c r="A16" s="14" t="s">
        <v>1936</v>
      </c>
      <c r="C16" s="4" t="str">
        <f>IFERROR(__xludf.DUMMYFUNCTION("REGEXREPLACE(A16, ""[^,[0-9]"", """")"),"14[154,126,337")</f>
        <v>14[154,126,337</v>
      </c>
      <c r="D16" s="4">
        <f>IFERROR(__xludf.DUMMYFUNCTION("SPLIT(C16,""["")"),14.0)</f>
        <v>14</v>
      </c>
      <c r="E16" s="17">
        <f>IFERROR(__xludf.DUMMYFUNCTION("""COMPUTED_VALUE"""),1.54126337E8)</f>
        <v>154126337</v>
      </c>
      <c r="F16" s="4">
        <f>IFERROR(__xludf.DUMMYFUNCTION("SPLIT(E16,"","")"),154.0)</f>
        <v>154</v>
      </c>
      <c r="G16" s="4">
        <f>IFERROR(__xludf.DUMMYFUNCTION("""COMPUTED_VALUE"""),126.0)</f>
        <v>126</v>
      </c>
      <c r="H16" s="4">
        <f>IFERROR(__xludf.DUMMYFUNCTION("""COMPUTED_VALUE"""),337.0)</f>
        <v>337</v>
      </c>
    </row>
    <row r="17">
      <c r="A17" s="14" t="s">
        <v>1937</v>
      </c>
      <c r="C17" s="4" t="str">
        <f>IFERROR(__xludf.DUMMYFUNCTION("REGEXREPLACE(A17, ""[^,[0-9]"", """")"),"15[11,286,321,276,120,151,203,232,235,250")</f>
        <v>15[11,286,321,276,120,151,203,232,235,250</v>
      </c>
      <c r="D17" s="4">
        <f>IFERROR(__xludf.DUMMYFUNCTION("SPLIT(C17,""["")"),15.0)</f>
        <v>15</v>
      </c>
      <c r="E17" s="17">
        <f>IFERROR(__xludf.DUMMYFUNCTION("""COMPUTED_VALUE"""),1.12863212761201E28)</f>
        <v>1.12863E+28</v>
      </c>
      <c r="F17" s="4">
        <f>IFERROR(__xludf.DUMMYFUNCTION("SPLIT(E17,"","")"),11.0)</f>
        <v>11</v>
      </c>
      <c r="G17" s="4">
        <f>IFERROR(__xludf.DUMMYFUNCTION("""COMPUTED_VALUE"""),286.0)</f>
        <v>286</v>
      </c>
      <c r="H17" s="4">
        <f>IFERROR(__xludf.DUMMYFUNCTION("""COMPUTED_VALUE"""),321.0)</f>
        <v>321</v>
      </c>
      <c r="I17" s="4">
        <f>IFERROR(__xludf.DUMMYFUNCTION("""COMPUTED_VALUE"""),276.0)</f>
        <v>276</v>
      </c>
      <c r="J17" s="4">
        <f>IFERROR(__xludf.DUMMYFUNCTION("""COMPUTED_VALUE"""),120.0)</f>
        <v>120</v>
      </c>
      <c r="K17" s="4">
        <f>IFERROR(__xludf.DUMMYFUNCTION("""COMPUTED_VALUE"""),100.0)</f>
        <v>100</v>
      </c>
      <c r="L17" s="4">
        <f>IFERROR(__xludf.DUMMYFUNCTION("""COMPUTED_VALUE"""),0.0)</f>
        <v>0</v>
      </c>
      <c r="M17" s="4">
        <f>IFERROR(__xludf.DUMMYFUNCTION("""COMPUTED_VALUE"""),0.0)</f>
        <v>0</v>
      </c>
      <c r="N17" s="4">
        <f>IFERROR(__xludf.DUMMYFUNCTION("""COMPUTED_VALUE"""),0.0)</f>
        <v>0</v>
      </c>
      <c r="O17" s="4">
        <f>IFERROR(__xludf.DUMMYFUNCTION("""COMPUTED_VALUE"""),0.0)</f>
        <v>0</v>
      </c>
    </row>
    <row r="18">
      <c r="A18" s="14" t="s">
        <v>1938</v>
      </c>
      <c r="C18" s="4" t="str">
        <f>IFERROR(__xludf.DUMMYFUNCTION("REGEXREPLACE(A18, ""[^,[0-9]"", """")"),"16[")</f>
        <v>16[</v>
      </c>
      <c r="D18" s="4">
        <f>IFERROR(__xludf.DUMMYFUNCTION("SPLIT(C18,""["")"),16.0)</f>
        <v>16</v>
      </c>
      <c r="F18" s="4" t="str">
        <f>IFERROR(__xludf.DUMMYFUNCTION("SPLIT(E18,"","")"),"#VALUE!")</f>
        <v>#VALUE!</v>
      </c>
    </row>
    <row r="19">
      <c r="A19" s="14" t="s">
        <v>1939</v>
      </c>
      <c r="C19" s="4" t="str">
        <f>IFERROR(__xludf.DUMMYFUNCTION("REGEXREPLACE(A19, ""[^,[0-9]"", """")"),"17[50,95,233,122,141,7,157,335")</f>
        <v>17[50,95,233,122,141,7,157,335</v>
      </c>
      <c r="D19" s="4">
        <f>IFERROR(__xludf.DUMMYFUNCTION("SPLIT(C19,""["")"),17.0)</f>
        <v>17</v>
      </c>
      <c r="E19" s="4" t="str">
        <f>IFERROR(__xludf.DUMMYFUNCTION("""COMPUTED_VALUE"""),"50,95,233,122,141,7,157,335")</f>
        <v>50,95,233,122,141,7,157,335</v>
      </c>
      <c r="F19" s="4">
        <f>IFERROR(__xludf.DUMMYFUNCTION("SPLIT(E19,"","")"),50.0)</f>
        <v>50</v>
      </c>
      <c r="G19" s="4">
        <f>IFERROR(__xludf.DUMMYFUNCTION("""COMPUTED_VALUE"""),95.0)</f>
        <v>95</v>
      </c>
      <c r="H19" s="4">
        <f>IFERROR(__xludf.DUMMYFUNCTION("""COMPUTED_VALUE"""),233.0)</f>
        <v>233</v>
      </c>
      <c r="I19" s="4">
        <f>IFERROR(__xludf.DUMMYFUNCTION("""COMPUTED_VALUE"""),122.0)</f>
        <v>122</v>
      </c>
      <c r="J19" s="4">
        <f>IFERROR(__xludf.DUMMYFUNCTION("""COMPUTED_VALUE"""),141.0)</f>
        <v>141</v>
      </c>
      <c r="K19" s="4">
        <f>IFERROR(__xludf.DUMMYFUNCTION("""COMPUTED_VALUE"""),7.0)</f>
        <v>7</v>
      </c>
      <c r="L19" s="4">
        <f>IFERROR(__xludf.DUMMYFUNCTION("""COMPUTED_VALUE"""),157.0)</f>
        <v>157</v>
      </c>
      <c r="M19" s="4">
        <f>IFERROR(__xludf.DUMMYFUNCTION("""COMPUTED_VALUE"""),335.0)</f>
        <v>335</v>
      </c>
    </row>
    <row r="20">
      <c r="A20" s="14" t="s">
        <v>1940</v>
      </c>
      <c r="C20" s="4" t="str">
        <f>IFERROR(__xludf.DUMMYFUNCTION("REGEXREPLACE(A20, ""[^,[0-9]"", """")"),"18[261,72,73,114,338")</f>
        <v>18[261,72,73,114,338</v>
      </c>
      <c r="D20" s="4">
        <f>IFERROR(__xludf.DUMMYFUNCTION("SPLIT(C20,""["")"),18.0)</f>
        <v>18</v>
      </c>
      <c r="E20" s="4" t="str">
        <f>IFERROR(__xludf.DUMMYFUNCTION("""COMPUTED_VALUE"""),"261,72,73,114,338")</f>
        <v>261,72,73,114,338</v>
      </c>
      <c r="F20" s="4">
        <f>IFERROR(__xludf.DUMMYFUNCTION("SPLIT(E20,"","")"),261.0)</f>
        <v>261</v>
      </c>
      <c r="G20" s="4">
        <f>IFERROR(__xludf.DUMMYFUNCTION("""COMPUTED_VALUE"""),72.0)</f>
        <v>72</v>
      </c>
      <c r="H20" s="4">
        <f>IFERROR(__xludf.DUMMYFUNCTION("""COMPUTED_VALUE"""),73.0)</f>
        <v>73</v>
      </c>
      <c r="I20" s="4">
        <f>IFERROR(__xludf.DUMMYFUNCTION("""COMPUTED_VALUE"""),114.0)</f>
        <v>114</v>
      </c>
      <c r="J20" s="4">
        <f>IFERROR(__xludf.DUMMYFUNCTION("""COMPUTED_VALUE"""),338.0)</f>
        <v>338</v>
      </c>
    </row>
    <row r="21">
      <c r="A21" s="14" t="s">
        <v>1941</v>
      </c>
      <c r="C21" s="4" t="str">
        <f>IFERROR(__xludf.DUMMYFUNCTION("REGEXREPLACE(A21, ""[^,[0-9]"", """")"),"19[197,32,97,98,342,186,189")</f>
        <v>19[197,32,97,98,342,186,189</v>
      </c>
      <c r="D21" s="4">
        <f>IFERROR(__xludf.DUMMYFUNCTION("SPLIT(C21,""["")"),19.0)</f>
        <v>19</v>
      </c>
      <c r="E21" s="4" t="str">
        <f>IFERROR(__xludf.DUMMYFUNCTION("""COMPUTED_VALUE"""),"197,32,97,98,342,186,189")</f>
        <v>197,32,97,98,342,186,189</v>
      </c>
      <c r="F21" s="4">
        <f>IFERROR(__xludf.DUMMYFUNCTION("SPLIT(E21,"","")"),197.0)</f>
        <v>197</v>
      </c>
      <c r="G21" s="4">
        <f>IFERROR(__xludf.DUMMYFUNCTION("""COMPUTED_VALUE"""),32.0)</f>
        <v>32</v>
      </c>
      <c r="H21" s="4">
        <f>IFERROR(__xludf.DUMMYFUNCTION("""COMPUTED_VALUE"""),97.0)</f>
        <v>97</v>
      </c>
      <c r="I21" s="4">
        <f>IFERROR(__xludf.DUMMYFUNCTION("""COMPUTED_VALUE"""),98.0)</f>
        <v>98</v>
      </c>
      <c r="J21" s="4">
        <f>IFERROR(__xludf.DUMMYFUNCTION("""COMPUTED_VALUE"""),342.0)</f>
        <v>342</v>
      </c>
      <c r="K21" s="4">
        <f>IFERROR(__xludf.DUMMYFUNCTION("""COMPUTED_VALUE"""),186.0)</f>
        <v>186</v>
      </c>
      <c r="L21" s="4">
        <f>IFERROR(__xludf.DUMMYFUNCTION("""COMPUTED_VALUE"""),189.0)</f>
        <v>189</v>
      </c>
    </row>
    <row r="22">
      <c r="A22" s="14" t="s">
        <v>1942</v>
      </c>
      <c r="C22" s="4" t="str">
        <f>IFERROR(__xludf.DUMMYFUNCTION("REGEXREPLACE(A22, ""[^,[0-9]"", """")"),"20[53,174,187")</f>
        <v>20[53,174,187</v>
      </c>
      <c r="D22" s="4">
        <f>IFERROR(__xludf.DUMMYFUNCTION("SPLIT(C22,""["")"),20.0)</f>
        <v>20</v>
      </c>
      <c r="E22" s="17">
        <f>IFERROR(__xludf.DUMMYFUNCTION("""COMPUTED_VALUE"""),5.3174187E7)</f>
        <v>53174187</v>
      </c>
      <c r="F22" s="4">
        <f>IFERROR(__xludf.DUMMYFUNCTION("SPLIT(E22,"","")"),53.0)</f>
        <v>53</v>
      </c>
      <c r="G22" s="4">
        <f>IFERROR(__xludf.DUMMYFUNCTION("""COMPUTED_VALUE"""),174.0)</f>
        <v>174</v>
      </c>
      <c r="H22" s="4">
        <f>IFERROR(__xludf.DUMMYFUNCTION("""COMPUTED_VALUE"""),187.0)</f>
        <v>187</v>
      </c>
    </row>
    <row r="23">
      <c r="A23" s="14" t="s">
        <v>1943</v>
      </c>
      <c r="C23" s="4" t="str">
        <f>IFERROR(__xludf.DUMMYFUNCTION("REGEXREPLACE(A23, ""[^,[0-9]"", """")"),"21[246")</f>
        <v>21[246</v>
      </c>
      <c r="D23" s="4">
        <f>IFERROR(__xludf.DUMMYFUNCTION("SPLIT(C23,""["")"),21.0)</f>
        <v>21</v>
      </c>
      <c r="E23" s="4">
        <f>IFERROR(__xludf.DUMMYFUNCTION("""COMPUTED_VALUE"""),246.0)</f>
        <v>246</v>
      </c>
      <c r="F23" s="4">
        <f>IFERROR(__xludf.DUMMYFUNCTION("SPLIT(E23,"","")"),246.0)</f>
        <v>246</v>
      </c>
    </row>
    <row r="24">
      <c r="A24" s="14" t="s">
        <v>1944</v>
      </c>
      <c r="C24" s="4" t="str">
        <f>IFERROR(__xludf.DUMMYFUNCTION("REGEXREPLACE(A24, ""[^,[0-9]"", """")"),"22[93,35,22,44,282,42,111,237,239,260")</f>
        <v>22[93,35,22,44,282,42,111,237,239,260</v>
      </c>
      <c r="D24" s="4">
        <f>IFERROR(__xludf.DUMMYFUNCTION("SPLIT(C24,""["")"),22.0)</f>
        <v>22</v>
      </c>
      <c r="E24" s="4" t="str">
        <f>IFERROR(__xludf.DUMMYFUNCTION("""COMPUTED_VALUE"""),"93,35,22,44,282,42,111,237,239,260")</f>
        <v>93,35,22,44,282,42,111,237,239,260</v>
      </c>
      <c r="F24" s="4">
        <f>IFERROR(__xludf.DUMMYFUNCTION("SPLIT(E24,"","")"),93.0)</f>
        <v>93</v>
      </c>
      <c r="G24" s="4">
        <f>IFERROR(__xludf.DUMMYFUNCTION("""COMPUTED_VALUE"""),35.0)</f>
        <v>35</v>
      </c>
      <c r="H24" s="4">
        <f>IFERROR(__xludf.DUMMYFUNCTION("""COMPUTED_VALUE"""),22.0)</f>
        <v>22</v>
      </c>
      <c r="I24" s="4">
        <f>IFERROR(__xludf.DUMMYFUNCTION("""COMPUTED_VALUE"""),44.0)</f>
        <v>44</v>
      </c>
      <c r="J24" s="4">
        <f>IFERROR(__xludf.DUMMYFUNCTION("""COMPUTED_VALUE"""),282.0)</f>
        <v>282</v>
      </c>
      <c r="K24" s="4">
        <f>IFERROR(__xludf.DUMMYFUNCTION("""COMPUTED_VALUE"""),42.0)</f>
        <v>42</v>
      </c>
      <c r="L24" s="4">
        <f>IFERROR(__xludf.DUMMYFUNCTION("""COMPUTED_VALUE"""),111.0)</f>
        <v>111</v>
      </c>
      <c r="M24" s="4">
        <f>IFERROR(__xludf.DUMMYFUNCTION("""COMPUTED_VALUE"""),237.0)</f>
        <v>237</v>
      </c>
      <c r="N24" s="4">
        <f>IFERROR(__xludf.DUMMYFUNCTION("""COMPUTED_VALUE"""),239.0)</f>
        <v>239</v>
      </c>
      <c r="O24" s="4">
        <f>IFERROR(__xludf.DUMMYFUNCTION("""COMPUTED_VALUE"""),260.0)</f>
        <v>260</v>
      </c>
    </row>
    <row r="25">
      <c r="A25" s="14" t="s">
        <v>1896</v>
      </c>
      <c r="C25" s="4" t="str">
        <f>IFERROR(__xludf.DUMMYFUNCTION("REGEXREPLACE(A25, ""[^,[0-9]"", """")"),"23[134,299,231,311")</f>
        <v>23[134,299,231,311</v>
      </c>
      <c r="D25" s="4">
        <f>IFERROR(__xludf.DUMMYFUNCTION("SPLIT(C25,""["")"),23.0)</f>
        <v>23</v>
      </c>
      <c r="E25" s="17">
        <f>IFERROR(__xludf.DUMMYFUNCTION("""COMPUTED_VALUE"""),1.34299231311E11)</f>
        <v>134299231311</v>
      </c>
      <c r="F25" s="4">
        <f>IFERROR(__xludf.DUMMYFUNCTION("SPLIT(E25,"","")"),134.0)</f>
        <v>134</v>
      </c>
      <c r="G25" s="4">
        <f>IFERROR(__xludf.DUMMYFUNCTION("""COMPUTED_VALUE"""),299.0)</f>
        <v>299</v>
      </c>
      <c r="H25" s="4">
        <f>IFERROR(__xludf.DUMMYFUNCTION("""COMPUTED_VALUE"""),231.0)</f>
        <v>231</v>
      </c>
      <c r="I25" s="4">
        <f>IFERROR(__xludf.DUMMYFUNCTION("""COMPUTED_VALUE"""),311.0)</f>
        <v>311</v>
      </c>
    </row>
    <row r="26">
      <c r="A26" s="14" t="s">
        <v>1945</v>
      </c>
      <c r="C26" s="4" t="str">
        <f>IFERROR(__xludf.DUMMYFUNCTION("REGEXREPLACE(A26, ""[^,[0-9]"", """")"),"24[77,158,156,218,249,327")</f>
        <v>24[77,158,156,218,249,327</v>
      </c>
      <c r="D26" s="4">
        <f>IFERROR(__xludf.DUMMYFUNCTION("SPLIT(C26,""["")"),24.0)</f>
        <v>24</v>
      </c>
      <c r="E26" s="17">
        <f>IFERROR(__xludf.DUMMYFUNCTION("""COMPUTED_VALUE"""),7.71581562182493E16)</f>
        <v>7.71582E+16</v>
      </c>
      <c r="F26" s="4">
        <f>IFERROR(__xludf.DUMMYFUNCTION("SPLIT(E26,"","")"),77.0)</f>
        <v>77</v>
      </c>
      <c r="G26" s="4">
        <f>IFERROR(__xludf.DUMMYFUNCTION("""COMPUTED_VALUE"""),158.0)</f>
        <v>158</v>
      </c>
      <c r="H26" s="4">
        <f>IFERROR(__xludf.DUMMYFUNCTION("""COMPUTED_VALUE"""),156.0)</f>
        <v>156</v>
      </c>
      <c r="I26" s="4">
        <f>IFERROR(__xludf.DUMMYFUNCTION("""COMPUTED_VALUE"""),218.0)</f>
        <v>218</v>
      </c>
      <c r="J26" s="4">
        <f>IFERROR(__xludf.DUMMYFUNCTION("""COMPUTED_VALUE"""),249.0)</f>
        <v>249</v>
      </c>
      <c r="K26" s="4">
        <f>IFERROR(__xludf.DUMMYFUNCTION("""COMPUTED_VALUE"""),300.0)</f>
        <v>300</v>
      </c>
    </row>
    <row r="27">
      <c r="A27" s="14" t="s">
        <v>1898</v>
      </c>
      <c r="C27" s="4" t="str">
        <f>IFERROR(__xludf.DUMMYFUNCTION("REGEXREPLACE(A27, ""[^,[0-9]"", """")"),"25[4,243,2,262,295,5,109,147,182,346")</f>
        <v>25[4,243,2,262,295,5,109,147,182,346</v>
      </c>
      <c r="D27" s="4">
        <f>IFERROR(__xludf.DUMMYFUNCTION("SPLIT(C27,""["")"),25.0)</f>
        <v>25</v>
      </c>
      <c r="E27" s="4" t="str">
        <f>IFERROR(__xludf.DUMMYFUNCTION("""COMPUTED_VALUE"""),"4,243,2,262,295,5,109,147,182,346")</f>
        <v>4,243,2,262,295,5,109,147,182,346</v>
      </c>
      <c r="F27" s="4">
        <f>IFERROR(__xludf.DUMMYFUNCTION("SPLIT(E27,"","")"),4.0)</f>
        <v>4</v>
      </c>
      <c r="G27" s="4">
        <f>IFERROR(__xludf.DUMMYFUNCTION("""COMPUTED_VALUE"""),243.0)</f>
        <v>243</v>
      </c>
      <c r="H27" s="4">
        <f>IFERROR(__xludf.DUMMYFUNCTION("""COMPUTED_VALUE"""),2.0)</f>
        <v>2</v>
      </c>
      <c r="I27" s="4">
        <f>IFERROR(__xludf.DUMMYFUNCTION("""COMPUTED_VALUE"""),262.0)</f>
        <v>262</v>
      </c>
      <c r="J27" s="4">
        <f>IFERROR(__xludf.DUMMYFUNCTION("""COMPUTED_VALUE"""),295.0)</f>
        <v>295</v>
      </c>
      <c r="K27" s="4">
        <f>IFERROR(__xludf.DUMMYFUNCTION("""COMPUTED_VALUE"""),5.0)</f>
        <v>5</v>
      </c>
      <c r="L27" s="4">
        <f>IFERROR(__xludf.DUMMYFUNCTION("""COMPUTED_VALUE"""),109.0)</f>
        <v>109</v>
      </c>
      <c r="M27" s="4">
        <f>IFERROR(__xludf.DUMMYFUNCTION("""COMPUTED_VALUE"""),147.0)</f>
        <v>147</v>
      </c>
      <c r="N27" s="4">
        <f>IFERROR(__xludf.DUMMYFUNCTION("""COMPUTED_VALUE"""),182.0)</f>
        <v>182</v>
      </c>
      <c r="O27" s="4">
        <f>IFERROR(__xludf.DUMMYFUNCTION("""COMPUTED_VALUE"""),346.0)</f>
        <v>346</v>
      </c>
    </row>
    <row r="28">
      <c r="A28" s="14" t="s">
        <v>1899</v>
      </c>
      <c r="C28" s="4" t="str">
        <f>IFERROR(__xludf.DUMMYFUNCTION("REGEXREPLACE(A28, ""[^,[0-9]"", """")"),"26[17,137,146,287,238")</f>
        <v>26[17,137,146,287,238</v>
      </c>
      <c r="D28" s="4">
        <f>IFERROR(__xludf.DUMMYFUNCTION("SPLIT(C28,""["")"),26.0)</f>
        <v>26</v>
      </c>
      <c r="E28" s="17">
        <f>IFERROR(__xludf.DUMMYFUNCTION("""COMPUTED_VALUE"""),1.7137146287238E13)</f>
        <v>17137146287238</v>
      </c>
      <c r="F28" s="4">
        <f>IFERROR(__xludf.DUMMYFUNCTION("SPLIT(E28,"","")"),17.0)</f>
        <v>17</v>
      </c>
      <c r="G28" s="4">
        <f>IFERROR(__xludf.DUMMYFUNCTION("""COMPUTED_VALUE"""),137.0)</f>
        <v>137</v>
      </c>
      <c r="H28" s="4">
        <f>IFERROR(__xludf.DUMMYFUNCTION("""COMPUTED_VALUE"""),146.0)</f>
        <v>146</v>
      </c>
      <c r="I28" s="4">
        <f>IFERROR(__xludf.DUMMYFUNCTION("""COMPUTED_VALUE"""),287.0)</f>
        <v>287</v>
      </c>
      <c r="J28" s="4">
        <f>IFERROR(__xludf.DUMMYFUNCTION("""COMPUTED_VALUE"""),238.0)</f>
        <v>238</v>
      </c>
    </row>
    <row r="29">
      <c r="A29" s="14" t="s">
        <v>1946</v>
      </c>
      <c r="C29" s="4" t="str">
        <f>IFERROR(__xludf.DUMMYFUNCTION("REGEXREPLACE(A29, ""[^,[0-9]"", """")"),"27[152,202,34,326")</f>
        <v>27[152,202,34,326</v>
      </c>
      <c r="D29" s="4">
        <f>IFERROR(__xludf.DUMMYFUNCTION("SPLIT(C29,""["")"),27.0)</f>
        <v>27</v>
      </c>
      <c r="E29" s="4" t="str">
        <f>IFERROR(__xludf.DUMMYFUNCTION("""COMPUTED_VALUE"""),"152,202,34,326")</f>
        <v>152,202,34,326</v>
      </c>
      <c r="F29" s="4">
        <f>IFERROR(__xludf.DUMMYFUNCTION("SPLIT(E29,"","")"),152.0)</f>
        <v>152</v>
      </c>
      <c r="G29" s="4">
        <f>IFERROR(__xludf.DUMMYFUNCTION("""COMPUTED_VALUE"""),202.0)</f>
        <v>202</v>
      </c>
      <c r="H29" s="4">
        <f>IFERROR(__xludf.DUMMYFUNCTION("""COMPUTED_VALUE"""),34.0)</f>
        <v>34</v>
      </c>
      <c r="I29" s="4">
        <f>IFERROR(__xludf.DUMMYFUNCTION("""COMPUTED_VALUE"""),326.0)</f>
        <v>326</v>
      </c>
    </row>
    <row r="30">
      <c r="A30" s="14" t="s">
        <v>1947</v>
      </c>
      <c r="C30" s="4" t="str">
        <f>IFERROR(__xludf.DUMMYFUNCTION("REGEXREPLACE(A30, ""[^,[0-9]"", """")"),"28[90,127,198,83,105,106")</f>
        <v>28[90,127,198,83,105,106</v>
      </c>
      <c r="D30" s="4">
        <f>IFERROR(__xludf.DUMMYFUNCTION("SPLIT(C30,""["")"),28.0)</f>
        <v>28</v>
      </c>
      <c r="E30" s="4" t="str">
        <f>IFERROR(__xludf.DUMMYFUNCTION("""COMPUTED_VALUE"""),"90,127,198,83,105,106")</f>
        <v>90,127,198,83,105,106</v>
      </c>
      <c r="F30" s="4">
        <f>IFERROR(__xludf.DUMMYFUNCTION("SPLIT(E30,"","")"),90.0)</f>
        <v>90</v>
      </c>
      <c r="G30" s="4">
        <f>IFERROR(__xludf.DUMMYFUNCTION("""COMPUTED_VALUE"""),127.0)</f>
        <v>127</v>
      </c>
      <c r="H30" s="4">
        <f>IFERROR(__xludf.DUMMYFUNCTION("""COMPUTED_VALUE"""),198.0)</f>
        <v>198</v>
      </c>
      <c r="I30" s="4">
        <f>IFERROR(__xludf.DUMMYFUNCTION("""COMPUTED_VALUE"""),83.0)</f>
        <v>83</v>
      </c>
      <c r="J30" s="4">
        <f>IFERROR(__xludf.DUMMYFUNCTION("""COMPUTED_VALUE"""),105.0)</f>
        <v>105</v>
      </c>
      <c r="K30" s="4">
        <f>IFERROR(__xludf.DUMMYFUNCTION("""COMPUTED_VALUE"""),106.0)</f>
        <v>106</v>
      </c>
    </row>
    <row r="31">
      <c r="A31" s="14" t="s">
        <v>1948</v>
      </c>
      <c r="C31" s="4" t="str">
        <f>IFERROR(__xludf.DUMMYFUNCTION("REGEXREPLACE(A31, ""[^,[0-9]"", """")"),"29[301")</f>
        <v>29[301</v>
      </c>
      <c r="D31" s="4">
        <f>IFERROR(__xludf.DUMMYFUNCTION("SPLIT(C31,""["")"),29.0)</f>
        <v>29</v>
      </c>
      <c r="E31" s="4">
        <f>IFERROR(__xludf.DUMMYFUNCTION("""COMPUTED_VALUE"""),301.0)</f>
        <v>301</v>
      </c>
      <c r="F31" s="4">
        <f>IFERROR(__xludf.DUMMYFUNCTION("SPLIT(E31,"","")"),301.0)</f>
        <v>301</v>
      </c>
    </row>
    <row r="32">
      <c r="A32" s="14" t="s">
        <v>1949</v>
      </c>
      <c r="C32" s="4" t="str">
        <f>IFERROR(__xludf.DUMMYFUNCTION("REGEXREPLACE(A32, ""[^,[0-9]"", """")"),"30[65,136,37,112,115,45,213,315,264,265")</f>
        <v>30[65,136,37,112,115,45,213,315,264,265</v>
      </c>
      <c r="D32" s="4">
        <f>IFERROR(__xludf.DUMMYFUNCTION("SPLIT(C32,""["")"),30.0)</f>
        <v>30</v>
      </c>
      <c r="E32" s="4" t="str">
        <f>IFERROR(__xludf.DUMMYFUNCTION("""COMPUTED_VALUE"""),"65,136,37,112,115,45,213,315,264,265")</f>
        <v>65,136,37,112,115,45,213,315,264,265</v>
      </c>
      <c r="F32" s="4">
        <f>IFERROR(__xludf.DUMMYFUNCTION("SPLIT(E32,"","")"),65.0)</f>
        <v>65</v>
      </c>
      <c r="G32" s="4">
        <f>IFERROR(__xludf.DUMMYFUNCTION("""COMPUTED_VALUE"""),136.0)</f>
        <v>136</v>
      </c>
      <c r="H32" s="4">
        <f>IFERROR(__xludf.DUMMYFUNCTION("""COMPUTED_VALUE"""),37.0)</f>
        <v>37</v>
      </c>
      <c r="I32" s="4">
        <f>IFERROR(__xludf.DUMMYFUNCTION("""COMPUTED_VALUE"""),112.0)</f>
        <v>112</v>
      </c>
      <c r="J32" s="4">
        <f>IFERROR(__xludf.DUMMYFUNCTION("""COMPUTED_VALUE"""),115.0)</f>
        <v>115</v>
      </c>
      <c r="K32" s="4">
        <f>IFERROR(__xludf.DUMMYFUNCTION("""COMPUTED_VALUE"""),45.0)</f>
        <v>45</v>
      </c>
      <c r="L32" s="4">
        <f>IFERROR(__xludf.DUMMYFUNCTION("""COMPUTED_VALUE"""),213.0)</f>
        <v>213</v>
      </c>
      <c r="M32" s="4">
        <f>IFERROR(__xludf.DUMMYFUNCTION("""COMPUTED_VALUE"""),315.0)</f>
        <v>315</v>
      </c>
      <c r="N32" s="4">
        <f>IFERROR(__xludf.DUMMYFUNCTION("""COMPUTED_VALUE"""),264.0)</f>
        <v>264</v>
      </c>
      <c r="O32" s="4">
        <f>IFERROR(__xludf.DUMMYFUNCTION("""COMPUTED_VALUE"""),265.0)</f>
        <v>265</v>
      </c>
    </row>
    <row r="33">
      <c r="A33" s="14" t="s">
        <v>1950</v>
      </c>
      <c r="C33" s="4" t="str">
        <f>IFERROR(__xludf.DUMMYFUNCTION("REGEXREPLACE(A33, ""[^,[0-9]"", """")"),"31[9,131,356,289,8,138,266")</f>
        <v>31[9,131,356,289,8,138,266</v>
      </c>
      <c r="D33" s="4">
        <f>IFERROR(__xludf.DUMMYFUNCTION("SPLIT(C33,""["")"),31.0)</f>
        <v>31</v>
      </c>
      <c r="E33" s="4" t="str">
        <f>IFERROR(__xludf.DUMMYFUNCTION("""COMPUTED_VALUE"""),"9,131,356,289,8,138,266")</f>
        <v>9,131,356,289,8,138,266</v>
      </c>
      <c r="F33" s="4">
        <f>IFERROR(__xludf.DUMMYFUNCTION("SPLIT(E33,"","")"),9.0)</f>
        <v>9</v>
      </c>
      <c r="G33" s="4">
        <f>IFERROR(__xludf.DUMMYFUNCTION("""COMPUTED_VALUE"""),131.0)</f>
        <v>131</v>
      </c>
      <c r="H33" s="4">
        <f>IFERROR(__xludf.DUMMYFUNCTION("""COMPUTED_VALUE"""),356.0)</f>
        <v>356</v>
      </c>
      <c r="I33" s="4">
        <f>IFERROR(__xludf.DUMMYFUNCTION("""COMPUTED_VALUE"""),289.0)</f>
        <v>289</v>
      </c>
      <c r="J33" s="4">
        <f>IFERROR(__xludf.DUMMYFUNCTION("""COMPUTED_VALUE"""),8.0)</f>
        <v>8</v>
      </c>
      <c r="K33" s="4">
        <f>IFERROR(__xludf.DUMMYFUNCTION("""COMPUTED_VALUE"""),138.0)</f>
        <v>138</v>
      </c>
      <c r="L33" s="4">
        <f>IFERROR(__xludf.DUMMYFUNCTION("""COMPUTED_VALUE"""),266.0)</f>
        <v>266</v>
      </c>
    </row>
    <row r="34">
      <c r="A34" s="14" t="s">
        <v>1951</v>
      </c>
      <c r="C34" s="4" t="str">
        <f>IFERROR(__xludf.DUMMYFUNCTION("REGEXREPLACE(A34, ""[^,[0-9]"", """")"),"32[100,196,142,320,99")</f>
        <v>32[100,196,142,320,99</v>
      </c>
      <c r="D34" s="4">
        <f>IFERROR(__xludf.DUMMYFUNCTION("SPLIT(C34,""["")"),32.0)</f>
        <v>32</v>
      </c>
      <c r="E34" s="4" t="str">
        <f>IFERROR(__xludf.DUMMYFUNCTION("""COMPUTED_VALUE"""),"100,196,142,320,99")</f>
        <v>100,196,142,320,99</v>
      </c>
      <c r="F34" s="4">
        <f>IFERROR(__xludf.DUMMYFUNCTION("SPLIT(E34,"","")"),100.0)</f>
        <v>100</v>
      </c>
      <c r="G34" s="4">
        <f>IFERROR(__xludf.DUMMYFUNCTION("""COMPUTED_VALUE"""),196.0)</f>
        <v>196</v>
      </c>
      <c r="H34" s="4">
        <f>IFERROR(__xludf.DUMMYFUNCTION("""COMPUTED_VALUE"""),142.0)</f>
        <v>142</v>
      </c>
      <c r="I34" s="4">
        <f>IFERROR(__xludf.DUMMYFUNCTION("""COMPUTED_VALUE"""),320.0)</f>
        <v>320</v>
      </c>
      <c r="J34" s="4">
        <f>IFERROR(__xludf.DUMMYFUNCTION("""COMPUTED_VALUE"""),99.0)</f>
        <v>99</v>
      </c>
    </row>
    <row r="35">
      <c r="A35" s="14" t="s">
        <v>1906</v>
      </c>
      <c r="C35" s="4" t="str">
        <f>IFERROR(__xludf.DUMMYFUNCTION("REGEXREPLACE(A35, ""[^,[0-9]"", """")"),"33[61")</f>
        <v>33[61</v>
      </c>
      <c r="D35" s="4">
        <f>IFERROR(__xludf.DUMMYFUNCTION("SPLIT(C35,""["")"),33.0)</f>
        <v>33</v>
      </c>
      <c r="E35" s="4">
        <f>IFERROR(__xludf.DUMMYFUNCTION("""COMPUTED_VALUE"""),61.0)</f>
        <v>61</v>
      </c>
      <c r="F35" s="4">
        <f>IFERROR(__xludf.DUMMYFUNCTION("SPLIT(E35,"","")"),61.0)</f>
        <v>61</v>
      </c>
    </row>
    <row r="36">
      <c r="A36" s="14" t="s">
        <v>1952</v>
      </c>
      <c r="C36" s="4" t="str">
        <f>IFERROR(__xludf.DUMMYFUNCTION("REGEXREPLACE(A36, ""[^,[0-9]"", """")"),"34[277,46,168,308,167,123,305")</f>
        <v>34[277,46,168,308,167,123,305</v>
      </c>
      <c r="D36" s="4">
        <f>IFERROR(__xludf.DUMMYFUNCTION("SPLIT(C36,""["")"),34.0)</f>
        <v>34</v>
      </c>
      <c r="E36" s="4" t="str">
        <f>IFERROR(__xludf.DUMMYFUNCTION("""COMPUTED_VALUE"""),"277,46,168,308,167,123,305")</f>
        <v>277,46,168,308,167,123,305</v>
      </c>
      <c r="F36" s="4">
        <f>IFERROR(__xludf.DUMMYFUNCTION("SPLIT(E36,"","")"),277.0)</f>
        <v>277</v>
      </c>
      <c r="G36" s="4">
        <f>IFERROR(__xludf.DUMMYFUNCTION("""COMPUTED_VALUE"""),46.0)</f>
        <v>46</v>
      </c>
      <c r="H36" s="4">
        <f>IFERROR(__xludf.DUMMYFUNCTION("""COMPUTED_VALUE"""),168.0)</f>
        <v>168</v>
      </c>
      <c r="I36" s="4">
        <f>IFERROR(__xludf.DUMMYFUNCTION("""COMPUTED_VALUE"""),308.0)</f>
        <v>308</v>
      </c>
      <c r="J36" s="4">
        <f>IFERROR(__xludf.DUMMYFUNCTION("""COMPUTED_VALUE"""),167.0)</f>
        <v>167</v>
      </c>
      <c r="K36" s="4">
        <f>IFERROR(__xludf.DUMMYFUNCTION("""COMPUTED_VALUE"""),123.0)</f>
        <v>123</v>
      </c>
      <c r="L36" s="4">
        <f>IFERROR(__xludf.DUMMYFUNCTION("""COMPUTED_VALUE"""),305.0)</f>
        <v>305</v>
      </c>
    </row>
    <row r="37">
      <c r="A37" s="14" t="s">
        <v>1953</v>
      </c>
      <c r="C37" s="4" t="str">
        <f>IFERROR(__xludf.DUMMYFUNCTION("REGEXREPLACE(A37, ""[^,[0-9]"", """")"),"35[130,307,52")</f>
        <v>35[130,307,52</v>
      </c>
      <c r="D37" s="4">
        <f>IFERROR(__xludf.DUMMYFUNCTION("SPLIT(C37,""["")"),35.0)</f>
        <v>35</v>
      </c>
      <c r="E37" s="4" t="str">
        <f>IFERROR(__xludf.DUMMYFUNCTION("""COMPUTED_VALUE"""),"130,307,52")</f>
        <v>130,307,52</v>
      </c>
      <c r="F37" s="4">
        <f>IFERROR(__xludf.DUMMYFUNCTION("SPLIT(E37,"","")"),130.0)</f>
        <v>130</v>
      </c>
      <c r="G37" s="4">
        <f>IFERROR(__xludf.DUMMYFUNCTION("""COMPUTED_VALUE"""),307.0)</f>
        <v>307</v>
      </c>
      <c r="H37" s="4">
        <f>IFERROR(__xludf.DUMMYFUNCTION("""COMPUTED_VALUE"""),52.0)</f>
        <v>52</v>
      </c>
    </row>
    <row r="38">
      <c r="A38" s="14" t="s">
        <v>1954</v>
      </c>
      <c r="C38" s="4" t="str">
        <f>IFERROR(__xludf.DUMMYFUNCTION("REGEXREPLACE(A38, ""[^,[0-9]"", """")"),"36[166,183,281,293")</f>
        <v>36[166,183,281,293</v>
      </c>
      <c r="D38" s="4">
        <f>IFERROR(__xludf.DUMMYFUNCTION("SPLIT(C38,""["")"),36.0)</f>
        <v>36</v>
      </c>
      <c r="E38" s="17">
        <f>IFERROR(__xludf.DUMMYFUNCTION("""COMPUTED_VALUE"""),1.66183281293E11)</f>
        <v>166183281293</v>
      </c>
      <c r="F38" s="4">
        <f>IFERROR(__xludf.DUMMYFUNCTION("SPLIT(E38,"","")"),166.0)</f>
        <v>166</v>
      </c>
      <c r="G38" s="4">
        <f>IFERROR(__xludf.DUMMYFUNCTION("""COMPUTED_VALUE"""),183.0)</f>
        <v>183</v>
      </c>
      <c r="H38" s="4">
        <f>IFERROR(__xludf.DUMMYFUNCTION("""COMPUTED_VALUE"""),281.0)</f>
        <v>281</v>
      </c>
      <c r="I38" s="4">
        <f>IFERROR(__xludf.DUMMYFUNCTION("""COMPUTED_VALUE"""),293.0)</f>
        <v>293</v>
      </c>
    </row>
    <row r="39">
      <c r="A39" s="14" t="s">
        <v>1910</v>
      </c>
      <c r="C39" s="4" t="str">
        <f>IFERROR(__xludf.DUMMYFUNCTION("REGEXREPLACE(A39, ""[^,[0-9]"", """")"),"37[54,200,222,241,254")</f>
        <v>37[54,200,222,241,254</v>
      </c>
      <c r="D39" s="4">
        <f>IFERROR(__xludf.DUMMYFUNCTION("SPLIT(C39,""["")"),37.0)</f>
        <v>37</v>
      </c>
      <c r="E39" s="17">
        <f>IFERROR(__xludf.DUMMYFUNCTION("""COMPUTED_VALUE"""),5.4200222241254E13)</f>
        <v>54200222241254</v>
      </c>
      <c r="F39" s="4">
        <f>IFERROR(__xludf.DUMMYFUNCTION("SPLIT(E39,"","")"),54.0)</f>
        <v>54</v>
      </c>
      <c r="G39" s="4">
        <f>IFERROR(__xludf.DUMMYFUNCTION("""COMPUTED_VALUE"""),200.0)</f>
        <v>200</v>
      </c>
      <c r="H39" s="4">
        <f>IFERROR(__xludf.DUMMYFUNCTION("""COMPUTED_VALUE"""),222.0)</f>
        <v>222</v>
      </c>
      <c r="I39" s="4">
        <f>IFERROR(__xludf.DUMMYFUNCTION("""COMPUTED_VALUE"""),241.0)</f>
        <v>241</v>
      </c>
      <c r="J39" s="4">
        <f>IFERROR(__xludf.DUMMYFUNCTION("""COMPUTED_VALUE"""),254.0)</f>
        <v>254</v>
      </c>
    </row>
    <row r="40">
      <c r="A40" s="14" t="s">
        <v>1955</v>
      </c>
      <c r="C40" s="4" t="str">
        <f>IFERROR(__xludf.DUMMYFUNCTION("REGEXREPLACE(A40, ""[^,[0-9]"", """")"),"38[36,51,69,101,125,143,245,269")</f>
        <v>38[36,51,69,101,125,143,245,269</v>
      </c>
      <c r="D40" s="4">
        <f>IFERROR(__xludf.DUMMYFUNCTION("SPLIT(C40,""["")"),38.0)</f>
        <v>38</v>
      </c>
      <c r="E40" s="4" t="str">
        <f>IFERROR(__xludf.DUMMYFUNCTION("""COMPUTED_VALUE"""),"36,51,69,101,125,143,245,269")</f>
        <v>36,51,69,101,125,143,245,269</v>
      </c>
      <c r="F40" s="4">
        <f>IFERROR(__xludf.DUMMYFUNCTION("SPLIT(E40,"","")"),36.0)</f>
        <v>36</v>
      </c>
      <c r="G40" s="4">
        <f>IFERROR(__xludf.DUMMYFUNCTION("""COMPUTED_VALUE"""),51.0)</f>
        <v>51</v>
      </c>
      <c r="H40" s="4">
        <f>IFERROR(__xludf.DUMMYFUNCTION("""COMPUTED_VALUE"""),69.0)</f>
        <v>69</v>
      </c>
      <c r="I40" s="4">
        <f>IFERROR(__xludf.DUMMYFUNCTION("""COMPUTED_VALUE"""),101.0)</f>
        <v>101</v>
      </c>
      <c r="J40" s="4">
        <f>IFERROR(__xludf.DUMMYFUNCTION("""COMPUTED_VALUE"""),125.0)</f>
        <v>125</v>
      </c>
      <c r="K40" s="4">
        <f>IFERROR(__xludf.DUMMYFUNCTION("""COMPUTED_VALUE"""),143.0)</f>
        <v>143</v>
      </c>
      <c r="L40" s="4">
        <f>IFERROR(__xludf.DUMMYFUNCTION("""COMPUTED_VALUE"""),245.0)</f>
        <v>245</v>
      </c>
      <c r="M40" s="4">
        <f>IFERROR(__xludf.DUMMYFUNCTION("""COMPUTED_VALUE"""),269.0)</f>
        <v>269</v>
      </c>
    </row>
    <row r="41">
      <c r="A41" s="14" t="s">
        <v>1912</v>
      </c>
      <c r="C41" s="4" t="str">
        <f>IFERROR(__xludf.DUMMYFUNCTION("REGEXREPLACE(A41, ""[^,[0-9]"", """")"),"39[60,145,336")</f>
        <v>39[60,145,336</v>
      </c>
      <c r="D41" s="4">
        <f>IFERROR(__xludf.DUMMYFUNCTION("SPLIT(C41,""["")"),39.0)</f>
        <v>39</v>
      </c>
      <c r="E41" s="17">
        <f>IFERROR(__xludf.DUMMYFUNCTION("""COMPUTED_VALUE"""),6.0145336E7)</f>
        <v>60145336</v>
      </c>
      <c r="F41" s="4">
        <f>IFERROR(__xludf.DUMMYFUNCTION("SPLIT(E41,"","")"),60.0)</f>
        <v>60</v>
      </c>
      <c r="G41" s="4">
        <f>IFERROR(__xludf.DUMMYFUNCTION("""COMPUTED_VALUE"""),145.0)</f>
        <v>145</v>
      </c>
      <c r="H41" s="4">
        <f>IFERROR(__xludf.DUMMYFUNCTION("""COMPUTED_VALUE"""),336.0)</f>
        <v>336</v>
      </c>
    </row>
    <row r="42">
      <c r="A42" s="14" t="s">
        <v>1913</v>
      </c>
      <c r="C42" s="4" t="str">
        <f>IFERROR(__xludf.DUMMYFUNCTION("REGEXREPLACE(A42, ""[^,[0-9]"", """")"),"40[113,330")</f>
        <v>40[113,330</v>
      </c>
      <c r="D42" s="4">
        <f>IFERROR(__xludf.DUMMYFUNCTION("SPLIT(C42,""["")"),40.0)</f>
        <v>40</v>
      </c>
      <c r="E42" s="17">
        <f>IFERROR(__xludf.DUMMYFUNCTION("""COMPUTED_VALUE"""),113330.0)</f>
        <v>113330</v>
      </c>
      <c r="F42" s="4">
        <f>IFERROR(__xludf.DUMMYFUNCTION("SPLIT(E42,"","")"),113.0)</f>
        <v>113</v>
      </c>
      <c r="G42" s="4">
        <f>IFERROR(__xludf.DUMMYFUNCTION("""COMPUTED_VALUE"""),330.0)</f>
        <v>330</v>
      </c>
    </row>
    <row r="43">
      <c r="A43" s="14" t="s">
        <v>1914</v>
      </c>
      <c r="C43" s="4" t="str">
        <f>IFERROR(__xludf.DUMMYFUNCTION("REGEXREPLACE(A43, ""[^,[0-9]"", """")"),"41[24,10,64,67,325")</f>
        <v>41[24,10,64,67,325</v>
      </c>
      <c r="D43" s="4">
        <f>IFERROR(__xludf.DUMMYFUNCTION("SPLIT(C43,""["")"),41.0)</f>
        <v>41</v>
      </c>
      <c r="E43" s="4" t="str">
        <f>IFERROR(__xludf.DUMMYFUNCTION("""COMPUTED_VALUE"""),"24,10,64,67,325")</f>
        <v>24,10,64,67,325</v>
      </c>
      <c r="F43" s="4">
        <f>IFERROR(__xludf.DUMMYFUNCTION("SPLIT(E43,"","")"),24.0)</f>
        <v>24</v>
      </c>
      <c r="G43" s="4">
        <f>IFERROR(__xludf.DUMMYFUNCTION("""COMPUTED_VALUE"""),10.0)</f>
        <v>10</v>
      </c>
      <c r="H43" s="4">
        <f>IFERROR(__xludf.DUMMYFUNCTION("""COMPUTED_VALUE"""),64.0)</f>
        <v>64</v>
      </c>
      <c r="I43" s="4">
        <f>IFERROR(__xludf.DUMMYFUNCTION("""COMPUTED_VALUE"""),67.0)</f>
        <v>67</v>
      </c>
      <c r="J43" s="4">
        <f>IFERROR(__xludf.DUMMYFUNCTION("""COMPUTED_VALUE"""),325.0)</f>
        <v>325</v>
      </c>
    </row>
    <row r="44">
      <c r="A44" s="14" t="s">
        <v>1915</v>
      </c>
      <c r="C44" s="4" t="str">
        <f>IFERROR(__xludf.DUMMYFUNCTION("REGEXREPLACE(A44, ""[^,[0-9]"", """")"),"42[303")</f>
        <v>42[303</v>
      </c>
      <c r="D44" s="4">
        <f>IFERROR(__xludf.DUMMYFUNCTION("SPLIT(C44,""["")"),42.0)</f>
        <v>42</v>
      </c>
      <c r="E44" s="4">
        <f>IFERROR(__xludf.DUMMYFUNCTION("""COMPUTED_VALUE"""),303.0)</f>
        <v>303</v>
      </c>
      <c r="F44" s="4">
        <f>IFERROR(__xludf.DUMMYFUNCTION("SPLIT(E44,"","")"),303.0)</f>
        <v>303</v>
      </c>
    </row>
    <row r="45">
      <c r="A45" s="14" t="s">
        <v>1916</v>
      </c>
      <c r="C45" s="4" t="str">
        <f>IFERROR(__xludf.DUMMYFUNCTION("REGEXREPLACE(A45, ""[^,[0-9]"", """")"),"43[304")</f>
        <v>43[304</v>
      </c>
      <c r="D45" s="4">
        <f>IFERROR(__xludf.DUMMYFUNCTION("SPLIT(C45,""["")"),43.0)</f>
        <v>43</v>
      </c>
      <c r="E45" s="4">
        <f>IFERROR(__xludf.DUMMYFUNCTION("""COMPUTED_VALUE"""),304.0)</f>
        <v>304</v>
      </c>
      <c r="F45" s="4">
        <f>IFERROR(__xludf.DUMMYFUNCTION("SPLIT(E45,"","")"),304.0)</f>
        <v>304</v>
      </c>
    </row>
    <row r="46">
      <c r="A46" s="14" t="s">
        <v>1956</v>
      </c>
      <c r="C46" s="4" t="str">
        <f>IFERROR(__xludf.DUMMYFUNCTION("REGEXREPLACE(A46, ""[^,[0-9]"", """")"),"44[21,271")</f>
        <v>44[21,271</v>
      </c>
      <c r="D46" s="4">
        <f>IFERROR(__xludf.DUMMYFUNCTION("SPLIT(C46,""["")"),44.0)</f>
        <v>44</v>
      </c>
      <c r="E46" s="17">
        <f>IFERROR(__xludf.DUMMYFUNCTION("""COMPUTED_VALUE"""),21271.0)</f>
        <v>21271</v>
      </c>
      <c r="F46" s="4">
        <f>IFERROR(__xludf.DUMMYFUNCTION("SPLIT(E46,"","")"),21.0)</f>
        <v>21</v>
      </c>
      <c r="G46" s="4">
        <f>IFERROR(__xludf.DUMMYFUNCTION("""COMPUTED_VALUE"""),271.0)</f>
        <v>271</v>
      </c>
    </row>
    <row r="47">
      <c r="A47" s="14" t="s">
        <v>1957</v>
      </c>
      <c r="C47" s="4" t="str">
        <f>IFERROR(__xludf.DUMMYFUNCTION("REGEXREPLACE(A47, ""[^,[0-9]"", """")"),"45[240,317,318")</f>
        <v>45[240,317,318</v>
      </c>
      <c r="D47" s="4">
        <f>IFERROR(__xludf.DUMMYFUNCTION("SPLIT(C47,""["")"),45.0)</f>
        <v>45</v>
      </c>
      <c r="E47" s="17">
        <f>IFERROR(__xludf.DUMMYFUNCTION("""COMPUTED_VALUE"""),2.40317318E8)</f>
        <v>240317318</v>
      </c>
      <c r="F47" s="4">
        <f>IFERROR(__xludf.DUMMYFUNCTION("SPLIT(E47,"","")"),240.0)</f>
        <v>240</v>
      </c>
      <c r="G47" s="4">
        <f>IFERROR(__xludf.DUMMYFUNCTION("""COMPUTED_VALUE"""),317.0)</f>
        <v>317</v>
      </c>
      <c r="H47" s="4">
        <f>IFERROR(__xludf.DUMMYFUNCTION("""COMPUTED_VALUE"""),318.0)</f>
        <v>318</v>
      </c>
    </row>
    <row r="48">
      <c r="A48" s="14" t="s">
        <v>1919</v>
      </c>
      <c r="C48" s="4" t="str">
        <f>IFERROR(__xludf.DUMMYFUNCTION("REGEXREPLACE(A48, ""[^,[0-9]"", """")"),"46[40,23")</f>
        <v>46[40,23</v>
      </c>
      <c r="D48" s="4">
        <f>IFERROR(__xludf.DUMMYFUNCTION("SPLIT(C48,""["")"),46.0)</f>
        <v>46</v>
      </c>
      <c r="E48" s="4" t="str">
        <f>IFERROR(__xludf.DUMMYFUNCTION("""COMPUTED_VALUE"""),"40,23")</f>
        <v>40,23</v>
      </c>
      <c r="F48" s="4">
        <f>IFERROR(__xludf.DUMMYFUNCTION("SPLIT(E48,"","")"),40.0)</f>
        <v>40</v>
      </c>
      <c r="G48" s="4">
        <f>IFERROR(__xludf.DUMMYFUNCTION("""COMPUTED_VALUE"""),23.0)</f>
        <v>23</v>
      </c>
    </row>
    <row r="49">
      <c r="A49" s="14" t="s">
        <v>1958</v>
      </c>
      <c r="C49" s="4" t="str">
        <f>IFERROR(__xludf.DUMMYFUNCTION("REGEXREPLACE(A49, ""[^,[0-9]"", """")"),"47[107,108,194,302")</f>
        <v>47[107,108,194,302</v>
      </c>
      <c r="D49" s="4">
        <f>IFERROR(__xludf.DUMMYFUNCTION("SPLIT(C49,""["")"),47.0)</f>
        <v>47</v>
      </c>
      <c r="E49" s="17">
        <f>IFERROR(__xludf.DUMMYFUNCTION("""COMPUTED_VALUE"""),1.07108194302E11)</f>
        <v>107108194302</v>
      </c>
      <c r="F49" s="4">
        <f>IFERROR(__xludf.DUMMYFUNCTION("SPLIT(E49,"","")"),107.0)</f>
        <v>107</v>
      </c>
      <c r="G49" s="4">
        <f>IFERROR(__xludf.DUMMYFUNCTION("""COMPUTED_VALUE"""),108.0)</f>
        <v>108</v>
      </c>
      <c r="H49" s="4">
        <f>IFERROR(__xludf.DUMMYFUNCTION("""COMPUTED_VALUE"""),194.0)</f>
        <v>194</v>
      </c>
      <c r="I49" s="4">
        <f>IFERROR(__xludf.DUMMYFUNCTION("""COMPUTED_VALUE"""),302.0)</f>
        <v>302</v>
      </c>
    </row>
    <row r="50">
      <c r="A50" s="14" t="s">
        <v>1959</v>
      </c>
      <c r="C50" s="4" t="str">
        <f>IFERROR(__xludf.DUMMYFUNCTION("REGEXREPLACE(A50, ""[^,[0-9]"", """")"),"48[309,351,164,255,352,312,84,85,86,205")</f>
        <v>48[309,351,164,255,352,312,84,85,86,205</v>
      </c>
      <c r="D50" s="4">
        <f>IFERROR(__xludf.DUMMYFUNCTION("SPLIT(C50,""["")"),48.0)</f>
        <v>48</v>
      </c>
      <c r="E50" s="4" t="str">
        <f>IFERROR(__xludf.DUMMYFUNCTION("""COMPUTED_VALUE"""),"309,351,164,255,352,312,84,85,86,205")</f>
        <v>309,351,164,255,352,312,84,85,86,205</v>
      </c>
      <c r="F50" s="4">
        <f>IFERROR(__xludf.DUMMYFUNCTION("SPLIT(E50,"","")"),309.0)</f>
        <v>309</v>
      </c>
      <c r="G50" s="4">
        <f>IFERROR(__xludf.DUMMYFUNCTION("""COMPUTED_VALUE"""),351.0)</f>
        <v>351</v>
      </c>
      <c r="H50" s="4">
        <f>IFERROR(__xludf.DUMMYFUNCTION("""COMPUTED_VALUE"""),164.0)</f>
        <v>164</v>
      </c>
      <c r="I50" s="4">
        <f>IFERROR(__xludf.DUMMYFUNCTION("""COMPUTED_VALUE"""),255.0)</f>
        <v>255</v>
      </c>
      <c r="J50" s="4">
        <f>IFERROR(__xludf.DUMMYFUNCTION("""COMPUTED_VALUE"""),352.0)</f>
        <v>352</v>
      </c>
      <c r="K50" s="4">
        <f>IFERROR(__xludf.DUMMYFUNCTION("""COMPUTED_VALUE"""),312.0)</f>
        <v>312</v>
      </c>
      <c r="L50" s="4">
        <f>IFERROR(__xludf.DUMMYFUNCTION("""COMPUTED_VALUE"""),84.0)</f>
        <v>84</v>
      </c>
      <c r="M50" s="4">
        <f>IFERROR(__xludf.DUMMYFUNCTION("""COMPUTED_VALUE"""),85.0)</f>
        <v>85</v>
      </c>
      <c r="N50" s="4">
        <f>IFERROR(__xludf.DUMMYFUNCTION("""COMPUTED_VALUE"""),86.0)</f>
        <v>86</v>
      </c>
      <c r="O50" s="4">
        <f>IFERROR(__xludf.DUMMYFUNCTION("""COMPUTED_VALUE"""),205.0)</f>
        <v>205</v>
      </c>
    </row>
    <row r="51">
      <c r="A51" s="14" t="s">
        <v>1960</v>
      </c>
      <c r="C51" s="4" t="str">
        <f>IFERROR(__xludf.DUMMYFUNCTION("REGEXREPLACE(A51, ""[^,[0-9]"", """")"),"49[0,110,144,162,175,296")</f>
        <v>49[0,110,144,162,175,296</v>
      </c>
      <c r="D51" s="4">
        <f>IFERROR(__xludf.DUMMYFUNCTION("SPLIT(C51,""["")"),49.0)</f>
        <v>49</v>
      </c>
      <c r="E51" s="17">
        <f>IFERROR(__xludf.DUMMYFUNCTION("""COMPUTED_VALUE"""),1.10144162175296E14)</f>
        <v>110144162175296</v>
      </c>
      <c r="F51" s="4">
        <f>IFERROR(__xludf.DUMMYFUNCTION("SPLIT(E51,"","")"),110.0)</f>
        <v>110</v>
      </c>
      <c r="G51" s="4">
        <f>IFERROR(__xludf.DUMMYFUNCTION("""COMPUTED_VALUE"""),144.0)</f>
        <v>144</v>
      </c>
      <c r="H51" s="4">
        <f>IFERROR(__xludf.DUMMYFUNCTION("""COMPUTED_VALUE"""),162.0)</f>
        <v>162</v>
      </c>
      <c r="I51" s="4">
        <f>IFERROR(__xludf.DUMMYFUNCTION("""COMPUTED_VALUE"""),175.0)</f>
        <v>175</v>
      </c>
      <c r="J51" s="4">
        <f>IFERROR(__xludf.DUMMYFUNCTION("""COMPUTED_VALUE"""),296.0)</f>
        <v>296</v>
      </c>
    </row>
    <row r="52">
      <c r="A52" s="14" t="s">
        <v>1961</v>
      </c>
      <c r="C52" s="4" t="str">
        <f>IFERROR(__xludf.DUMMYFUNCTION("REGEXREPLACE(A52, ""[^,[0-9]"", """")"),"50[26,55,171,214,306,310,343,38,48,230")</f>
        <v>50[26,55,171,214,306,310,343,38,48,230</v>
      </c>
      <c r="D52" s="4">
        <f>IFERROR(__xludf.DUMMYFUNCTION("SPLIT(C52,""["")"),50.0)</f>
        <v>50</v>
      </c>
      <c r="E52" s="4" t="str">
        <f>IFERROR(__xludf.DUMMYFUNCTION("""COMPUTED_VALUE"""),"26,55,171,214,306,310,343,38,48,230")</f>
        <v>26,55,171,214,306,310,343,38,48,230</v>
      </c>
      <c r="F52" s="4">
        <f>IFERROR(__xludf.DUMMYFUNCTION("SPLIT(E52,"","")"),26.0)</f>
        <v>26</v>
      </c>
      <c r="G52" s="4">
        <f>IFERROR(__xludf.DUMMYFUNCTION("""COMPUTED_VALUE"""),55.0)</f>
        <v>55</v>
      </c>
      <c r="H52" s="4">
        <f>IFERROR(__xludf.DUMMYFUNCTION("""COMPUTED_VALUE"""),171.0)</f>
        <v>171</v>
      </c>
      <c r="I52" s="4">
        <f>IFERROR(__xludf.DUMMYFUNCTION("""COMPUTED_VALUE"""),214.0)</f>
        <v>214</v>
      </c>
      <c r="J52" s="4">
        <f>IFERROR(__xludf.DUMMYFUNCTION("""COMPUTED_VALUE"""),306.0)</f>
        <v>306</v>
      </c>
      <c r="K52" s="4">
        <f>IFERROR(__xludf.DUMMYFUNCTION("""COMPUTED_VALUE"""),310.0)</f>
        <v>310</v>
      </c>
      <c r="L52" s="4">
        <f>IFERROR(__xludf.DUMMYFUNCTION("""COMPUTED_VALUE"""),343.0)</f>
        <v>343</v>
      </c>
      <c r="M52" s="4">
        <f>IFERROR(__xludf.DUMMYFUNCTION("""COMPUTED_VALUE"""),38.0)</f>
        <v>38</v>
      </c>
      <c r="N52" s="4">
        <f>IFERROR(__xludf.DUMMYFUNCTION("""COMPUTED_VALUE"""),48.0)</f>
        <v>48</v>
      </c>
      <c r="O52" s="4">
        <f>IFERROR(__xludf.DUMMYFUNCTION("""COMPUTED_VALUE"""),230.0)</f>
        <v>230</v>
      </c>
    </row>
    <row r="53">
      <c r="A53" s="14" t="s">
        <v>1962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5.13"/>
  </cols>
  <sheetData>
    <row r="1">
      <c r="B1" s="4" t="str">
        <f t="array" ref="B1">xlookup('number zoo'!F:F,original!$C:$C,original!$H:$H)</f>
        <v>Anika Aslesh, Sanjana Aslesh, Dhiya Balajee</v>
      </c>
      <c r="C1" s="4" t="str">
        <f t="array" ref="C1">xlookup('number zoo'!G:G,original!$C:$C,original!$H:$H)</f>
        <v>Anika Aslesh, Sanjana Aslesh, Dhiya Balajee</v>
      </c>
      <c r="D1" s="4" t="str">
        <f t="array" ref="D1">xlookup('number zoo'!H:H,original!$C:$C,original!$H:$H)</f>
        <v>Anika Aslesh, Sanjana Aslesh, Dhiya Balajee</v>
      </c>
      <c r="E1" s="4" t="str">
        <f t="array" ref="E1">xlookup('number zoo'!I:I,original!$C:$C,original!$H:$H)</f>
        <v>Anika Aslesh, Sanjana Aslesh, Dhiya Balajee</v>
      </c>
      <c r="F1" s="4" t="str">
        <f t="array" ref="F1">xlookup('number zoo'!J:J,original!$C:$C,original!$H:$H)</f>
        <v>Anika Aslesh, Sanjana Aslesh, Dhiya Balajee</v>
      </c>
      <c r="G1" s="4" t="str">
        <f t="array" ref="G1">xlookup('number zoo'!K:K,original!$C:$C,original!$H:$H)</f>
        <v>Anika Aslesh, Sanjana Aslesh, Dhiya Balajee</v>
      </c>
      <c r="H1" s="4" t="str">
        <f t="array" ref="H1">xlookup('number zoo'!L:L,original!$C:$C,original!$H:$H)</f>
        <v>Anika Aslesh, Sanjana Aslesh, Dhiya Balajee</v>
      </c>
      <c r="I1" s="4" t="str">
        <f t="array" ref="I1">xlookup('number zoo'!M:M,original!$C:$C,original!$H:$H)</f>
        <v>Anika Aslesh, Sanjana Aslesh, Dhiya Balajee</v>
      </c>
      <c r="J1" s="4" t="str">
        <f t="array" ref="J1">xlookup('number zoo'!N:N,original!$C:$C,original!$H:$H)</f>
        <v>Anika Aslesh, Sanjana Aslesh, Dhiya Balajee</v>
      </c>
      <c r="K1" s="4" t="str">
        <f t="array" ref="K1">xlookup('number zoo'!O:O,original!$C:$C,original!$H:$H)</f>
        <v>Anika Aslesh, Sanjana Aslesh, Dhiya Balajee</v>
      </c>
    </row>
    <row r="2">
      <c r="A2" s="4" t="str">
        <f t="array" ref="A2">xlookup('number zoo'!D:D,Sheet2!B:B,Sheet2!A:A)</f>
        <v>Accounting Applications (ACT)</v>
      </c>
      <c r="B2" s="4" t="str">
        <f t="array" ref="B2">if(xlookup('number zoo'!F:F,original!$C:$C,original!$H:$H)="NA",xlookup('number zoo'!F:F,original!$C:$C,original!$A:$A),xlookup('number zoo'!F:F,original!$C:$C,original!$H:$H))</f>
        <v>Adarsh Rajesh</v>
      </c>
      <c r="C2" s="4" t="str">
        <f t="array" ref="C2">if(xlookup('number zoo'!G:G,original!$C:$C,original!$H:$H)="NA",xlookup('number zoo'!G:G,original!$C:$C,original!$A:$A),xlookup('number zoo'!G:G,original!$C:$C,original!$H:$H))</f>
        <v>Vinay Reddy</v>
      </c>
      <c r="D2" s="4" t="str">
        <f t="array" ref="D2">if(xlookup('number zoo'!H:H,original!$C:$C,original!$H:$H)="NA",xlookup('number zoo'!H:H,original!$C:$C,original!$A:$A),xlookup('number zoo'!H:H,original!$C:$C,original!$H:$H))</f>
        <v>Victor Lehr</v>
      </c>
      <c r="E2" s="4" t="str">
        <f t="array" ref="E2">if(xlookup('number zoo'!I:I,original!$C:$C,original!$H:$H)="NA",xlookup('number zoo'!I:I,original!$C:$C,original!$A:$A),xlookup('number zoo'!I:I,original!$C:$C,original!$H:$H))</f>
        <v>Ryan Lee</v>
      </c>
      <c r="F2" s="4" t="str">
        <f t="array" ref="F2">if(xlookup('number zoo'!J:J,original!$C:$C,original!$H:$H)="NA",xlookup('number zoo'!J:J,original!$C:$C,original!$A:$A),xlookup('number zoo'!J:J,original!$C:$C,original!$H:$H))</f>
        <v>Roger Peng</v>
      </c>
      <c r="G2" s="4" t="str">
        <f t="array" ref="G2">if(xlookup('number zoo'!K:K,original!$C:$C,original!$H:$H)="NA",xlookup('number zoo'!K:K,original!$C:$C,original!$A:$A),xlookup('number zoo'!K:K,original!$C:$C,original!$H:$H))</f>
        <v>Anika Aslesh, Sanjana Aslesh, Dhiya Balajee</v>
      </c>
      <c r="H2" s="4" t="str">
        <f t="array" ref="H2">if(xlookup('number zoo'!L:L,original!$C:$C,original!$H:$H)="NA",xlookup('number zoo'!L:L,original!$C:$C,original!$A:$A),xlookup('number zoo'!L:L,original!$C:$C,original!$H:$H))</f>
        <v>Anika Aslesh, Sanjana Aslesh, Dhiya Balajee</v>
      </c>
      <c r="I2" s="4" t="str">
        <f t="array" ref="I2">if(xlookup('number zoo'!M:M,original!$C:$C,original!$H:$H)="NA",xlookup('number zoo'!M:M,original!$C:$C,original!$A:$A),xlookup('number zoo'!M:M,original!$C:$C,original!$H:$H))</f>
        <v>Anika Aslesh, Sanjana Aslesh, Dhiya Balajee</v>
      </c>
      <c r="J2" s="4" t="str">
        <f t="array" ref="J2">if(xlookup('number zoo'!N:N,original!$C:$C,original!$H:$H)="NA",xlookup('number zoo'!N:N,original!$C:$C,original!$A:$A),xlookup('number zoo'!N:N,original!$C:$C,original!$H:$H))</f>
        <v>Anika Aslesh, Sanjana Aslesh, Dhiya Balajee</v>
      </c>
    </row>
    <row r="3">
      <c r="A3" s="4" t="str">
        <f t="array" ref="A3">xlookup('number zoo'!D:D,Sheet2!B:B,Sheet2!A:A)</f>
        <v>Apparel and Accessories Marketing (AAM)</v>
      </c>
      <c r="B3" s="4" t="str">
        <f t="array" ref="B3">if(xlookup('number zoo'!F:F,original!C:C,original!H:H)="NA",xlookup('number zoo'!F:F,original!C:C,original!A:A),xlookup('number zoo'!F:F,original!C:C,original!H:H))</f>
        <v>Shruti Sijaria</v>
      </c>
      <c r="C3" s="4" t="str">
        <f t="array" ref="C3">if(xlookup('number zoo'!G:G,original!$C:$C,original!$H:$H)="NA",xlookup('number zoo'!G:G,original!$C:$C,original!$A:$A),xlookup('number zoo'!G:G,original!$C:$C,original!$H:$H))</f>
        <v>Sai Anumakonda</v>
      </c>
      <c r="D3" s="4" t="str">
        <f t="array" ref="D3">if(xlookup('number zoo'!H:H,original!$C:$C,original!$H:$H)="NA",xlookup('number zoo'!H:H,original!$C:$C,original!$A:$A),xlookup('number zoo'!H:H,original!$C:$C,original!$H:$H))</f>
        <v>Nitya Dani</v>
      </c>
      <c r="E3" s="4" t="str">
        <f t="array" ref="E3">if(xlookup('number zoo'!I:I,original!$C:$C,original!$H:$H)="NA",xlookup('number zoo'!I:I,original!$C:$C,original!$A:$A),xlookup('number zoo'!I:I,original!$C:$C,original!$H:$H))</f>
        <v>Evelyn Stidvent</v>
      </c>
      <c r="F3" s="4" t="str">
        <f t="array" ref="F3">if(xlookup('number zoo'!J:J,original!$C:$C,original!$H:$H)="NA",xlookup('number zoo'!J:J,original!$C:$C,original!$A:$A),xlookup('number zoo'!J:J,original!$C:$C,original!$H:$H))</f>
        <v>Zoeya Chowdhury, Nilan Nathan</v>
      </c>
      <c r="G3" s="4" t="str">
        <f t="array" ref="G3">if(xlookup('number zoo'!K:K,original!$C:$C,original!$H:$H)="NA",xlookup('number zoo'!K:K,original!$C:$C,original!$A:$A),xlookup('number zoo'!K:K,original!$C:$C,original!$H:$H))</f>
        <v>Anika Aslesh, Sanjana Aslesh, Dhiya Balajee</v>
      </c>
      <c r="H3" s="4" t="str">
        <f t="array" ref="H3">xlookup('number zoo'!L:L,original!$C:$C,original!$H:$H)</f>
        <v>Anika Aslesh, Sanjana Aslesh, Dhiya Balajee</v>
      </c>
    </row>
    <row r="4">
      <c r="A4" s="4" t="str">
        <f t="array" ref="A4">xlookup('number zoo'!D:D,Sheet2!B:B,Sheet2!A:A)</f>
        <v>Automotive Services Marketing (ASM)</v>
      </c>
      <c r="B4" s="4" t="str">
        <f t="array" ref="B4">if(xlookup('number zoo'!F:F,original!C:C,original!H:H)="NA",xlookup('number zoo'!F:F,original!C:C,original!A:A),xlookup('number zoo'!F:F,original!C:C,original!H:H))</f>
        <v>Nithin Shankara</v>
      </c>
      <c r="C4" s="4" t="str">
        <f t="array" ref="C4">if(xlookup('number zoo'!G:G,original!$C:$C,original!$H:$H)="NA",xlookup('number zoo'!G:G,original!$C:$C,original!$A:$A),xlookup('number zoo'!G:G,original!$C:$C,original!$H:$H))</f>
        <v>Akshobhya Manthati</v>
      </c>
      <c r="D4" s="4" t="str">
        <f t="array" ref="D4">if(xlookup('number zoo'!H:H,original!$C:$C,original!$H:$H)="NA",xlookup('number zoo'!H:H,original!$C:$C,original!$A:$A),xlookup('number zoo'!H:H,original!$C:$C,original!$H:$H))</f>
        <v>Anika Aslesh, Sanjana Aslesh, Dhiya Balajee</v>
      </c>
      <c r="E4" s="4" t="str">
        <f t="array" ref="E4">if(xlookup('number zoo'!I:I,original!$C:$C,original!$H:$H)="NA",xlookup('number zoo'!I:I,original!$C:$C,original!$A:$A),xlookup('number zoo'!I:I,original!$C:$C,original!$H:$H))</f>
        <v>Anika Aslesh, Sanjana Aslesh, Dhiya Balajee</v>
      </c>
      <c r="F4" s="4" t="str">
        <f t="array" ref="F4">if(xlookup('number zoo'!J:J,original!$C:$C,original!$H:$H)="NA",xlookup('number zoo'!J:J,original!$C:$C,original!$A:$A),xlookup('number zoo'!J:J,original!$C:$C,original!$H:$H))</f>
        <v>Anika Aslesh, Sanjana Aslesh, Dhiya Balajee</v>
      </c>
      <c r="G4" s="4" t="str">
        <f t="array" ref="G4">if(xlookup('number zoo'!K:K,original!$C:$C,original!$H:$H)="NA",xlookup('number zoo'!K:K,original!$C:$C,original!$A:$A),xlookup('number zoo'!K:K,original!$C:$C,original!$H:$H))</f>
        <v>Anika Aslesh, Sanjana Aslesh, Dhiya Balajee</v>
      </c>
      <c r="H4" s="4" t="str">
        <f t="array" ref="H4">xlookup('number zoo'!L:L,original!$C:$C,original!$H:$H)</f>
        <v>Anika Aslesh, Sanjana Aslesh, Dhiya Balajee</v>
      </c>
    </row>
    <row r="5">
      <c r="A5" s="4" t="str">
        <f t="array" ref="A5">xlookup('number zoo'!D:D,Sheet2!B:B,Sheet2!A:A)</f>
        <v>Business Finance (BFS)</v>
      </c>
      <c r="B5" s="4" t="str">
        <f t="array" ref="B5">if(xlookup('number zoo'!F:F,original!C:C,original!H:H)="NA",xlookup('number zoo'!F:F,original!C:C,original!A:A),xlookup('number zoo'!F:F,original!C:C,original!H:H))</f>
        <v>Neha Reddy</v>
      </c>
      <c r="C5" s="4" t="str">
        <f t="array" ref="C5">if(xlookup('number zoo'!G:G,original!$C:$C,original!$H:$H)="NA",xlookup('number zoo'!G:G,original!$C:$C,original!$A:$A),xlookup('number zoo'!G:G,original!$C:$C,original!$H:$H))</f>
        <v>Savya Bhat</v>
      </c>
      <c r="D5" s="4" t="str">
        <f t="array" ref="D5">if(xlookup('number zoo'!H:H,original!$C:$C,original!$H:$H)="NA",xlookup('number zoo'!H:H,original!$C:$C,original!$A:$A),xlookup('number zoo'!H:H,original!$C:$C,original!$H:$H))</f>
        <v>Vishan Lakhia</v>
      </c>
      <c r="E5" s="4" t="str">
        <f t="array" ref="E5">if(xlookup('number zoo'!I:I,original!$C:$C,original!$H:$H)="NA",xlookup('number zoo'!I:I,original!$C:$C,original!$A:$A),xlookup('number zoo'!I:I,original!$C:$C,original!$H:$H))</f>
        <v>Nischal Kotamraju</v>
      </c>
      <c r="F5" s="4" t="str">
        <f t="array" ref="F5">if(xlookup('number zoo'!J:J,original!$C:$C,original!$H:$H)="NA",xlookup('number zoo'!J:J,original!$C:$C,original!$A:$A),xlookup('number zoo'!J:J,original!$C:$C,original!$H:$H))</f>
        <v>Jai Shenoy</v>
      </c>
      <c r="G5" s="4" t="str">
        <f t="array" ref="G5">if(xlookup('number zoo'!K:K,original!$C:$C,original!$H:$H)="NA",xlookup('number zoo'!K:K,original!$C:$C,original!$A:$A),xlookup('number zoo'!K:K,original!$C:$C,original!$H:$H))</f>
        <v>Anika Aslesh, Sanjana Aslesh, Dhiya Balajee</v>
      </c>
      <c r="H5" s="4" t="str">
        <f t="array" ref="H5">xlookup('number zoo'!L:L,original!$C:$C,original!$H:$H)</f>
        <v>Anika Aslesh, Sanjana Aslesh, Dhiya Balajee</v>
      </c>
    </row>
    <row r="6">
      <c r="A6" s="4" t="str">
        <f t="array" ref="A6">xlookup('number zoo'!D:D,Sheet2!B:B,Sheet2!A:A)</f>
        <v>Business Growth Plan (EBG)</v>
      </c>
      <c r="B6" s="4" t="str">
        <f t="array" ref="B6">if(xlookup('number zoo'!F:F,original!C:C,original!H:H)="NA",xlookup('number zoo'!F:F,original!C:C,original!A:A),xlookup('number zoo'!F:F,original!C:C,original!H:H))</f>
        <v>Matan Heber, Henit Jain, Tam Bao Tran</v>
      </c>
      <c r="C6" s="4" t="str">
        <f t="array" ref="C6">if(xlookup('number zoo'!G:G,original!$C:$C,original!$H:$H)="NA",xlookup('number zoo'!G:G,original!$C:$C,original!$A:$A),xlookup('number zoo'!G:G,original!$C:$C,original!$H:$H))</f>
        <v>Anika Aslesh, Sanjana Aslesh, Dhiya Balajee</v>
      </c>
      <c r="D6" s="4" t="str">
        <f t="array" ref="D6">if(xlookup('number zoo'!H:H,original!$C:$C,original!$H:$H)="NA",xlookup('number zoo'!H:H,original!$C:$C,original!$A:$A),xlookup('number zoo'!H:H,original!$C:$C,original!$H:$H))</f>
        <v>Anika Aslesh, Sanjana Aslesh, Dhiya Balajee</v>
      </c>
      <c r="E6" s="4" t="str">
        <f t="array" ref="E6">if(xlookup('number zoo'!I:I,original!$C:$C,original!$H:$H)="NA",xlookup('number zoo'!I:I,original!$C:$C,original!$A:$A),xlookup('number zoo'!I:I,original!$C:$C,original!$H:$H))</f>
        <v>Anika Aslesh, Sanjana Aslesh, Dhiya Balajee</v>
      </c>
      <c r="F6" s="4" t="str">
        <f t="array" ref="F6">if(xlookup('number zoo'!J:J,original!$C:$C,original!$H:$H)="NA",xlookup('number zoo'!J:J,original!$C:$C,original!$A:$A),xlookup('number zoo'!J:J,original!$C:$C,original!$H:$H))</f>
        <v>Anika Aslesh, Sanjana Aslesh, Dhiya Balajee</v>
      </c>
      <c r="G6" s="4" t="str">
        <f t="array" ref="G6">if(xlookup('number zoo'!K:K,original!$C:$C,original!$H:$H)="NA",xlookup('number zoo'!K:K,original!$C:$C,original!$A:$A),xlookup('number zoo'!K:K,original!$C:$C,original!$H:$H))</f>
        <v>Anika Aslesh, Sanjana Aslesh, Dhiya Balajee</v>
      </c>
      <c r="H6" s="4" t="str">
        <f t="array" ref="H6">xlookup('number zoo'!L:L,original!$C:$C,original!$H:$H)</f>
        <v>Anika Aslesh, Sanjana Aslesh, Dhiya Balajee</v>
      </c>
    </row>
    <row r="7">
      <c r="A7" s="4" t="str">
        <f t="array" ref="A7">xlookup('number zoo'!D:D,Sheet2!B:B,Sheet2!A:A)</f>
        <v>Business Law and Ethics (BLTDM)</v>
      </c>
      <c r="B7" s="4" t="str">
        <f t="array" ref="B7">if(xlookup('number zoo'!F:F,original!C:C,original!H:H)="NA",xlookup('number zoo'!F:F,original!C:C,original!A:A),xlookup('number zoo'!F:F,original!C:C,original!H:H))</f>
        <v>Loy Bhowmick, Neev Gupta</v>
      </c>
      <c r="C7" s="4" t="str">
        <f t="array" ref="C7">if(xlookup('number zoo'!G:G,original!$C:$C,original!$H:$H)="NA",xlookup('number zoo'!G:G,original!$C:$C,original!$A:$A),xlookup('number zoo'!G:G,original!$C:$C,original!$H:$H))</f>
        <v>Aaron Yeh, Howell Wu</v>
      </c>
      <c r="D7" s="4" t="str">
        <f t="array" ref="D7">if(xlookup('number zoo'!H:H,original!$C:$C,original!$H:$H)="NA",xlookup('number zoo'!H:H,original!$C:$C,original!$A:$A),xlookup('number zoo'!H:H,original!$C:$C,original!$H:$H))</f>
        <v>Yasmine Siba</v>
      </c>
      <c r="E7" s="4" t="str">
        <f t="array" ref="E7">if(xlookup('number zoo'!I:I,original!$C:$C,original!$H:$H)="NA",xlookup('number zoo'!I:I,original!$C:$C,original!$A:$A),xlookup('number zoo'!I:I,original!$C:$C,original!$H:$H))</f>
        <v>Aman Dave, Hanish Mamidi</v>
      </c>
      <c r="F7" s="4" t="str">
        <f t="array" ref="F7">if(xlookup('number zoo'!J:J,original!$C:$C,original!$H:$H)="NA",xlookup('number zoo'!J:J,original!$C:$C,original!$A:$A),xlookup('number zoo'!J:J,original!$C:$C,original!$H:$H))</f>
        <v>Rupal Jain, Haoxin Wang</v>
      </c>
      <c r="G7" s="4" t="str">
        <f t="array" ref="G7">if(xlookup('number zoo'!K:K,original!$C:$C,original!$H:$H)="NA",xlookup('number zoo'!K:K,original!$C:$C,original!$A:$A),xlookup('number zoo'!K:K,original!$C:$C,original!$H:$H))</f>
        <v>Raina Nasta, Vishwa Parakkuth</v>
      </c>
      <c r="H7" s="4" t="str">
        <f t="array" ref="H7">xlookup('number zoo'!L:L,original!$C:$C,original!$H:$H)</f>
        <v>Mia Shetty, Julianne Wu</v>
      </c>
    </row>
    <row r="8">
      <c r="A8" s="4" t="str">
        <f t="array" ref="A8">xlookup('number zoo'!D:D,Sheet2!B:B,Sheet2!A:A)</f>
        <v>Business Services Marketing (BSM)</v>
      </c>
      <c r="B8" s="4" t="str">
        <f t="array" ref="B8">if(xlookup('number zoo'!F:F,original!C:C,original!H:H)="NA",xlookup('number zoo'!F:F,original!C:C,original!A:A),xlookup('number zoo'!F:F,original!C:C,original!H:H))</f>
        <v>Aayush Kumar</v>
      </c>
      <c r="C8" s="4" t="str">
        <f t="array" ref="C8">if(xlookup('number zoo'!G:G,original!$C:$C,original!$H:$H)="NA",xlookup('number zoo'!G:G,original!$C:$C,original!$A:$A),xlookup('number zoo'!G:G,original!$C:$C,original!$H:$H))</f>
        <v>Ethan Grigsby</v>
      </c>
      <c r="D8" s="4" t="str">
        <f t="array" ref="D8">if(xlookup('number zoo'!H:H,original!$C:$C,original!$H:$H)="NA",xlookup('number zoo'!H:H,original!$C:$C,original!$A:$A),xlookup('number zoo'!H:H,original!$C:$C,original!$H:$H))</f>
        <v>Anika Aslesh, Sanjana Aslesh, Dhiya Balajee</v>
      </c>
      <c r="E8" s="4" t="str">
        <f t="array" ref="E8">if(xlookup('number zoo'!I:I,original!$C:$C,original!$H:$H)="NA",xlookup('number zoo'!I:I,original!$C:$C,original!$A:$A),xlookup('number zoo'!I:I,original!$C:$C,original!$H:$H))</f>
        <v>Anika Aslesh, Sanjana Aslesh, Dhiya Balajee</v>
      </c>
      <c r="F8" s="4" t="str">
        <f t="array" ref="F8">if(xlookup('number zoo'!J:J,original!$C:$C,original!$H:$H)="NA",xlookup('number zoo'!J:J,original!$C:$C,original!$A:$A),xlookup('number zoo'!J:J,original!$C:$C,original!$H:$H))</f>
        <v>Anika Aslesh, Sanjana Aslesh, Dhiya Balajee</v>
      </c>
      <c r="G8" s="4" t="str">
        <f t="array" ref="G8">if(xlookup('number zoo'!K:K,original!$C:$C,original!$H:$H)="NA",xlookup('number zoo'!K:K,original!$C:$C,original!$A:$A),xlookup('number zoo'!K:K,original!$C:$C,original!$H:$H))</f>
        <v>Anika Aslesh, Sanjana Aslesh, Dhiya Balajee</v>
      </c>
      <c r="H8" s="4" t="str">
        <f t="array" ref="H8">xlookup('number zoo'!L:L,original!$C:$C,original!$H:$H)</f>
        <v>Anika Aslesh, Sanjana Aslesh, Dhiya Balajee</v>
      </c>
    </row>
    <row r="9">
      <c r="A9" s="4" t="str">
        <f t="array" ref="A9">xlookup('number zoo'!D:D,Sheet2!B:B,Sheet2!A:A)</f>
        <v>Business Services Operations (BOR)</v>
      </c>
      <c r="B9" s="4" t="str">
        <f t="array" ref="B9">if(xlookup('number zoo'!F:F,original!C:C,original!H:H)="NA",xlookup('number zoo'!F:F,original!C:C,original!A:A),xlookup('number zoo'!F:F,original!C:C,original!H:H))</f>
        <v>Nicholas Ledesma, Aaron Yoo, Liam Beekman</v>
      </c>
      <c r="C9" s="4" t="str">
        <f t="array" ref="C9">if(xlookup('number zoo'!G:G,original!$C:$C,original!$H:$H)="NA",xlookup('number zoo'!G:G,original!$C:$C,original!$A:$A),xlookup('number zoo'!G:G,original!$C:$C,original!$H:$H))</f>
        <v>Mokshaa Rao</v>
      </c>
      <c r="D9" s="4" t="str">
        <f t="array" ref="D9">if(xlookup('number zoo'!H:H,original!$C:$C,original!$H:$H)="NA",xlookup('number zoo'!H:H,original!$C:$C,original!$A:$A),xlookup('number zoo'!H:H,original!$C:$C,original!$H:$H))</f>
        <v>Sarah Yang, Anandiganga Raj</v>
      </c>
      <c r="E9" s="4" t="str">
        <f t="array" ref="E9">if(xlookup('number zoo'!I:I,original!$C:$C,original!$H:$H)="NA",xlookup('number zoo'!I:I,original!$C:$C,original!$A:$A),xlookup('number zoo'!I:I,original!$C:$C,original!$H:$H))</f>
        <v>Isabelle Call, Preeya Panwalker, Sailee Chitari</v>
      </c>
      <c r="F9" s="4" t="str">
        <f t="array" ref="F9">if(xlookup('number zoo'!J:J,original!$C:$C,original!$H:$H)="NA",xlookup('number zoo'!J:J,original!$C:$C,original!$A:$A),xlookup('number zoo'!J:J,original!$C:$C,original!$H:$H))</f>
        <v>Preeya Panwalker, Sailee Chitari , Isabelle Call</v>
      </c>
      <c r="G9" s="4" t="str">
        <f t="array" ref="G9">if(xlookup('number zoo'!K:K,original!$C:$C,original!$H:$H)="NA",xlookup('number zoo'!K:K,original!$C:$C,original!$A:$A),xlookup('number zoo'!K:K,original!$C:$C,original!$H:$H))</f>
        <v>Anika Aslesh, Sanjana Aslesh, Dhiya Balajee</v>
      </c>
      <c r="H9" s="4" t="str">
        <f t="array" ref="H9">xlookup('number zoo'!L:L,original!$C:$C,original!$H:$H)</f>
        <v>Anika Aslesh, Sanjana Aslesh, Dhiya Balajee</v>
      </c>
    </row>
    <row r="10">
      <c r="A10" s="4" t="str">
        <f t="array" ref="A10">xlookup('number zoo'!D:D,Sheet2!B:B,Sheet2!A:A)</f>
        <v>Business Solutions Project (PMBS)</v>
      </c>
      <c r="B10" s="4" t="str">
        <f t="array" ref="B10">if(xlookup('number zoo'!F:F,original!C:C,original!H:H)="NA",xlookup('number zoo'!F:F,original!C:C,original!A:A),xlookup('number zoo'!F:F,original!C:C,original!H:H))</f>
        <v>Yonnie Yang, Sriya Chakravarthy </v>
      </c>
      <c r="C10" s="4" t="str">
        <f t="array" ref="C10">if(xlookup('number zoo'!G:G,original!$C:$C,original!$H:$H)="NA",xlookup('number zoo'!G:G,original!$C:$C,original!$A:$A),xlookup('number zoo'!G:G,original!$C:$C,original!$H:$H))</f>
        <v>Sriya Chakravarthy, Yonnie Yang</v>
      </c>
      <c r="D10" s="4" t="str">
        <f t="array" ref="D10">if(xlookup('number zoo'!H:H,original!$C:$C,original!$H:$H)="NA",xlookup('number zoo'!H:H,original!$C:$C,original!$A:$A),xlookup('number zoo'!H:H,original!$C:$C,original!$H:$H))</f>
        <v>Jadyn Kennedy</v>
      </c>
      <c r="E10" s="4" t="str">
        <f t="array" ref="E10">if(xlookup('number zoo'!I:I,original!$C:$C,original!$H:$H)="NA",xlookup('number zoo'!I:I,original!$C:$C,original!$A:$A),xlookup('number zoo'!I:I,original!$C:$C,original!$H:$H))</f>
        <v>Haolang Liu</v>
      </c>
      <c r="F10" s="4" t="str">
        <f t="array" ref="F10">if(xlookup('number zoo'!J:J,original!$C:$C,original!$H:$H)="NA",xlookup('number zoo'!J:J,original!$C:$C,original!$A:$A),xlookup('number zoo'!J:J,original!$C:$C,original!$H:$H))</f>
        <v>Elaine Liu, Doris Peng, Bella Wen</v>
      </c>
      <c r="G10" s="4" t="str">
        <f t="array" ref="G10">if(xlookup('number zoo'!K:K,original!$C:$C,original!$H:$H)="NA",xlookup('number zoo'!K:K,original!$C:$C,original!$A:$A),xlookup('number zoo'!K:K,original!$C:$C,original!$H:$H))</f>
        <v>Elly Chen, Vanessa Guan, Kylie Xu</v>
      </c>
      <c r="H10" s="4" t="str">
        <f t="array" ref="H10">xlookup('number zoo'!L:L,original!$C:$C,original!$H:$H)</f>
        <v>Vanessa guan and elly chen</v>
      </c>
    </row>
    <row r="11">
      <c r="A11" s="4" t="str">
        <f t="array" ref="A11">xlookup('number zoo'!D:D,Sheet2!B:B,Sheet2!A:A)</f>
        <v>Buying and Merchandising (BTDM)</v>
      </c>
      <c r="B11" s="4" t="str">
        <f t="array" ref="B11">if(xlookup('number zoo'!F:F,original!C:C,original!H:H)="NA",xlookup('number zoo'!F:F,original!C:C,original!A:A),xlookup('number zoo'!F:F,original!C:C,original!H:H))</f>
        <v>Visshwa Balasubramanian </v>
      </c>
      <c r="C11" s="4" t="str">
        <f t="array" ref="C11">if(xlookup('number zoo'!G:G,original!$C:$C,original!$H:$H)="NA",xlookup('number zoo'!G:G,original!$C:$C,original!$A:$A),xlookup('number zoo'!G:G,original!$C:$C,original!$H:$H))</f>
        <v>Daniel Nam, Suchir Kumar</v>
      </c>
      <c r="D11" s="4" t="str">
        <f t="array" ref="D11">if(xlookup('number zoo'!H:H,original!$C:$C,original!$H:$H)="NA",xlookup('number zoo'!H:H,original!$C:$C,original!$A:$A),xlookup('number zoo'!H:H,original!$C:$C,original!$H:$H))</f>
        <v>Visshwa Balasubramanian, Tarun Kallur</v>
      </c>
      <c r="E11" s="4" t="str">
        <f t="array" ref="E11">if(xlookup('number zoo'!I:I,original!$C:$C,original!$H:$H)="NA",xlookup('number zoo'!I:I,original!$C:$C,original!$A:$A),xlookup('number zoo'!I:I,original!$C:$C,original!$H:$H))</f>
        <v>Rayan Dange, Sambit Kanjilal</v>
      </c>
      <c r="F11" s="4" t="str">
        <f t="array" ref="F11">if(xlookup('number zoo'!J:J,original!$C:$C,original!$H:$H)="NA",xlookup('number zoo'!J:J,original!$C:$C,original!$A:$A),xlookup('number zoo'!J:J,original!$C:$C,original!$H:$H))</f>
        <v>Jiya Guleria, Nishka Gupta</v>
      </c>
      <c r="G11" s="4" t="str">
        <f t="array" ref="G11">if(xlookup('number zoo'!K:K,original!$C:$C,original!$H:$H)="NA",xlookup('number zoo'!K:K,original!$C:$C,original!$A:$A),xlookup('number zoo'!K:K,original!$C:$C,original!$H:$H))</f>
        <v>Reesha Malpani, Sahana Jelakara</v>
      </c>
      <c r="H11" s="4" t="str">
        <f t="array" ref="H11">xlookup('number zoo'!L:L,original!$C:$C,original!$H:$H)</f>
        <v>Anika Aslesh, Sanjana Aslesh, Dhiya Balajee</v>
      </c>
    </row>
    <row r="12">
      <c r="A12" s="4" t="str">
        <f t="array" ref="A12">xlookup('number zoo'!D:D,Sheet2!B:B,Sheet2!A:A)</f>
        <v>Buying and Merchandising Operations (BMOR)</v>
      </c>
      <c r="B12" s="4" t="str">
        <f t="array" ref="B12">if(xlookup('number zoo'!F:F,original!C:C,original!H:H)="NA",xlookup('number zoo'!F:F,original!C:C,original!A:A),xlookup('number zoo'!F:F,original!C:C,original!H:H))</f>
        <v>Anchal Yadav, Riti Meeniga, Yan Rong</v>
      </c>
      <c r="C12" s="4" t="str">
        <f t="array" ref="C12">if(xlookup('number zoo'!G:G,original!$C:$C,original!$H:$H)="NA",xlookup('number zoo'!G:G,original!$C:$C,original!$A:$A),xlookup('number zoo'!G:G,original!$C:$C,original!$H:$H))</f>
        <v>Hannah Mary Vinesh, Preethi Ram and Shraddha Sule</v>
      </c>
      <c r="D12" s="4" t="str">
        <f t="array" ref="D12">if(xlookup('number zoo'!H:H,original!$C:$C,original!$H:$H)="NA",xlookup('number zoo'!H:H,original!$C:$C,original!$A:$A),xlookup('number zoo'!H:H,original!$C:$C,original!$H:$H))</f>
        <v>Sandali gangwar</v>
      </c>
      <c r="E12" s="4" t="str">
        <f t="array" ref="E12">if(xlookup('number zoo'!I:I,original!$C:$C,original!$H:$H)="NA",xlookup('number zoo'!I:I,original!$C:$C,original!$A:$A),xlookup('number zoo'!I:I,original!$C:$C,original!$H:$H))</f>
        <v>Shraddha Sule, Hannah Mary Vinesh, Preethi Ram</v>
      </c>
      <c r="F12" s="4" t="str">
        <f t="array" ref="F12">if(xlookup('number zoo'!J:J,original!$C:$C,original!$H:$H)="NA",xlookup('number zoo'!J:J,original!$C:$C,original!$A:$A),xlookup('number zoo'!J:J,original!$C:$C,original!$H:$H))</f>
        <v>Cecilia Chen</v>
      </c>
      <c r="G12" s="4" t="str">
        <f t="array" ref="G12">if(xlookup('number zoo'!K:K,original!$C:$C,original!$H:$H)="NA",xlookup('number zoo'!K:K,original!$C:$C,original!$A:$A),xlookup('number zoo'!K:K,original!$C:$C,original!$H:$H))</f>
        <v>Yan Rong, Riti Meeniga, Aachal Yadav</v>
      </c>
      <c r="H12" s="4" t="str">
        <f t="array" ref="H12">xlookup('number zoo'!L:L,original!$C:$C,original!$H:$H)</f>
        <v>Myra Kandhari, Shloka Gurram, Tanya Pant </v>
      </c>
    </row>
    <row r="13">
      <c r="A13" s="4" t="str">
        <f t="array" ref="A13">xlookup('number zoo'!D:D,Sheet2!B:B,Sheet2!A:A)</f>
        <v>Career Development Project (PMCD)</v>
      </c>
      <c r="B13" s="4" t="str">
        <f t="array" ref="B13">if(xlookup('number zoo'!F:F,original!C:C,original!H:H)="NA",xlookup('number zoo'!F:F,original!C:C,original!A:A),xlookup('number zoo'!F:F,original!C:C,original!H:H))</f>
        <v>Dawoon Jung, Chloe Oakley, Isabella Shi</v>
      </c>
      <c r="C13" s="4" t="str">
        <f t="array" ref="C13">if(xlookup('number zoo'!G:G,original!$C:$C,original!$H:$H)="NA",xlookup('number zoo'!G:G,original!$C:$C,original!$A:$A),xlookup('number zoo'!G:G,original!$C:$C,original!$H:$H))</f>
        <v>Chloe Oakley, Olivia Jung, Isabella Shi</v>
      </c>
      <c r="D13" s="4" t="str">
        <f t="array" ref="D13">if(xlookup('number zoo'!H:H,original!$C:$C,original!$H:$H)="NA",xlookup('number zoo'!H:H,original!$C:$C,original!$A:$A),xlookup('number zoo'!H:H,original!$C:$C,original!$H:$H))</f>
        <v>Aryan Sehgal</v>
      </c>
      <c r="E13" s="4" t="str">
        <f t="array" ref="E13">if(xlookup('number zoo'!I:I,original!$C:$C,original!$H:$H)="NA",xlookup('number zoo'!I:I,original!$C:$C,original!$A:$A),xlookup('number zoo'!I:I,original!$C:$C,original!$H:$H))</f>
        <v>Amogh Badrayani</v>
      </c>
      <c r="F13" s="4" t="str">
        <f t="array" ref="F13">if(xlookup('number zoo'!J:J,original!$C:$C,original!$H:$H)="NA",xlookup('number zoo'!J:J,original!$C:$C,original!$A:$A),xlookup('number zoo'!J:J,original!$C:$C,original!$H:$H))</f>
        <v>Xinyi Lai, Reva Chandane, Meera Iyengar</v>
      </c>
      <c r="G13" s="4" t="str">
        <f t="array" ref="G13">if(xlookup('number zoo'!K:K,original!$C:$C,original!$H:$H)="NA",xlookup('number zoo'!K:K,original!$C:$C,original!$A:$A),xlookup('number zoo'!K:K,original!$C:$C,original!$H:$H))</f>
        <v>Arjun Bhardwaj, Aarvin Hirode, Samarth Margasahayam</v>
      </c>
      <c r="H13" s="4" t="str">
        <f t="array" ref="H13">xlookup('number zoo'!L:L,original!$C:$C,original!$H:$H)</f>
        <v>Anika Aslesh, Sanjana Aslesh, Dhiya Balajee</v>
      </c>
    </row>
    <row r="14">
      <c r="A14" s="4" t="str">
        <f t="array" ref="A14">xlookup('number zoo'!D:D,Sheet2!B:B,Sheet2!A:A)</f>
        <v>Community Awareness Project (PMCA)</v>
      </c>
      <c r="B14" s="4" t="str">
        <f t="array" ref="B14">if(xlookup('number zoo'!F:F,original!C:C,original!H:H)="NA",xlookup('number zoo'!F:F,original!C:C,original!A:A),xlookup('number zoo'!F:F,original!C:C,original!H:H))</f>
        <v>Farzana Khan</v>
      </c>
      <c r="C14" s="4" t="str">
        <f t="array" ref="C14">if(xlookup('number zoo'!G:G,original!$C:$C,original!$H:$H)="NA",xlookup('number zoo'!G:G,original!$C:$C,original!$A:$A),xlookup('number zoo'!G:G,original!$C:$C,original!$H:$H))</f>
        <v>Parisha Acharya, Emily Rincon, Sheerali Talati</v>
      </c>
      <c r="D14" s="4" t="str">
        <f t="array" ref="D14">if(xlookup('number zoo'!H:H,original!$C:$C,original!$H:$H)="NA",xlookup('number zoo'!H:H,original!$C:$C,original!$A:$A),xlookup('number zoo'!H:H,original!$C:$C,original!$H:$H))</f>
        <v>Nova Wang, Elizabeth Ma</v>
      </c>
      <c r="E14" s="4" t="str">
        <f t="array" ref="E14">if(xlookup('number zoo'!I:I,original!$C:$C,original!$H:$H)="NA",xlookup('number zoo'!I:I,original!$C:$C,original!$A:$A),xlookup('number zoo'!I:I,original!$C:$C,original!$H:$H))</f>
        <v>Anika Aslesh, Sanjana Aslesh, Dhiya Balajee</v>
      </c>
      <c r="F14" s="4" t="str">
        <f t="array" ref="F14">if(xlookup('number zoo'!J:J,original!$C:$C,original!$H:$H)="NA",xlookup('number zoo'!J:J,original!$C:$C,original!$A:$A),xlookup('number zoo'!J:J,original!$C:$C,original!$H:$H))</f>
        <v>Anika Aslesh, Sanjana Aslesh, Dhiya Balajee</v>
      </c>
      <c r="G14" s="4" t="str">
        <f t="array" ref="G14">if(xlookup('number zoo'!K:K,original!$C:$C,original!$H:$H)="NA",xlookup('number zoo'!K:K,original!$C:$C,original!$A:$A),xlookup('number zoo'!K:K,original!$C:$C,original!$H:$H))</f>
        <v>Anika Aslesh, Sanjana Aslesh, Dhiya Balajee</v>
      </c>
      <c r="H14" s="4" t="str">
        <f t="array" ref="H14">xlookup('number zoo'!L:L,original!$C:$C,original!$H:$H)</f>
        <v>Anika Aslesh, Sanjana Aslesh, Dhiya Balajee</v>
      </c>
    </row>
    <row r="15">
      <c r="A15" s="4" t="str">
        <f t="array" ref="A15">xlookup('number zoo'!D:D,Sheet2!B:B,Sheet2!A:A)</f>
        <v>Community Giving Project (PMCG)</v>
      </c>
      <c r="B15" s="4" t="str">
        <f t="array" ref="B15">if(xlookup('number zoo'!F:F,original!C:C,original!H:H)="NA",xlookup('number zoo'!F:F,original!C:C,original!A:A),xlookup('number zoo'!F:F,original!C:C,original!H:H))</f>
        <v>Harrison Malinger, Sawyer Grimaldi, Shridhar Nagaprabhu</v>
      </c>
      <c r="C15" s="4" t="str">
        <f t="array" ref="C15">if(xlookup('number zoo'!G:G,original!$C:$C,original!$H:$H)="NA",xlookup('number zoo'!G:G,original!$C:$C,original!$A:$A),xlookup('number zoo'!G:G,original!$C:$C,original!$H:$H))</f>
        <v>Harrison Mallenger, Shridar Nagaprahbu, Sawyer Grimaldi</v>
      </c>
      <c r="D15" s="4" t="str">
        <f t="array" ref="D15">if(xlookup('number zoo'!H:H,original!$C:$C,original!$H:$H)="NA",xlookup('number zoo'!H:H,original!$C:$C,original!$A:$A),xlookup('number zoo'!H:H,original!$C:$C,original!$H:$H))</f>
        <v>Shridhar Nagaprabhu, Harrison Mallinger, Sawyer Grimaldi</v>
      </c>
      <c r="E15" s="4" t="str">
        <f t="array" ref="E15">if(xlookup('number zoo'!I:I,original!$C:$C,original!$H:$H)="NA",xlookup('number zoo'!I:I,original!$C:$C,original!$A:$A),xlookup('number zoo'!I:I,original!$C:$C,original!$H:$H))</f>
        <v>Lucinda McWilliams, Ashka Rajbhandari</v>
      </c>
      <c r="F15" s="4" t="str">
        <f t="array" ref="F15">if(xlookup('number zoo'!J:J,original!$C:$C,original!$H:$H)="NA",xlookup('number zoo'!J:J,original!$C:$C,original!$A:$A),xlookup('number zoo'!J:J,original!$C:$C,original!$H:$H))</f>
        <v>Anika Aslesh, Sanjana Aslesh, Dhiya Balajee</v>
      </c>
      <c r="G15" s="4" t="str">
        <f t="array" ref="G15">if(xlookup('number zoo'!K:K,original!$C:$C,original!$H:$H)="NA",xlookup('number zoo'!K:K,original!$C:$C,original!$A:$A),xlookup('number zoo'!K:K,original!$C:$C,original!$H:$H))</f>
        <v>Anika Aslesh, Sanjana Aslesh, Dhiya Balajee</v>
      </c>
      <c r="H15" s="4" t="str">
        <f t="array" ref="H15">xlookup('number zoo'!L:L,original!$C:$C,original!$H:$H)</f>
        <v>Anika Aslesh, Sanjana Aslesh, Dhiya Balajee</v>
      </c>
    </row>
    <row r="16">
      <c r="A16" s="4" t="str">
        <f t="array" ref="A16">xlookup('number zoo'!D:D,Sheet2!B:B,Sheet2!A:A)</f>
        <v>Entrepreneurship (ENT)</v>
      </c>
      <c r="B16" s="4" t="str">
        <f t="array" ref="B16">if(xlookup('number zoo'!F:F,original!C:C,original!H:H)="NA",xlookup('number zoo'!F:F,original!C:C,original!A:A),xlookup('number zoo'!F:F,original!C:C,original!H:H))</f>
        <v>Vedant Desai</v>
      </c>
      <c r="C16" s="4" t="str">
        <f t="array" ref="C16">if(xlookup('number zoo'!G:G,original!$C:$C,original!$H:$H)="NA",xlookup('number zoo'!G:G,original!$C:$C,original!$A:$A),xlookup('number zoo'!G:G,original!$C:$C,original!$H:$H))</f>
        <v>Vishnu Mahadasu</v>
      </c>
      <c r="D16" s="4" t="str">
        <f t="array" ref="D16">if(xlookup('number zoo'!H:H,original!$C:$C,original!$H:$H)="NA",xlookup('number zoo'!H:H,original!$C:$C,original!$A:$A),xlookup('number zoo'!H:H,original!$C:$C,original!$H:$H))</f>
        <v>Guy Kahler</v>
      </c>
      <c r="E16" s="4" t="str">
        <f t="array" ref="E16">if(xlookup('number zoo'!I:I,original!$C:$C,original!$H:$H)="NA",xlookup('number zoo'!I:I,original!$C:$C,original!$A:$A),xlookup('number zoo'!I:I,original!$C:$C,original!$H:$H))</f>
        <v>Anika Aslesh, Sanjana Aslesh, Dhiya Balajee</v>
      </c>
      <c r="F16" s="4" t="str">
        <f t="array" ref="F16">if(xlookup('number zoo'!J:J,original!$C:$C,original!$H:$H)="NA",xlookup('number zoo'!J:J,original!$C:$C,original!$A:$A),xlookup('number zoo'!J:J,original!$C:$C,original!$H:$H))</f>
        <v>Anika Aslesh, Sanjana Aslesh, Dhiya Balajee</v>
      </c>
      <c r="G16" s="4" t="str">
        <f t="array" ref="G16">if(xlookup('number zoo'!K:K,original!$C:$C,original!$H:$H)="NA",xlookup('number zoo'!K:K,original!$C:$C,original!$A:$A),xlookup('number zoo'!K:K,original!$C:$C,original!$H:$H))</f>
        <v>Anika Aslesh, Sanjana Aslesh, Dhiya Balajee</v>
      </c>
      <c r="H16" s="4" t="str">
        <f t="array" ref="H16">xlookup('number zoo'!L:L,original!$C:$C,original!$H:$H)</f>
        <v>Anika Aslesh, Sanjana Aslesh, Dhiya Balajee</v>
      </c>
    </row>
    <row r="17">
      <c r="A17" s="4" t="str">
        <f t="array" ref="A17">xlookup('number zoo'!D:D,Sheet2!B:B,Sheet2!A:A)</f>
        <v>Entrepreneurship (ETDM)</v>
      </c>
      <c r="B17" s="4" t="str">
        <f t="array" ref="B17">if(xlookup('number zoo'!F:F,original!C:C,original!H:H)="NA",xlookup('number zoo'!F:F,original!C:C,original!A:A),xlookup('number zoo'!F:F,original!C:C,original!H:H))</f>
        <v>Mishree Narasaiah, Rutu Ruparel</v>
      </c>
      <c r="C17" s="4" t="str">
        <f t="array" ref="C17">if(xlookup('number zoo'!G:G,original!$C:$C,original!$H:$H)="NA",xlookup('number zoo'!G:G,original!$C:$C,original!$A:$A),xlookup('number zoo'!G:G,original!$C:$C,original!$H:$H))</f>
        <v>Tiffany Gao</v>
      </c>
      <c r="D17" s="4" t="str">
        <f t="array" ref="D17">if(xlookup('number zoo'!H:H,original!$C:$C,original!$H:$H)="NA",xlookup('number zoo'!H:H,original!$C:$C,original!$A:$A),xlookup('number zoo'!H:H,original!$C:$C,original!$H:$H))</f>
        <v>Paul Tutuc, Dhruv Ray</v>
      </c>
      <c r="E17" s="4" t="str">
        <f t="array" ref="E17">if(xlookup('number zoo'!I:I,original!$C:$C,original!$H:$H)="NA",xlookup('number zoo'!I:I,original!$C:$C,original!$A:$A),xlookup('number zoo'!I:I,original!$C:$C,original!$H:$H))</f>
        <v>Aattoja  Das </v>
      </c>
      <c r="F17" s="4" t="str">
        <f t="array" ref="F17">if(xlookup('number zoo'!J:J,original!$C:$C,original!$H:$H)="NA",xlookup('number zoo'!J:J,original!$C:$C,original!$A:$A),xlookup('number zoo'!J:J,original!$C:$C,original!$H:$H))</f>
        <v>Aneesh Dambal, Sujaykiran Arumugam</v>
      </c>
      <c r="G17" s="4" t="str">
        <f t="array" ref="G17">if(xlookup('number zoo'!K:K,original!$C:$C,original!$H:$H)="NA",xlookup('number zoo'!K:K,original!$C:$C,original!$A:$A),xlookup('number zoo'!K:K,original!$C:$C,original!$H:$H))</f>
        <v>Phylicia Ren, Tanvi Kadiri, Rifah Mirza</v>
      </c>
      <c r="H17" s="4" t="str">
        <f t="array" ref="H17">xlookup('number zoo'!L:L,original!$C:$C,original!$H:$H)</f>
        <v>Anika Aslesh, Sanjana Aslesh, Dhiya Balajee</v>
      </c>
    </row>
    <row r="18">
      <c r="A18" s="4" t="str">
        <f t="array" ref="A18">xlookup('number zoo'!D:D,Sheet2!B:B,Sheet2!A:A)</f>
        <v>Finance Operations (FOR)</v>
      </c>
      <c r="B18" s="4" t="str">
        <f t="array" ref="B18">if(xlookup('number zoo'!F:F,original!C:C,original!H:H)="NA",xlookup('number zoo'!F:F,original!C:C,original!A:A),xlookup('number zoo'!F:F,original!C:C,original!H:H))</f>
        <v>#VALUE!</v>
      </c>
      <c r="C18" s="4" t="str">
        <f t="array" ref="C18">if(xlookup('number zoo'!G:G,original!$C:$C,original!$H:$H)="NA",xlookup('number zoo'!G:G,original!$C:$C,original!$A:$A),xlookup('number zoo'!G:G,original!$C:$C,original!$H:$H))</f>
        <v>Anika Aslesh, Sanjana Aslesh, Dhiya Balajee</v>
      </c>
      <c r="D18" s="4" t="str">
        <f t="array" ref="D18">if(xlookup('number zoo'!H:H,original!$C:$C,original!$H:$H)="NA",xlookup('number zoo'!H:H,original!$C:$C,original!$A:$A),xlookup('number zoo'!H:H,original!$C:$C,original!$H:$H))</f>
        <v>Anika Aslesh, Sanjana Aslesh, Dhiya Balajee</v>
      </c>
      <c r="E18" s="4" t="str">
        <f t="array" ref="E18">if(xlookup('number zoo'!I:I,original!$C:$C,original!$H:$H)="NA",xlookup('number zoo'!I:I,original!$C:$C,original!$A:$A),xlookup('number zoo'!I:I,original!$C:$C,original!$H:$H))</f>
        <v>Anika Aslesh, Sanjana Aslesh, Dhiya Balajee</v>
      </c>
      <c r="F18" s="4" t="str">
        <f t="array" ref="F18">if(xlookup('number zoo'!J:J,original!$C:$C,original!$H:$H)="NA",xlookup('number zoo'!J:J,original!$C:$C,original!$A:$A),xlookup('number zoo'!J:J,original!$C:$C,original!$H:$H))</f>
        <v>Anika Aslesh, Sanjana Aslesh, Dhiya Balajee</v>
      </c>
      <c r="G18" s="4" t="str">
        <f t="array" ref="G18">if(xlookup('number zoo'!K:K,original!$C:$C,original!$H:$H)="NA",xlookup('number zoo'!K:K,original!$C:$C,original!$A:$A),xlookup('number zoo'!K:K,original!$C:$C,original!$H:$H))</f>
        <v>Anika Aslesh, Sanjana Aslesh, Dhiya Balajee</v>
      </c>
      <c r="H18" s="4" t="str">
        <f t="array" ref="H18">xlookup('number zoo'!L:L,original!$C:$C,original!$H:$H)</f>
        <v>Anika Aslesh, Sanjana Aslesh, Dhiya Balajee</v>
      </c>
    </row>
    <row r="19">
      <c r="A19" s="4" t="str">
        <f t="array" ref="A19">xlookup('number zoo'!D:D,Sheet2!B:B,Sheet2!A:A)</f>
        <v>Financial Consulting (FCE)</v>
      </c>
      <c r="B19" s="4" t="str">
        <f t="array" ref="B19">if(xlookup('number zoo'!F:F,original!C:C,original!H:H)="NA",xlookup('number zoo'!F:F,original!C:C,original!A:A),xlookup('number zoo'!F:F,original!C:C,original!H:H))</f>
        <v>Sahiti Oruganti</v>
      </c>
      <c r="C19" s="4" t="str">
        <f t="array" ref="C19">if(xlookup('number zoo'!G:G,original!$C:$C,original!$H:$H)="NA",xlookup('number zoo'!G:G,original!$C:$C,original!$A:$A),xlookup('number zoo'!G:G,original!$C:$C,original!$H:$H))</f>
        <v>Saisha Siram</v>
      </c>
      <c r="D19" s="4" t="str">
        <f t="array" ref="D19">if(xlookup('number zoo'!H:H,original!$C:$C,original!$H:$H)="NA",xlookup('number zoo'!H:H,original!$C:$C,original!$A:$A),xlookup('number zoo'!H:H,original!$C:$C,original!$H:$H))</f>
        <v>Charlie Hui</v>
      </c>
      <c r="E19" s="4" t="str">
        <f t="array" ref="E19">if(xlookup('number zoo'!I:I,original!$C:$C,original!$H:$H)="NA",xlookup('number zoo'!I:I,original!$C:$C,original!$A:$A),xlookup('number zoo'!I:I,original!$C:$C,original!$H:$H))</f>
        <v>Sevya Agarwal</v>
      </c>
      <c r="F19" s="4" t="str">
        <f t="array" ref="F19">if(xlookup('number zoo'!J:J,original!$C:$C,original!$H:$H)="NA",xlookup('number zoo'!J:J,original!$C:$C,original!$A:$A),xlookup('number zoo'!J:J,original!$C:$C,original!$H:$H))</f>
        <v>Melissa Liang</v>
      </c>
      <c r="G19" s="4" t="str">
        <f t="array" ref="G19">if(xlookup('number zoo'!K:K,original!$C:$C,original!$H:$H)="NA",xlookup('number zoo'!K:K,original!$C:$C,original!$A:$A),xlookup('number zoo'!K:K,original!$C:$C,original!$H:$H))</f>
        <v>Dheeshith Radjendran </v>
      </c>
      <c r="H19" s="4" t="str">
        <f t="array" ref="H19">xlookup('number zoo'!L:L,original!$C:$C,original!$H:$H)</f>
        <v>NA</v>
      </c>
    </row>
    <row r="20">
      <c r="A20" s="4" t="str">
        <f t="array" ref="A20">xlookup('number zoo'!D:D,Sheet2!B:B,Sheet2!A:A)</f>
        <v>Financial Literacy Project (PMFL)</v>
      </c>
      <c r="B20" s="4" t="str">
        <f t="array" ref="B20">if(xlookup('number zoo'!F:F,original!C:C,original!H:H)="NA",xlookup('number zoo'!F:F,original!C:C,original!A:A),xlookup('number zoo'!F:F,original!C:C,original!H:H))</f>
        <v>Krish Arora</v>
      </c>
      <c r="C20" s="4" t="str">
        <f t="array" ref="C20">if(xlookup('number zoo'!G:G,original!$C:$C,original!$H:$H)="NA",xlookup('number zoo'!G:G,original!$C:$C,original!$A:$A),xlookup('number zoo'!G:G,original!$C:$C,original!$H:$H))</f>
        <v>Sai Surapaneni,  Saanvi Devpura, Pakhi Rai</v>
      </c>
      <c r="D20" s="4" t="str">
        <f t="array" ref="D20">if(xlookup('number zoo'!H:H,original!$C:$C,original!$H:$H)="NA",xlookup('number zoo'!H:H,original!$C:$C,original!$A:$A),xlookup('number zoo'!H:H,original!$C:$C,original!$H:$H))</f>
        <v>Saanvi Devpura, Pakhi Rai, Sai Surapaneni</v>
      </c>
      <c r="E20" s="4" t="str">
        <f t="array" ref="E20">if(xlookup('number zoo'!I:I,original!$C:$C,original!$H:$H)="NA",xlookup('number zoo'!I:I,original!$C:$C,original!$A:$A),xlookup('number zoo'!I:I,original!$C:$C,original!$H:$H))</f>
        <v>Arjun Parthipan</v>
      </c>
      <c r="F20" s="4" t="str">
        <f t="array" ref="F20">if(xlookup('number zoo'!J:J,original!$C:$C,original!$H:$H)="NA",xlookup('number zoo'!J:J,original!$C:$C,original!$A:$A),xlookup('number zoo'!J:J,original!$C:$C,original!$H:$H))</f>
        <v>Liyan Ravani, Ankur Chanabasanavar, Akhil Gudapati</v>
      </c>
      <c r="G20" s="4" t="str">
        <f t="array" ref="G20">if(xlookup('number zoo'!K:K,original!$C:$C,original!$H:$H)="NA",xlookup('number zoo'!K:K,original!$C:$C,original!$A:$A),xlookup('number zoo'!K:K,original!$C:$C,original!$H:$H))</f>
        <v>Anika Aslesh, Sanjana Aslesh, Dhiya Balajee</v>
      </c>
      <c r="H20" s="4" t="str">
        <f t="array" ref="H20">xlookup('number zoo'!L:L,original!$C:$C,original!$H:$H)</f>
        <v>Anika Aslesh, Sanjana Aslesh, Dhiya Balajee</v>
      </c>
    </row>
    <row r="21">
      <c r="A21" s="4" t="str">
        <f t="array" ref="A21">xlookup('number zoo'!D:D,Sheet2!B:B,Sheet2!A:A)</f>
        <v>Financial Services (FTDM)</v>
      </c>
      <c r="B21" s="4" t="str">
        <f t="array" ref="B21">if(xlookup('number zoo'!F:F,original!C:C,original!H:H)="NA",xlookup('number zoo'!F:F,original!C:C,original!A:A),xlookup('number zoo'!F:F,original!C:C,original!H:H))</f>
        <v>Levi Kim, </v>
      </c>
      <c r="C21" s="4" t="str">
        <f t="array" ref="C21">if(xlookup('number zoo'!G:G,original!$C:$C,original!$H:$H)="NA",xlookup('number zoo'!G:G,original!$C:$C,original!$A:$A),xlookup('number zoo'!G:G,original!$C:$C,original!$H:$H))</f>
        <v>Shubhankar Deshpande, Darryl Tang</v>
      </c>
      <c r="D21" s="4" t="str">
        <f t="array" ref="D21">if(xlookup('number zoo'!H:H,original!$C:$C,original!$H:$H)="NA",xlookup('number zoo'!H:H,original!$C:$C,original!$A:$A),xlookup('number zoo'!H:H,original!$C:$C,original!$H:$H))</f>
        <v>Geet Nijhawan and Emily Zhang </v>
      </c>
      <c r="E21" s="4" t="str">
        <f t="array" ref="E21">if(xlookup('number zoo'!I:I,original!$C:$C,original!$H:$H)="NA",xlookup('number zoo'!I:I,original!$C:$C,original!$A:$A),xlookup('number zoo'!I:I,original!$C:$C,original!$H:$H))</f>
        <v>Emily Zhang and Geet Nijhawan</v>
      </c>
      <c r="F21" s="4" t="str">
        <f t="array" ref="F21">if(xlookup('number zoo'!J:J,original!$C:$C,original!$H:$H)="NA",xlookup('number zoo'!J:J,original!$C:$C,original!$A:$A),xlookup('number zoo'!J:J,original!$C:$C,original!$H:$H))</f>
        <v>Puyan Heidari </v>
      </c>
      <c r="G21" s="4" t="str">
        <f t="array" ref="G21">if(xlookup('number zoo'!K:K,original!$C:$C,original!$H:$H)="NA",xlookup('number zoo'!K:K,original!$C:$C,original!$A:$A),xlookup('number zoo'!K:K,original!$C:$C,original!$H:$H))</f>
        <v> Nehan Maredia, Aswan Kadiwal</v>
      </c>
      <c r="H21" s="4" t="str">
        <f t="array" ref="H21">xlookup('number zoo'!L:L,original!$C:$C,original!$H:$H)</f>
        <v>William Du, Aarav Karumanchi</v>
      </c>
    </row>
    <row r="22">
      <c r="A22" s="4" t="str">
        <f t="array" ref="A22">xlookup('number zoo'!D:D,Sheet2!B:B,Sheet2!A:A)</f>
        <v>Food Marketing (FMS)</v>
      </c>
      <c r="B22" s="4" t="str">
        <f t="array" ref="B22">if(xlookup('number zoo'!F:F,original!C:C,original!H:H)="NA",xlookup('number zoo'!F:F,original!C:C,original!A:A),xlookup('number zoo'!F:F,original!C:C,original!H:H))</f>
        <v>Sibi Raja</v>
      </c>
      <c r="C22" s="4" t="str">
        <f t="array" ref="C22">if(xlookup('number zoo'!G:G,original!$C:$C,original!$H:$H)="NA",xlookup('number zoo'!G:G,original!$C:$C,original!$A:$A),xlookup('number zoo'!G:G,original!$C:$C,original!$H:$H))</f>
        <v>Mahathi Harith</v>
      </c>
      <c r="D22" s="4" t="str">
        <f t="array" ref="D22">if(xlookup('number zoo'!H:H,original!$C:$C,original!$H:$H)="NA",xlookup('number zoo'!H:H,original!$C:$C,original!$A:$A),xlookup('number zoo'!H:H,original!$C:$C,original!$H:$H))</f>
        <v>Varun Harith</v>
      </c>
      <c r="E22" s="4" t="str">
        <f t="array" ref="E22">if(xlookup('number zoo'!I:I,original!$C:$C,original!$H:$H)="NA",xlookup('number zoo'!I:I,original!$C:$C,original!$A:$A),xlookup('number zoo'!I:I,original!$C:$C,original!$H:$H))</f>
        <v>Anika Aslesh, Sanjana Aslesh, Dhiya Balajee</v>
      </c>
      <c r="F22" s="4" t="str">
        <f t="array" ref="F22">if(xlookup('number zoo'!J:J,original!$C:$C,original!$H:$H)="NA",xlookup('number zoo'!J:J,original!$C:$C,original!$A:$A),xlookup('number zoo'!J:J,original!$C:$C,original!$H:$H))</f>
        <v>Anika Aslesh, Sanjana Aslesh, Dhiya Balajee</v>
      </c>
      <c r="G22" s="4" t="str">
        <f t="array" ref="G22">if(xlookup('number zoo'!K:K,original!$C:$C,original!$H:$H)="NA",xlookup('number zoo'!K:K,original!$C:$C,original!$A:$A),xlookup('number zoo'!K:K,original!$C:$C,original!$H:$H))</f>
        <v>Anika Aslesh, Sanjana Aslesh, Dhiya Balajee</v>
      </c>
      <c r="H22" s="4" t="str">
        <f t="array" ref="H22">xlookup('number zoo'!L:L,original!$C:$C,original!$H:$H)</f>
        <v>Anika Aslesh, Sanjana Aslesh, Dhiya Balajee</v>
      </c>
    </row>
    <row r="23">
      <c r="A23" s="4" t="str">
        <f t="array" ref="A23">xlookup('number zoo'!D:D,Sheet2!B:B,Sheet2!A:A)</f>
        <v>Franchise Business Plan (EFB)</v>
      </c>
      <c r="B23" s="4" t="str">
        <f t="array" ref="B23">if(xlookup('number zoo'!F:F,original!C:C,original!H:H)="NA",xlookup('number zoo'!F:F,original!C:C,original!A:A),xlookup('number zoo'!F:F,original!C:C,original!H:H))</f>
        <v>Romita Sur, Rounav Sur, Allison Zhuang</v>
      </c>
      <c r="C23" s="4" t="str">
        <f t="array" ref="C23">if(xlookup('number zoo'!G:G,original!$C:$C,original!$H:$H)="NA",xlookup('number zoo'!G:G,original!$C:$C,original!$A:$A),xlookup('number zoo'!G:G,original!$C:$C,original!$H:$H))</f>
        <v>Anika Aslesh, Sanjana Aslesh, Dhiya Balajee</v>
      </c>
      <c r="D23" s="4" t="str">
        <f t="array" ref="D23">if(xlookup('number zoo'!H:H,original!$C:$C,original!$H:$H)="NA",xlookup('number zoo'!H:H,original!$C:$C,original!$A:$A),xlookup('number zoo'!H:H,original!$C:$C,original!$H:$H))</f>
        <v>Anika Aslesh, Sanjana Aslesh, Dhiya Balajee</v>
      </c>
      <c r="E23" s="4" t="str">
        <f t="array" ref="E23">if(xlookup('number zoo'!I:I,original!$C:$C,original!$H:$H)="NA",xlookup('number zoo'!I:I,original!$C:$C,original!$A:$A),xlookup('number zoo'!I:I,original!$C:$C,original!$H:$H))</f>
        <v>Anika Aslesh, Sanjana Aslesh, Dhiya Balajee</v>
      </c>
      <c r="F23" s="4" t="str">
        <f t="array" ref="F23">if(xlookup('number zoo'!J:J,original!$C:$C,original!$H:$H)="NA",xlookup('number zoo'!J:J,original!$C:$C,original!$A:$A),xlookup('number zoo'!J:J,original!$C:$C,original!$H:$H))</f>
        <v>Anika Aslesh, Sanjana Aslesh, Dhiya Balajee</v>
      </c>
      <c r="G23" s="4" t="str">
        <f t="array" ref="G23">if(xlookup('number zoo'!K:K,original!$C:$C,original!$H:$H)="NA",xlookup('number zoo'!K:K,original!$C:$C,original!$A:$A),xlookup('number zoo'!K:K,original!$C:$C,original!$H:$H))</f>
        <v>Anika Aslesh, Sanjana Aslesh, Dhiya Balajee</v>
      </c>
      <c r="H23" s="4" t="str">
        <f t="array" ref="H23">xlookup('number zoo'!L:L,original!$C:$C,original!$H:$H)</f>
        <v>Anika Aslesh, Sanjana Aslesh, Dhiya Balajee</v>
      </c>
    </row>
    <row r="24">
      <c r="A24" s="4" t="str">
        <f t="array" ref="A24">xlookup('number zoo'!D:D,Sheet2!B:B,Sheet2!A:A)</f>
        <v>Hospitality and Tourism Operations (HTOR)</v>
      </c>
      <c r="B24" s="4" t="str">
        <f t="array" ref="B24">if(xlookup('number zoo'!F:F,original!C:C,original!H:H)="NA",xlookup('number zoo'!F:F,original!C:C,original!A:A),xlookup('number zoo'!F:F,original!C:C,original!H:H))</f>
        <v>Shrishti Mahajan, Yujie Zhang, Shivani Kondubhatla</v>
      </c>
      <c r="C24" s="4" t="str">
        <f t="array" ref="C24">if(xlookup('number zoo'!G:G,original!$C:$C,original!$H:$H)="NA",xlookup('number zoo'!G:G,original!$C:$C,original!$A:$A),xlookup('number zoo'!G:G,original!$C:$C,original!$H:$H))</f>
        <v>Krishani Khanna, Kara Wang</v>
      </c>
      <c r="D24" s="4" t="str">
        <f t="array" ref="D24">if(xlookup('number zoo'!H:H,original!$C:$C,original!$H:$H)="NA",xlookup('number zoo'!H:H,original!$C:$C,original!$A:$A),xlookup('number zoo'!H:H,original!$C:$C,original!$H:$H))</f>
        <v>Lian Wong, O’Viya Dinesh</v>
      </c>
      <c r="E24" s="4" t="str">
        <f t="array" ref="E24">if(xlookup('number zoo'!I:I,original!$C:$C,original!$H:$H)="NA",xlookup('number zoo'!I:I,original!$C:$C,original!$A:$A),xlookup('number zoo'!I:I,original!$C:$C,original!$H:$H))</f>
        <v>O'Viya Dinesh, Lian Wong</v>
      </c>
      <c r="F24" s="4" t="str">
        <f t="array" ref="F24">if(xlookup('number zoo'!J:J,original!$C:$C,original!$H:$H)="NA",xlookup('number zoo'!J:J,original!$C:$C,original!$A:$A),xlookup('number zoo'!J:J,original!$C:$C,original!$H:$H))</f>
        <v>Varun Aditya Nanduri</v>
      </c>
      <c r="G24" s="4" t="str">
        <f t="array" ref="G24">if(xlookup('number zoo'!K:K,original!$C:$C,original!$H:$H)="NA",xlookup('number zoo'!K:K,original!$C:$C,original!$A:$A),xlookup('number zoo'!K:K,original!$C:$C,original!$H:$H))</f>
        <v>Ruhan Gupta, Shreyan Khanna</v>
      </c>
      <c r="H24" s="4" t="str">
        <f t="array" ref="H24">xlookup('number zoo'!L:L,original!$C:$C,original!$H:$H)</f>
        <v>Aysenur Musta, Sarah Fattu, Ahanti Hossain</v>
      </c>
    </row>
    <row r="25">
      <c r="A25" s="4" t="str">
        <f t="array" ref="A25">xlookup('number zoo'!D:D,Sheet2!B:B,Sheet2!A:A)</f>
        <v>Hospitality and Tourism Professional Selling (HTPS)</v>
      </c>
      <c r="B25" s="4" t="str">
        <f t="array" ref="B25">if(xlookup('number zoo'!F:F,original!C:C,original!H:H)="NA",xlookup('number zoo'!F:F,original!C:C,original!A:A),xlookup('number zoo'!F:F,original!C:C,original!H:H))</f>
        <v>Soojin Ahn</v>
      </c>
      <c r="C25" s="4" t="str">
        <f t="array" ref="C25">if(xlookup('number zoo'!G:G,original!$C:$C,original!$H:$H)="NA",xlookup('number zoo'!G:G,original!$C:$C,original!$A:$A),xlookup('number zoo'!G:G,original!$C:$C,original!$H:$H))</f>
        <v>Benjamin Schwarzenbach</v>
      </c>
      <c r="D25" s="4" t="str">
        <f t="array" ref="D25">if(xlookup('number zoo'!H:H,original!$C:$C,original!$H:$H)="NA",xlookup('number zoo'!H:H,original!$C:$C,original!$A:$A),xlookup('number zoo'!H:H,original!$C:$C,original!$H:$H))</f>
        <v>Bryan Li, Ishaan Sagar, Aditya Bhadra</v>
      </c>
      <c r="E25" s="4" t="str">
        <f t="array" ref="E25">if(xlookup('number zoo'!I:I,original!$C:$C,original!$H:$H)="NA",xlookup('number zoo'!I:I,original!$C:$C,original!$A:$A),xlookup('number zoo'!I:I,original!$C:$C,original!$H:$H))</f>
        <v>Ender Cotty, Lucia Calonge </v>
      </c>
      <c r="F25" s="4" t="str">
        <f t="array" ref="F25">if(xlookup('number zoo'!J:J,original!$C:$C,original!$H:$H)="NA",xlookup('number zoo'!J:J,original!$C:$C,original!$A:$A),xlookup('number zoo'!J:J,original!$C:$C,original!$H:$H))</f>
        <v>Anika Aslesh, Sanjana Aslesh, Dhiya Balajee</v>
      </c>
      <c r="G25" s="4" t="str">
        <f t="array" ref="G25">if(xlookup('number zoo'!K:K,original!$C:$C,original!$H:$H)="NA",xlookup('number zoo'!K:K,original!$C:$C,original!$A:$A),xlookup('number zoo'!K:K,original!$C:$C,original!$H:$H))</f>
        <v>Anika Aslesh, Sanjana Aslesh, Dhiya Balajee</v>
      </c>
      <c r="H25" s="4" t="str">
        <f t="array" ref="H25">xlookup('number zoo'!L:L,original!$C:$C,original!$H:$H)</f>
        <v>Anika Aslesh, Sanjana Aslesh, Dhiya Balajee</v>
      </c>
    </row>
    <row r="26">
      <c r="A26" s="4" t="str">
        <f t="array" ref="A26">xlookup('number zoo'!D:D,Sheet2!B:B,Sheet2!A:A)</f>
        <v>Hospitality Services (HTDM)</v>
      </c>
      <c r="B26" s="4" t="str">
        <f t="array" ref="B26">if(xlookup('number zoo'!F:F,original!C:C,original!H:H)="NA",xlookup('number zoo'!F:F,original!C:C,original!A:A),xlookup('number zoo'!F:F,original!C:C,original!H:H))</f>
        <v>Pio Stephan Antony, Rafael Longoria</v>
      </c>
      <c r="C26" s="4" t="str">
        <f t="array" ref="C26">if(xlookup('number zoo'!G:G,original!$C:$C,original!$H:$H)="NA",xlookup('number zoo'!G:G,original!$C:$C,original!$A:$A),xlookup('number zoo'!G:G,original!$C:$C,original!$H:$H))</f>
        <v>Pio Stephan Antony</v>
      </c>
      <c r="D26" s="4" t="str">
        <f t="array" ref="D26">if(xlookup('number zoo'!H:H,original!$C:$C,original!$H:$H)="NA",xlookup('number zoo'!H:H,original!$C:$C,original!$A:$A),xlookup('number zoo'!H:H,original!$C:$C,original!$H:$H))</f>
        <v>Lakshmi Ananya Parim and Sia Kaushik </v>
      </c>
      <c r="E26" s="4" t="str">
        <f t="array" ref="E26">if(xlookup('number zoo'!I:I,original!$C:$C,original!$H:$H)="NA",xlookup('number zoo'!I:I,original!$C:$C,original!$A:$A),xlookup('number zoo'!I:I,original!$C:$C,original!$H:$H))</f>
        <v>Sia Kaushik, Lakshmi Ananya Parim</v>
      </c>
      <c r="F26" s="4" t="str">
        <f t="array" ref="F26">if(xlookup('number zoo'!J:J,original!$C:$C,original!$H:$H)="NA",xlookup('number zoo'!J:J,original!$C:$C,original!$A:$A),xlookup('number zoo'!J:J,original!$C:$C,original!$H:$H))</f>
        <v>Magdelyne hang, Molly johnson </v>
      </c>
      <c r="G26" s="4" t="str">
        <f t="array" ref="G26">if(xlookup('number zoo'!K:K,original!$C:$C,original!$H:$H)="NA",xlookup('number zoo'!K:K,original!$C:$C,original!$A:$A),xlookup('number zoo'!K:K,original!$C:$C,original!$H:$H))</f>
        <v>Alexandra Oancea, Rachana Akkineni, Maya Rajan</v>
      </c>
      <c r="H26" s="4" t="str">
        <f t="array" ref="H26">xlookup('number zoo'!L:L,original!$C:$C,original!$H:$H)</f>
        <v>Anika Aslesh, Sanjana Aslesh, Dhiya Balajee</v>
      </c>
    </row>
    <row r="27">
      <c r="A27" s="4" t="str">
        <f t="array" ref="A27">xlookup('number zoo'!D:D,Sheet2!B:B,Sheet2!A:A)</f>
        <v>Hotel and Lodging Management (HLM)</v>
      </c>
      <c r="B27" s="4" t="str">
        <f t="array" ref="B27">if(xlookup('number zoo'!F:F,original!C:C,original!H:H)="NA",xlookup('number zoo'!F:F,original!C:C,original!A:A),xlookup('number zoo'!F:F,original!C:C,original!H:H))</f>
        <v>Josephine Sun</v>
      </c>
      <c r="C27" s="4" t="str">
        <f t="array" ref="C27">if(xlookup('number zoo'!G:G,original!$C:$C,original!$H:$H)="NA",xlookup('number zoo'!G:G,original!$C:$C,original!$A:$A),xlookup('number zoo'!G:G,original!$C:$C,original!$H:$H))</f>
        <v>Medha Katragadda</v>
      </c>
      <c r="D27" s="4" t="str">
        <f t="array" ref="D27">if(xlookup('number zoo'!H:H,original!$C:$C,original!$H:$H)="NA",xlookup('number zoo'!H:H,original!$C:$C,original!$A:$A),xlookup('number zoo'!H:H,original!$C:$C,original!$H:$H))</f>
        <v>Arnav Chinnappareddy</v>
      </c>
      <c r="E27" s="4" t="str">
        <f t="array" ref="E27">if(xlookup('number zoo'!I:I,original!$C:$C,original!$H:$H)="NA",xlookup('number zoo'!I:I,original!$C:$C,original!$A:$A),xlookup('number zoo'!I:I,original!$C:$C,original!$H:$H))</f>
        <v>Ishaan Sampat</v>
      </c>
      <c r="F27" s="4" t="str">
        <f t="array" ref="F27">if(xlookup('number zoo'!J:J,original!$C:$C,original!$H:$H)="NA",xlookup('number zoo'!J:J,original!$C:$C,original!$A:$A),xlookup('number zoo'!J:J,original!$C:$C,original!$H:$H))</f>
        <v>Bharath Kemburaj</v>
      </c>
      <c r="G27" s="4" t="str">
        <f t="array" ref="G27">if(xlookup('number zoo'!K:K,original!$C:$C,original!$H:$H)="NA",xlookup('number zoo'!K:K,original!$C:$C,original!$A:$A),xlookup('number zoo'!K:K,original!$C:$C,original!$H:$H))</f>
        <v>Nehan Maredia</v>
      </c>
      <c r="H27" s="4" t="str">
        <f t="array" ref="H27">xlookup('number zoo'!L:L,original!$C:$C,original!$H:$H)</f>
        <v>NA</v>
      </c>
    </row>
    <row r="28">
      <c r="A28" s="4" t="str">
        <f t="array" ref="A28">xlookup('number zoo'!D:D,Sheet2!B:B,Sheet2!A:A)</f>
        <v>Human Resources Management (HRM)</v>
      </c>
      <c r="B28" s="4" t="str">
        <f t="array" ref="B28">if(xlookup('number zoo'!F:F,original!C:C,original!H:H)="NA",xlookup('number zoo'!F:F,original!C:C,original!A:A),xlookup('number zoo'!F:F,original!C:C,original!H:H))</f>
        <v>Jeremy Yang</v>
      </c>
      <c r="C28" s="4" t="str">
        <f t="array" ref="C28">if(xlookup('number zoo'!G:G,original!$C:$C,original!$H:$H)="NA",xlookup('number zoo'!G:G,original!$C:$C,original!$A:$A),xlookup('number zoo'!G:G,original!$C:$C,original!$H:$H))</f>
        <v>Viraj Gadiya </v>
      </c>
      <c r="D28" s="4" t="str">
        <f t="array" ref="D28">if(xlookup('number zoo'!H:H,original!$C:$C,original!$H:$H)="NA",xlookup('number zoo'!H:H,original!$C:$C,original!$A:$A),xlookup('number zoo'!H:H,original!$C:$C,original!$H:$H))</f>
        <v>Anamitra Ghosh</v>
      </c>
      <c r="E28" s="4" t="str">
        <f t="array" ref="E28">if(xlookup('number zoo'!I:I,original!$C:$C,original!$H:$H)="NA",xlookup('number zoo'!I:I,original!$C:$C,original!$A:$A),xlookup('number zoo'!I:I,original!$C:$C,original!$H:$H))</f>
        <v>Vaishnavi Dhurjati</v>
      </c>
      <c r="F28" s="4" t="str">
        <f t="array" ref="F28">if(xlookup('number zoo'!J:J,original!$C:$C,original!$H:$H)="NA",xlookup('number zoo'!J:J,original!$C:$C,original!$A:$A),xlookup('number zoo'!J:J,original!$C:$C,original!$H:$H))</f>
        <v>Avani Gautam</v>
      </c>
      <c r="G28" s="4" t="str">
        <f t="array" ref="G28">if(xlookup('number zoo'!K:K,original!$C:$C,original!$H:$H)="NA",xlookup('number zoo'!K:K,original!$C:$C,original!$A:$A),xlookup('number zoo'!K:K,original!$C:$C,original!$H:$H))</f>
        <v>Anika Aslesh, Sanjana Aslesh, Dhiya Balajee</v>
      </c>
      <c r="H28" s="4" t="str">
        <f t="array" ref="H28">xlookup('number zoo'!L:L,original!$C:$C,original!$H:$H)</f>
        <v>Anika Aslesh, Sanjana Aslesh, Dhiya Balajee</v>
      </c>
    </row>
    <row r="29">
      <c r="A29" s="4" t="str">
        <f t="array" ref="A29">xlookup('number zoo'!D:D,Sheet2!B:B,Sheet2!A:A)</f>
        <v>Independent Business Plan (EIB)</v>
      </c>
      <c r="B29" s="4" t="str">
        <f t="array" ref="B29">if(xlookup('number zoo'!F:F,original!C:C,original!H:H)="NA",xlookup('number zoo'!F:F,original!C:C,original!A:A),xlookup('number zoo'!F:F,original!C:C,original!H:H))</f>
        <v>Aadit Sharma, Ronit Singh</v>
      </c>
      <c r="C29" s="4" t="str">
        <f t="array" ref="C29">if(xlookup('number zoo'!G:G,original!$C:$C,original!$H:$H)="NA",xlookup('number zoo'!G:G,original!$C:$C,original!$A:$A),xlookup('number zoo'!G:G,original!$C:$C,original!$H:$H))</f>
        <v>Michelle Li, Eileen Wu</v>
      </c>
      <c r="D29" s="4" t="str">
        <f t="array" ref="D29">if(xlookup('number zoo'!H:H,original!$C:$C,original!$H:$H)="NA",xlookup('number zoo'!H:H,original!$C:$C,original!$A:$A),xlookup('number zoo'!H:H,original!$C:$C,original!$H:$H))</f>
        <v>Tanvi Chakka</v>
      </c>
      <c r="E29" s="4" t="str">
        <f t="array" ref="E29">if(xlookup('number zoo'!I:I,original!$C:$C,original!$H:$H)="NA",xlookup('number zoo'!I:I,original!$C:$C,original!$A:$A),xlookup('number zoo'!I:I,original!$C:$C,original!$H:$H))</f>
        <v>Gavin Wang</v>
      </c>
      <c r="F29" s="4" t="str">
        <f t="array" ref="F29">if(xlookup('number zoo'!J:J,original!$C:$C,original!$H:$H)="NA",xlookup('number zoo'!J:J,original!$C:$C,original!$A:$A),xlookup('number zoo'!J:J,original!$C:$C,original!$H:$H))</f>
        <v>Anika Aslesh, Sanjana Aslesh, Dhiya Balajee</v>
      </c>
      <c r="G29" s="4" t="str">
        <f t="array" ref="G29">if(xlookup('number zoo'!K:K,original!$C:$C,original!$H:$H)="NA",xlookup('number zoo'!K:K,original!$C:$C,original!$A:$A),xlookup('number zoo'!K:K,original!$C:$C,original!$H:$H))</f>
        <v>Anika Aslesh, Sanjana Aslesh, Dhiya Balajee</v>
      </c>
      <c r="H29" s="4" t="str">
        <f t="array" ref="H29">xlookup('number zoo'!L:L,original!$C:$C,original!$H:$H)</f>
        <v>Anika Aslesh, Sanjana Aslesh, Dhiya Balajee</v>
      </c>
    </row>
    <row r="30">
      <c r="A30" s="4" t="str">
        <f t="array" ref="A30">xlookup('number zoo'!D:D,Sheet2!B:B,Sheet2!A:A)</f>
        <v>Innovation Plan (EIP)</v>
      </c>
      <c r="B30" s="4" t="str">
        <f t="array" ref="B30">if(xlookup('number zoo'!F:F,original!C:C,original!H:H)="NA",xlookup('number zoo'!F:F,original!C:C,original!A:A),xlookup('number zoo'!F:F,original!C:C,original!H:H))</f>
        <v>Rayyan Maredia, Aalim Prasla, Mit Vadsaria</v>
      </c>
      <c r="C30" s="4" t="str">
        <f t="array" ref="C30">if(xlookup('number zoo'!G:G,original!$C:$C,original!$H:$H)="NA",xlookup('number zoo'!G:G,original!$C:$C,original!$A:$A),xlookup('number zoo'!G:G,original!$C:$C,original!$H:$H))</f>
        <v>Arhaan Jafri, Srinesh Pentam</v>
      </c>
      <c r="D30" s="4" t="str">
        <f t="array" ref="D30">if(xlookup('number zoo'!H:H,original!$C:$C,original!$H:$H)="NA",xlookup('number zoo'!H:H,original!$C:$C,original!$A:$A),xlookup('number zoo'!H:H,original!$C:$C,original!$H:$H))</f>
        <v>Anish Bhat, Lakshay Batra</v>
      </c>
      <c r="E30" s="4" t="str">
        <f t="array" ref="E30">if(xlookup('number zoo'!I:I,original!$C:$C,original!$H:$H)="NA",xlookup('number zoo'!I:I,original!$C:$C,original!$A:$A),xlookup('number zoo'!I:I,original!$C:$C,original!$H:$H))</f>
        <v>Vedanth Kashyap, Naithruv Kashyap, Adam Menezes</v>
      </c>
      <c r="F30" s="4" t="str">
        <f t="array" ref="F30">if(xlookup('number zoo'!J:J,original!$C:$C,original!$H:$H)="NA",xlookup('number zoo'!J:J,original!$C:$C,original!$A:$A),xlookup('number zoo'!J:J,original!$C:$C,original!$H:$H))</f>
        <v>Asna Kadiwal and Sofia Finkbeiner</v>
      </c>
      <c r="G30" s="4" t="str">
        <f t="array" ref="G30">if(xlookup('number zoo'!K:K,original!$C:$C,original!$H:$H)="NA",xlookup('number zoo'!K:K,original!$C:$C,original!$A:$A),xlookup('number zoo'!K:K,original!$C:$C,original!$H:$H))</f>
        <v>Sofia Finkbeiner, Asna Kadiwal</v>
      </c>
      <c r="H30" s="4" t="str">
        <f t="array" ref="H30">xlookup('number zoo'!L:L,original!$C:$C,original!$H:$H)</f>
        <v>Anika Aslesh, Sanjana Aslesh, Dhiya Balajee</v>
      </c>
    </row>
    <row r="31">
      <c r="A31" s="4" t="str">
        <f t="array" ref="A31">xlookup('number zoo'!D:D,Sheet2!B:B,Sheet2!A:A)</f>
        <v>Integrated Marketing Campaign - Event (IMCE)</v>
      </c>
      <c r="B31" s="4" t="str">
        <f t="array" ref="B31">if(xlookup('number zoo'!F:F,original!C:C,original!H:H)="NA",xlookup('number zoo'!F:F,original!C:C,original!A:A),xlookup('number zoo'!F:F,original!C:C,original!H:H))</f>
        <v>Swasti Sogani</v>
      </c>
      <c r="C31" s="4" t="str">
        <f t="array" ref="C31">if(xlookup('number zoo'!G:G,original!$C:$C,original!$H:$H)="NA",xlookup('number zoo'!G:G,original!$C:$C,original!$A:$A),xlookup('number zoo'!G:G,original!$C:$C,original!$H:$H))</f>
        <v>Anika Aslesh, Sanjana Aslesh, Dhiya Balajee</v>
      </c>
      <c r="D31" s="4" t="str">
        <f t="array" ref="D31">if(xlookup('number zoo'!H:H,original!$C:$C,original!$H:$H)="NA",xlookup('number zoo'!H:H,original!$C:$C,original!$A:$A),xlookup('number zoo'!H:H,original!$C:$C,original!$H:$H))</f>
        <v>Anika Aslesh, Sanjana Aslesh, Dhiya Balajee</v>
      </c>
      <c r="E31" s="4" t="str">
        <f t="array" ref="E31">if(xlookup('number zoo'!I:I,original!$C:$C,original!$H:$H)="NA",xlookup('number zoo'!I:I,original!$C:$C,original!$A:$A),xlookup('number zoo'!I:I,original!$C:$C,original!$H:$H))</f>
        <v>Anika Aslesh, Sanjana Aslesh, Dhiya Balajee</v>
      </c>
      <c r="F31" s="4" t="str">
        <f t="array" ref="F31">if(xlookup('number zoo'!J:J,original!$C:$C,original!$H:$H)="NA",xlookup('number zoo'!J:J,original!$C:$C,original!$A:$A),xlookup('number zoo'!J:J,original!$C:$C,original!$H:$H))</f>
        <v>Anika Aslesh, Sanjana Aslesh, Dhiya Balajee</v>
      </c>
      <c r="G31" s="4" t="str">
        <f t="array" ref="G31">if(xlookup('number zoo'!K:K,original!$C:$C,original!$H:$H)="NA",xlookup('number zoo'!K:K,original!$C:$C,original!$A:$A),xlookup('number zoo'!K:K,original!$C:$C,original!$H:$H))</f>
        <v>Anika Aslesh, Sanjana Aslesh, Dhiya Balajee</v>
      </c>
      <c r="H31" s="4" t="str">
        <f t="array" ref="H31">xlookup('number zoo'!L:L,original!$C:$C,original!$H:$H)</f>
        <v>Anika Aslesh, Sanjana Aslesh, Dhiya Balajee</v>
      </c>
    </row>
    <row r="32">
      <c r="A32" s="4" t="str">
        <f t="array" ref="A32">xlookup('number zoo'!D:D,Sheet2!B:B,Sheet2!A:A)</f>
        <v>Integrated Marketing Campaign - Product (IMCP)</v>
      </c>
      <c r="B32" s="4" t="str">
        <f t="array" ref="B32">if(xlookup('number zoo'!F:F,original!C:C,original!H:H)="NA",xlookup('number zoo'!F:F,original!C:C,original!A:A),xlookup('number zoo'!F:F,original!C:C,original!H:H))</f>
        <v>Shivali Sahu</v>
      </c>
      <c r="C32" s="4" t="str">
        <f t="array" ref="C32">if(xlookup('number zoo'!G:G,original!$C:$C,original!$H:$H)="NA",xlookup('number zoo'!G:G,original!$C:$C,original!$A:$A),xlookup('number zoo'!G:G,original!$C:$C,original!$H:$H))</f>
        <v>Jo-Hsuan Wei</v>
      </c>
      <c r="D32" s="4" t="str">
        <f t="array" ref="D32">if(xlookup('number zoo'!H:H,original!$C:$C,original!$H:$H)="NA",xlookup('number zoo'!H:H,original!$C:$C,original!$A:$A),xlookup('number zoo'!H:H,original!$C:$C,original!$H:$H))</f>
        <v>Naina Asuthker, Anya Gupta</v>
      </c>
      <c r="E32" s="4" t="str">
        <f t="array" ref="E32">if(xlookup('number zoo'!I:I,original!$C:$C,original!$H:$H)="NA",xlookup('number zoo'!I:I,original!$C:$C,original!$A:$A),xlookup('number zoo'!I:I,original!$C:$C,original!$H:$H))</f>
        <v>Navaneeth Reddy Yarram, Sudeep Tatineni</v>
      </c>
      <c r="F32" s="4" t="str">
        <f t="array" ref="F32">if(xlookup('number zoo'!J:J,original!$C:$C,original!$H:$H)="NA",xlookup('number zoo'!J:J,original!$C:$C,original!$A:$A),xlookup('number zoo'!J:J,original!$C:$C,original!$H:$H))</f>
        <v>Navaneeth Yarram, Sudeep Tatineni</v>
      </c>
      <c r="G32" s="4" t="str">
        <f t="array" ref="G32">if(xlookup('number zoo'!K:K,original!$C:$C,original!$H:$H)="NA",xlookup('number zoo'!K:K,original!$C:$C,original!$A:$A),xlookup('number zoo'!K:K,original!$C:$C,original!$H:$H))</f>
        <v>Prithika Chandrasekar</v>
      </c>
      <c r="H32" s="4" t="str">
        <f t="array" ref="H32">xlookup('number zoo'!L:L,original!$C:$C,original!$H:$H)</f>
        <v>Aishani Saha, Member A, Betsy Soberanes, Member B, Rashi Sharma, Member C</v>
      </c>
    </row>
    <row r="33">
      <c r="A33" s="4" t="str">
        <f t="array" ref="A33">xlookup('number zoo'!D:D,Sheet2!B:B,Sheet2!A:A)</f>
        <v>Integrated Marketing Campaign - Service (IMCS)</v>
      </c>
      <c r="B33" s="4" t="str">
        <f t="array" ref="B33">if(xlookup('number zoo'!F:F,original!C:C,original!H:H)="NA",xlookup('number zoo'!F:F,original!C:C,original!A:A),xlookup('number zoo'!F:F,original!C:C,original!H:H))</f>
        <v>Yuyan Chen, Yoonjie Jung</v>
      </c>
      <c r="C33" s="4" t="str">
        <f t="array" ref="C33">if(xlookup('number zoo'!G:G,original!$C:$C,original!$H:$H)="NA",xlookup('number zoo'!G:G,original!$C:$C,original!$A:$A),xlookup('number zoo'!G:G,original!$C:$C,original!$H:$H))</f>
        <v>Aarya Kale, Avishka Boina</v>
      </c>
      <c r="D33" s="4" t="str">
        <f t="array" ref="D33">if(xlookup('number zoo'!H:H,original!$C:$C,original!$H:$H)="NA",xlookup('number zoo'!H:H,original!$C:$C,original!$A:$A),xlookup('number zoo'!H:H,original!$C:$C,original!$H:$H))</f>
        <v>Prisha Mohan</v>
      </c>
      <c r="E33" s="4" t="str">
        <f t="array" ref="E33">if(xlookup('number zoo'!I:I,original!$C:$C,original!$H:$H)="NA",xlookup('number zoo'!I:I,original!$C:$C,original!$A:$A),xlookup('number zoo'!I:I,original!$C:$C,original!$H:$H))</f>
        <v>Satyanandana Thallam, Lahari Gadi</v>
      </c>
      <c r="F33" s="4" t="str">
        <f t="array" ref="F33">if(xlookup('number zoo'!J:J,original!$C:$C,original!$H:$H)="NA",xlookup('number zoo'!J:J,original!$C:$C,original!$A:$A),xlookup('number zoo'!J:J,original!$C:$C,original!$H:$H))</f>
        <v>Yuyan Chen</v>
      </c>
      <c r="G33" s="4" t="str">
        <f t="array" ref="G33">if(xlookup('number zoo'!K:K,original!$C:$C,original!$H:$H)="NA",xlookup('number zoo'!K:K,original!$C:$C,original!$A:$A),xlookup('number zoo'!K:K,original!$C:$C,original!$H:$H))</f>
        <v>Pranavi Yadiki, Saanika Parikh, Ahanaa Satyanarayanan</v>
      </c>
      <c r="H33" s="4" t="str">
        <f t="array" ref="H33">xlookup('number zoo'!L:L,original!$C:$C,original!$H:$H)</f>
        <v>Grant Qu, Raadhika Singh, Anagha Mohan</v>
      </c>
    </row>
    <row r="34">
      <c r="A34" s="4" t="str">
        <f t="array" ref="A34">xlookup('number zoo'!D:D,Sheet2!B:B,Sheet2!A:A)</f>
        <v>International Business Plan (IBP)</v>
      </c>
      <c r="B34" s="4" t="str">
        <f t="array" ref="B34">if(xlookup('number zoo'!F:F,original!C:C,original!H:H)="NA",xlookup('number zoo'!F:F,original!C:C,original!A:A),xlookup('number zoo'!F:F,original!C:C,original!H:H))</f>
        <v>Phylicia Ren, Tanvi Kadiri, Rifah Mirza</v>
      </c>
      <c r="C34" s="4" t="str">
        <f t="array" ref="C34">if(xlookup('number zoo'!G:G,original!$C:$C,original!$H:$H)="NA",xlookup('number zoo'!G:G,original!$C:$C,original!$A:$A),xlookup('number zoo'!G:G,original!$C:$C,original!$H:$H))</f>
        <v>Sahil Jain, Joshua Shen, Haein Jung</v>
      </c>
      <c r="D34" s="4" t="str">
        <f t="array" ref="D34">if(xlookup('number zoo'!H:H,original!$C:$C,original!$H:$H)="NA",xlookup('number zoo'!H:H,original!$C:$C,original!$A:$A),xlookup('number zoo'!H:H,original!$C:$C,original!$H:$H))</f>
        <v>Vandya  Agarwal</v>
      </c>
      <c r="E34" s="4" t="str">
        <f t="array" ref="E34">if(xlookup('number zoo'!I:I,original!$C:$C,original!$H:$H)="NA",xlookup('number zoo'!I:I,original!$C:$C,original!$A:$A),xlookup('number zoo'!I:I,original!$C:$C,original!$H:$H))</f>
        <v>Shaurya</v>
      </c>
      <c r="F34" s="4" t="str">
        <f t="array" ref="F34">if(xlookup('number zoo'!J:J,original!$C:$C,original!$H:$H)="NA",xlookup('number zoo'!J:J,original!$C:$C,original!$A:$A),xlookup('number zoo'!J:J,original!$C:$C,original!$H:$H))</f>
        <v>Romir Dukeshier, Aarush Chittineni, Rithwik Nair</v>
      </c>
      <c r="G34" s="4" t="str">
        <f t="array" ref="G34">if(xlookup('number zoo'!K:K,original!$C:$C,original!$H:$H)="NA",xlookup('number zoo'!K:K,original!$C:$C,original!$A:$A),xlookup('number zoo'!K:K,original!$C:$C,original!$H:$H))</f>
        <v>Anika Aslesh, Sanjana Aslesh, Dhiya Balajee</v>
      </c>
      <c r="H34" s="4" t="str">
        <f t="array" ref="H34">xlookup('number zoo'!L:L,original!$C:$C,original!$H:$H)</f>
        <v>Anika Aslesh, Sanjana Aslesh, Dhiya Balajee</v>
      </c>
    </row>
    <row r="35">
      <c r="A35" s="4" t="str">
        <f t="array" ref="A35">xlookup('number zoo'!D:D,Sheet2!B:B,Sheet2!A:A)</f>
        <v>Marketing Communications (MCS)</v>
      </c>
      <c r="B35" s="4" t="str">
        <f t="array" ref="B35">if(xlookup('number zoo'!F:F,original!C:C,original!H:H)="NA",xlookup('number zoo'!F:F,original!C:C,original!A:A),xlookup('number zoo'!F:F,original!C:C,original!H:H))</f>
        <v>Evan Jaf</v>
      </c>
      <c r="C35" s="4" t="str">
        <f t="array" ref="C35">if(xlookup('number zoo'!G:G,original!$C:$C,original!$H:$H)="NA",xlookup('number zoo'!G:G,original!$C:$C,original!$A:$A),xlookup('number zoo'!G:G,original!$C:$C,original!$H:$H))</f>
        <v>Anika Aslesh, Sanjana Aslesh, Dhiya Balajee</v>
      </c>
      <c r="D35" s="4" t="str">
        <f t="array" ref="D35">if(xlookup('number zoo'!H:H,original!$C:$C,original!$H:$H)="NA",xlookup('number zoo'!H:H,original!$C:$C,original!$A:$A),xlookup('number zoo'!H:H,original!$C:$C,original!$H:$H))</f>
        <v>Anika Aslesh, Sanjana Aslesh, Dhiya Balajee</v>
      </c>
      <c r="E35" s="4" t="str">
        <f t="array" ref="E35">if(xlookup('number zoo'!I:I,original!$C:$C,original!$H:$H)="NA",xlookup('number zoo'!I:I,original!$C:$C,original!$A:$A),xlookup('number zoo'!I:I,original!$C:$C,original!$H:$H))</f>
        <v>Anika Aslesh, Sanjana Aslesh, Dhiya Balajee</v>
      </c>
      <c r="F35" s="4" t="str">
        <f t="array" ref="F35">if(xlookup('number zoo'!J:J,original!$C:$C,original!$H:$H)="NA",xlookup('number zoo'!J:J,original!$C:$C,original!$A:$A),xlookup('number zoo'!J:J,original!$C:$C,original!$H:$H))</f>
        <v>Anika Aslesh, Sanjana Aslesh, Dhiya Balajee</v>
      </c>
      <c r="G35" s="4" t="str">
        <f t="array" ref="G35">if(xlookup('number zoo'!K:K,original!$C:$C,original!$H:$H)="NA",xlookup('number zoo'!K:K,original!$C:$C,original!$A:$A),xlookup('number zoo'!K:K,original!$C:$C,original!$H:$H))</f>
        <v>Anika Aslesh, Sanjana Aslesh, Dhiya Balajee</v>
      </c>
      <c r="H35" s="4" t="str">
        <f t="array" ref="H35">xlookup('number zoo'!L:L,original!$C:$C,original!$H:$H)</f>
        <v>Anika Aslesh, Sanjana Aslesh, Dhiya Balajee</v>
      </c>
    </row>
    <row r="36">
      <c r="A36" s="4" t="str">
        <f t="array" ref="A36">xlookup('number zoo'!D:D,Sheet2!B:B,Sheet2!A:A)</f>
        <v>Marketing Management (MTDM)</v>
      </c>
      <c r="B36" s="4" t="str">
        <f t="array" ref="B36">if(xlookup('number zoo'!F:F,original!C:C,original!H:H)="NA",xlookup('number zoo'!F:F,original!C:C,original!A:A),xlookup('number zoo'!F:F,original!C:C,original!H:H))</f>
        <v>Romir Jain, James Li</v>
      </c>
      <c r="C36" s="4" t="str">
        <f t="array" ref="C36">if(xlookup('number zoo'!G:G,original!$C:$C,original!$H:$H)="NA",xlookup('number zoo'!G:G,original!$C:$C,original!$A:$A),xlookup('number zoo'!G:G,original!$C:$C,original!$H:$H))</f>
        <v>Yeissel Dameras, Elise Leclercq</v>
      </c>
      <c r="D36" s="4" t="str">
        <f t="array" ref="D36">if(xlookup('number zoo'!H:H,original!$C:$C,original!$H:$H)="NA",xlookup('number zoo'!H:H,original!$C:$C,original!$A:$A),xlookup('number zoo'!H:H,original!$C:$C,original!$H:$H))</f>
        <v>Samhita Nagarakanti, Nishita Mukkara</v>
      </c>
      <c r="E36" s="4" t="str">
        <f t="array" ref="E36">if(xlookup('number zoo'!I:I,original!$C:$C,original!$H:$H)="NA",xlookup('number zoo'!I:I,original!$C:$C,original!$A:$A),xlookup('number zoo'!I:I,original!$C:$C,original!$H:$H))</f>
        <v>Byron Schneider</v>
      </c>
      <c r="F36" s="4" t="str">
        <f t="array" ref="F36">if(xlookup('number zoo'!J:J,original!$C:$C,original!$H:$H)="NA",xlookup('number zoo'!J:J,original!$C:$C,original!$A:$A),xlookup('number zoo'!J:J,original!$C:$C,original!$H:$H))</f>
        <v>Yi Heng Chen</v>
      </c>
      <c r="G36" s="4" t="str">
        <f t="array" ref="G36">if(xlookup('number zoo'!K:K,original!$C:$C,original!$H:$H)="NA",xlookup('number zoo'!K:K,original!$C:$C,original!$A:$A),xlookup('number zoo'!K:K,original!$C:$C,original!$H:$H))</f>
        <v>Nathan Aguilar, Sydney Daigle </v>
      </c>
      <c r="H36" s="4" t="str">
        <f t="array" ref="H36">xlookup('number zoo'!L:L,original!$C:$C,original!$H:$H)</f>
        <v>Byron Schneider, JingBin Tan</v>
      </c>
    </row>
    <row r="37">
      <c r="A37" s="4" t="str">
        <f t="array" ref="A37">xlookup('number zoo'!D:D,Sheet2!B:B,Sheet2!A:A)</f>
        <v>Personal Financial Literacy (PFL)</v>
      </c>
      <c r="B37" s="4" t="str">
        <f t="array" ref="B37">if(xlookup('number zoo'!F:F,original!C:C,original!H:H)="NA",xlookup('number zoo'!F:F,original!C:C,original!A:A),xlookup('number zoo'!F:F,original!C:C,original!H:H))</f>
        <v>Akshita Verma</v>
      </c>
      <c r="C37" s="4" t="str">
        <f t="array" ref="C37">if(xlookup('number zoo'!G:G,original!$C:$C,original!$H:$H)="NA",xlookup('number zoo'!G:G,original!$C:$C,original!$A:$A),xlookup('number zoo'!G:G,original!$C:$C,original!$H:$H))</f>
        <v>Arjun Kurane</v>
      </c>
      <c r="D37" s="4" t="str">
        <f t="array" ref="D37">if(xlookup('number zoo'!H:H,original!$C:$C,original!$H:$H)="NA",xlookup('number zoo'!H:H,original!$C:$C,original!$A:$A),xlookup('number zoo'!H:H,original!$C:$C,original!$H:$H))</f>
        <v>Laura Varela</v>
      </c>
      <c r="E37" s="4" t="str">
        <f t="array" ref="E37">if(xlookup('number zoo'!I:I,original!$C:$C,original!$H:$H)="NA",xlookup('number zoo'!I:I,original!$C:$C,original!$A:$A),xlookup('number zoo'!I:I,original!$C:$C,original!$H:$H))</f>
        <v>Anika Aslesh, Sanjana Aslesh, Dhiya Balajee</v>
      </c>
      <c r="F37" s="4" t="str">
        <f t="array" ref="F37">if(xlookup('number zoo'!J:J,original!$C:$C,original!$H:$H)="NA",xlookup('number zoo'!J:J,original!$C:$C,original!$A:$A),xlookup('number zoo'!J:J,original!$C:$C,original!$H:$H))</f>
        <v>Anika Aslesh, Sanjana Aslesh, Dhiya Balajee</v>
      </c>
      <c r="G37" s="4" t="str">
        <f t="array" ref="G37">if(xlookup('number zoo'!K:K,original!$C:$C,original!$H:$H)="NA",xlookup('number zoo'!K:K,original!$C:$C,original!$A:$A),xlookup('number zoo'!K:K,original!$C:$C,original!$H:$H))</f>
        <v>Anika Aslesh, Sanjana Aslesh, Dhiya Balajee</v>
      </c>
      <c r="H37" s="4" t="str">
        <f t="array" ref="H37">xlookup('number zoo'!L:L,original!$C:$C,original!$H:$H)</f>
        <v>Anika Aslesh, Sanjana Aslesh, Dhiya Balajee</v>
      </c>
    </row>
    <row r="38">
      <c r="A38" s="4" t="str">
        <f t="array" ref="A38">xlookup('number zoo'!D:D,Sheet2!B:B,Sheet2!A:A)</f>
        <v>Principles of Business Management and Administration (PBM)</v>
      </c>
      <c r="B38" s="4" t="str">
        <f t="array" ref="B38">if(xlookup('number zoo'!F:F,original!C:C,original!H:H)="NA",xlookup('number zoo'!F:F,original!C:C,original!A:A),xlookup('number zoo'!F:F,original!C:C,original!H:H))</f>
        <v>Apple Ma</v>
      </c>
      <c r="C38" s="4" t="str">
        <f t="array" ref="C38">if(xlookup('number zoo'!G:G,original!$C:$C,original!$H:$H)="NA",xlookup('number zoo'!G:G,original!$C:$C,original!$A:$A),xlookup('number zoo'!G:G,original!$C:$C,original!$H:$H))</f>
        <v>Eshanya Kishore</v>
      </c>
      <c r="D38" s="4" t="str">
        <f t="array" ref="D38">if(xlookup('number zoo'!H:H,original!$C:$C,original!$H:$H)="NA",xlookup('number zoo'!H:H,original!$C:$C,original!$A:$A),xlookup('number zoo'!H:H,original!$C:$C,original!$H:$H))</f>
        <v>Kyla Cretencio</v>
      </c>
      <c r="E38" s="4" t="str">
        <f t="array" ref="E38">if(xlookup('number zoo'!I:I,original!$C:$C,original!$H:$H)="NA",xlookup('number zoo'!I:I,original!$C:$C,original!$A:$A),xlookup('number zoo'!I:I,original!$C:$C,original!$H:$H))</f>
        <v>Daniel Yang</v>
      </c>
      <c r="F38" s="4" t="str">
        <f t="array" ref="F38">if(xlookup('number zoo'!J:J,original!$C:$C,original!$H:$H)="NA",xlookup('number zoo'!J:J,original!$C:$C,original!$A:$A),xlookup('number zoo'!J:J,original!$C:$C,original!$H:$H))</f>
        <v>Anika Aslesh, Sanjana Aslesh, Dhiya Balajee</v>
      </c>
      <c r="G38" s="4" t="str">
        <f t="array" ref="G38">if(xlookup('number zoo'!K:K,original!$C:$C,original!$H:$H)="NA",xlookup('number zoo'!K:K,original!$C:$C,original!$A:$A),xlookup('number zoo'!K:K,original!$C:$C,original!$H:$H))</f>
        <v>Anika Aslesh, Sanjana Aslesh, Dhiya Balajee</v>
      </c>
      <c r="H38" s="4" t="str">
        <f t="array" ref="H38">xlookup('number zoo'!L:L,original!$C:$C,original!$H:$H)</f>
        <v>Anika Aslesh, Sanjana Aslesh, Dhiya Balajee</v>
      </c>
    </row>
    <row r="39">
      <c r="A39" s="4" t="str">
        <f t="array" ref="A39">xlookup('number zoo'!D:D,Sheet2!B:B,Sheet2!A:A)</f>
        <v>Principles of Entrepreneurship (PEN)</v>
      </c>
      <c r="B39" s="4" t="str">
        <f t="array" ref="B39">if(xlookup('number zoo'!F:F,original!C:C,original!H:H)="NA",xlookup('number zoo'!F:F,original!C:C,original!A:A),xlookup('number zoo'!F:F,original!C:C,original!H:H))</f>
        <v>Ava Stidvent</v>
      </c>
      <c r="C39" s="4" t="str">
        <f t="array" ref="C39">if(xlookup('number zoo'!G:G,original!$C:$C,original!$H:$H)="NA",xlookup('number zoo'!G:G,original!$C:$C,original!$A:$A),xlookup('number zoo'!G:G,original!$C:$C,original!$H:$H))</f>
        <v>Sean Yohann Armendi</v>
      </c>
      <c r="D39" s="4" t="str">
        <f t="array" ref="D39">if(xlookup('number zoo'!H:H,original!$C:$C,original!$H:$H)="NA",xlookup('number zoo'!H:H,original!$C:$C,original!$A:$A),xlookup('number zoo'!H:H,original!$C:$C,original!$H:$H))</f>
        <v>Deekshita Sivakumar </v>
      </c>
      <c r="E39" s="4" t="str">
        <f t="array" ref="E39">if(xlookup('number zoo'!I:I,original!$C:$C,original!$H:$H)="NA",xlookup('number zoo'!I:I,original!$C:$C,original!$A:$A),xlookup('number zoo'!I:I,original!$C:$C,original!$H:$H))</f>
        <v>Sofia Hooker-Endonino</v>
      </c>
      <c r="F39" s="4" t="str">
        <f t="array" ref="F39">if(xlookup('number zoo'!J:J,original!$C:$C,original!$H:$H)="NA",xlookup('number zoo'!J:J,original!$C:$C,original!$A:$A),xlookup('number zoo'!J:J,original!$C:$C,original!$H:$H))</f>
        <v>Jay Patel, Alexandre M</v>
      </c>
      <c r="G39" s="4" t="str">
        <f t="array" ref="G39">if(xlookup('number zoo'!K:K,original!$C:$C,original!$H:$H)="NA",xlookup('number zoo'!K:K,original!$C:$C,original!$A:$A),xlookup('number zoo'!K:K,original!$C:$C,original!$H:$H))</f>
        <v>Anika Aslesh, Sanjana Aslesh, Dhiya Balajee</v>
      </c>
      <c r="H39" s="4" t="str">
        <f t="array" ref="H39">xlookup('number zoo'!L:L,original!$C:$C,original!$H:$H)</f>
        <v>Anika Aslesh, Sanjana Aslesh, Dhiya Balajee</v>
      </c>
    </row>
    <row r="40">
      <c r="A40" s="4" t="str">
        <f t="array" ref="A40">xlookup('number zoo'!D:D,Sheet2!B:B,Sheet2!A:A)</f>
        <v>Principles of Finance (PFN)</v>
      </c>
      <c r="B40" s="4" t="str">
        <f t="array" ref="B40">if(xlookup('number zoo'!F:F,original!C:C,original!H:H)="NA",xlookup('number zoo'!F:F,original!C:C,original!A:A),xlookup('number zoo'!F:F,original!C:C,original!H:H))</f>
        <v>Nithin Reddy Vemula</v>
      </c>
      <c r="C40" s="4" t="str">
        <f t="array" ref="C40">if(xlookup('number zoo'!G:G,original!$C:$C,original!$H:$H)="NA",xlookup('number zoo'!G:G,original!$C:$C,original!$A:$A),xlookup('number zoo'!G:G,original!$C:$C,original!$H:$H))</f>
        <v>Karthik Gundam</v>
      </c>
      <c r="D40" s="4" t="str">
        <f t="array" ref="D40">if(xlookup('number zoo'!H:H,original!$C:$C,original!$H:$H)="NA",xlookup('number zoo'!H:H,original!$C:$C,original!$A:$A),xlookup('number zoo'!H:H,original!$C:$C,original!$H:$H))</f>
        <v>Nathaniel Horton</v>
      </c>
      <c r="E40" s="4" t="str">
        <f t="array" ref="E40">if(xlookup('number zoo'!I:I,original!$C:$C,original!$H:$H)="NA",xlookup('number zoo'!I:I,original!$C:$C,original!$A:$A),xlookup('number zoo'!I:I,original!$C:$C,original!$H:$H))</f>
        <v>Catherine Zheng</v>
      </c>
      <c r="F40" s="4" t="str">
        <f t="array" ref="F40">if(xlookup('number zoo'!J:J,original!$C:$C,original!$H:$H)="NA",xlookup('number zoo'!J:J,original!$C:$C,original!$A:$A),xlookup('number zoo'!J:J,original!$C:$C,original!$H:$H))</f>
        <v>Nihal Grandhi</v>
      </c>
      <c r="G40" s="4" t="str">
        <f t="array" ref="G40">if(xlookup('number zoo'!K:K,original!$C:$C,original!$H:$H)="NA",xlookup('number zoo'!K:K,original!$C:$C,original!$A:$A),xlookup('number zoo'!K:K,original!$C:$C,original!$H:$H))</f>
        <v>Abhiram Donepudi</v>
      </c>
      <c r="H40" s="4" t="str">
        <f t="array" ref="H40">xlookup('number zoo'!L:L,original!$C:$C,original!$H:$H)</f>
        <v>Na</v>
      </c>
    </row>
    <row r="41">
      <c r="A41" s="4" t="str">
        <f t="array" ref="A41">xlookup('number zoo'!D:D,Sheet2!B:B,Sheet2!A:A)</f>
        <v>Principles of Hospitality and Tourism (PHT)</v>
      </c>
      <c r="B41" s="4" t="str">
        <f t="array" ref="B41">if(xlookup('number zoo'!F:F,original!C:C,original!H:H)="NA",xlookup('number zoo'!F:F,original!C:C,original!A:A),xlookup('number zoo'!F:F,original!C:C,original!H:H))</f>
        <v>Akshara Reddy</v>
      </c>
      <c r="C41" s="4" t="str">
        <f t="array" ref="C41">if(xlookup('number zoo'!G:G,original!$C:$C,original!$H:$H)="NA",xlookup('number zoo'!G:G,original!$C:$C,original!$A:$A),xlookup('number zoo'!G:G,original!$C:$C,original!$H:$H))</f>
        <v>Saharsh Gurram</v>
      </c>
      <c r="D41" s="4" t="str">
        <f t="array" ref="D41">if(xlookup('number zoo'!H:H,original!$C:$C,original!$H:$H)="NA",xlookup('number zoo'!H:H,original!$C:$C,original!$A:$A),xlookup('number zoo'!H:H,original!$C:$C,original!$H:$H))</f>
        <v>Shahnawaz Dolani</v>
      </c>
      <c r="E41" s="4" t="str">
        <f t="array" ref="E41">if(xlookup('number zoo'!I:I,original!$C:$C,original!$H:$H)="NA",xlookup('number zoo'!I:I,original!$C:$C,original!$A:$A),xlookup('number zoo'!I:I,original!$C:$C,original!$H:$H))</f>
        <v>Anika Aslesh, Sanjana Aslesh, Dhiya Balajee</v>
      </c>
      <c r="F41" s="4" t="str">
        <f t="array" ref="F41">if(xlookup('number zoo'!J:J,original!$C:$C,original!$H:$H)="NA",xlookup('number zoo'!J:J,original!$C:$C,original!$A:$A),xlookup('number zoo'!J:J,original!$C:$C,original!$H:$H))</f>
        <v>Anika Aslesh, Sanjana Aslesh, Dhiya Balajee</v>
      </c>
      <c r="G41" s="4" t="str">
        <f t="array" ref="G41">if(xlookup('number zoo'!K:K,original!$C:$C,original!$H:$H)="NA",xlookup('number zoo'!K:K,original!$C:$C,original!$A:$A),xlookup('number zoo'!K:K,original!$C:$C,original!$H:$H))</f>
        <v>Anika Aslesh, Sanjana Aslesh, Dhiya Balajee</v>
      </c>
      <c r="H41" s="4" t="str">
        <f t="array" ref="H41">xlookup('number zoo'!L:L,original!$C:$C,original!$H:$H)</f>
        <v>Anika Aslesh, Sanjana Aslesh, Dhiya Balajee</v>
      </c>
    </row>
    <row r="42">
      <c r="A42" s="4" t="str">
        <f t="array" ref="A42">xlookup('number zoo'!D:D,Sheet2!B:B,Sheet2!A:A)</f>
        <v>Principles of Marketing (PMK)</v>
      </c>
      <c r="B42" s="4" t="str">
        <f t="array" ref="B42">if(xlookup('number zoo'!F:F,original!C:C,original!H:H)="NA",xlookup('number zoo'!F:F,original!C:C,original!A:A),xlookup('number zoo'!F:F,original!C:C,original!H:H))</f>
        <v>Maya Alas</v>
      </c>
      <c r="C42" s="4" t="str">
        <f t="array" ref="C42">if(xlookup('number zoo'!G:G,original!$C:$C,original!$H:$H)="NA",xlookup('number zoo'!G:G,original!$C:$C,original!$A:$A),xlookup('number zoo'!G:G,original!$C:$C,original!$H:$H))</f>
        <v>Vishnu Abhinav Reddy Yerrabandi</v>
      </c>
      <c r="D42" s="4" t="str">
        <f t="array" ref="D42">if(xlookup('number zoo'!H:H,original!$C:$C,original!$H:$H)="NA",xlookup('number zoo'!H:H,original!$C:$C,original!$A:$A),xlookup('number zoo'!H:H,original!$C:$C,original!$H:$H))</f>
        <v>Anika Aslesh, Sanjana Aslesh, Dhiya Balajee</v>
      </c>
      <c r="E42" s="4" t="str">
        <f t="array" ref="E42">if(xlookup('number zoo'!I:I,original!$C:$C,original!$H:$H)="NA",xlookup('number zoo'!I:I,original!$C:$C,original!$A:$A),xlookup('number zoo'!I:I,original!$C:$C,original!$H:$H))</f>
        <v>Anika Aslesh, Sanjana Aslesh, Dhiya Balajee</v>
      </c>
      <c r="F42" s="4" t="str">
        <f t="array" ref="F42">if(xlookup('number zoo'!J:J,original!$C:$C,original!$H:$H)="NA",xlookup('number zoo'!J:J,original!$C:$C,original!$A:$A),xlookup('number zoo'!J:J,original!$C:$C,original!$H:$H))</f>
        <v>Anika Aslesh, Sanjana Aslesh, Dhiya Balajee</v>
      </c>
      <c r="G42" s="4" t="str">
        <f t="array" ref="G42">if(xlookup('number zoo'!K:K,original!$C:$C,original!$H:$H)="NA",xlookup('number zoo'!K:K,original!$C:$C,original!$A:$A),xlookup('number zoo'!K:K,original!$C:$C,original!$H:$H))</f>
        <v>Anika Aslesh, Sanjana Aslesh, Dhiya Balajee</v>
      </c>
      <c r="H42" s="4" t="str">
        <f t="array" ref="H42">xlookup('number zoo'!L:L,original!$C:$C,original!$H:$H)</f>
        <v>Anika Aslesh, Sanjana Aslesh, Dhiya Balajee</v>
      </c>
    </row>
    <row r="43">
      <c r="A43" s="4" t="str">
        <f t="array" ref="A43">xlookup('number zoo'!D:D,Sheet2!B:B,Sheet2!A:A)</f>
        <v>Professional Selling (PSE)</v>
      </c>
      <c r="B43" s="4" t="str">
        <f t="array" ref="B43">if(xlookup('number zoo'!F:F,original!C:C,original!H:H)="NA",xlookup('number zoo'!F:F,original!C:C,original!A:A),xlookup('number zoo'!F:F,original!C:C,original!H:H))</f>
        <v>Uma Sthanu</v>
      </c>
      <c r="C43" s="4" t="str">
        <f t="array" ref="C43">if(xlookup('number zoo'!G:G,original!$C:$C,original!$H:$H)="NA",xlookup('number zoo'!G:G,original!$C:$C,original!$A:$A),xlookup('number zoo'!G:G,original!$C:$C,original!$H:$H))</f>
        <v>Aarohi Bhattacharya</v>
      </c>
      <c r="D43" s="4" t="str">
        <f t="array" ref="D43">if(xlookup('number zoo'!H:H,original!$C:$C,original!$H:$H)="NA",xlookup('number zoo'!H:H,original!$C:$C,original!$A:$A),xlookup('number zoo'!H:H,original!$C:$C,original!$H:$H))</f>
        <v>Diya Shakkottai</v>
      </c>
      <c r="E43" s="4" t="str">
        <f t="array" ref="E43">if(xlookup('number zoo'!I:I,original!$C:$C,original!$H:$H)="NA",xlookup('number zoo'!I:I,original!$C:$C,original!$A:$A),xlookup('number zoo'!I:I,original!$C:$C,original!$H:$H))</f>
        <v>Laasya Bysani</v>
      </c>
      <c r="F43" s="4" t="str">
        <f t="array" ref="F43">if(xlookup('number zoo'!J:J,original!$C:$C,original!$H:$H)="NA",xlookup('number zoo'!J:J,original!$C:$C,original!$A:$A),xlookup('number zoo'!J:J,original!$C:$C,original!$H:$H))</f>
        <v>Atticus Lewis</v>
      </c>
      <c r="G43" s="4" t="str">
        <f t="array" ref="G43">if(xlookup('number zoo'!K:K,original!$C:$C,original!$H:$H)="NA",xlookup('number zoo'!K:K,original!$C:$C,original!$A:$A),xlookup('number zoo'!K:K,original!$C:$C,original!$H:$H))</f>
        <v>Anika Aslesh, Sanjana Aslesh, Dhiya Balajee</v>
      </c>
      <c r="H43" s="4" t="str">
        <f t="array" ref="H43">xlookup('number zoo'!L:L,original!$C:$C,original!$H:$H)</f>
        <v>Anika Aslesh, Sanjana Aslesh, Dhiya Balajee</v>
      </c>
    </row>
    <row r="44">
      <c r="A44" s="4" t="str">
        <f t="array" ref="A44">xlookup('number zoo'!D:D,Sheet2!B:B,Sheet2!A:A)</f>
        <v>Quick Serve Restaurant Management (QSRM)</v>
      </c>
      <c r="B44" s="4" t="str">
        <f t="array" ref="B44">if(xlookup('number zoo'!F:F,original!C:C,original!H:H)="NA",xlookup('number zoo'!F:F,original!C:C,original!A:A),xlookup('number zoo'!F:F,original!C:C,original!H:H))</f>
        <v>Jatin Aggarwal</v>
      </c>
      <c r="C44" s="4" t="str">
        <f t="array" ref="C44">if(xlookup('number zoo'!G:G,original!$C:$C,original!$H:$H)="NA",xlookup('number zoo'!G:G,original!$C:$C,original!$A:$A),xlookup('number zoo'!G:G,original!$C:$C,original!$H:$H))</f>
        <v>Anika Aslesh, Sanjana Aslesh, Dhiya Balajee</v>
      </c>
      <c r="D44" s="4" t="str">
        <f t="array" ref="D44">if(xlookup('number zoo'!H:H,original!$C:$C,original!$H:$H)="NA",xlookup('number zoo'!H:H,original!$C:$C,original!$A:$A),xlookup('number zoo'!H:H,original!$C:$C,original!$H:$H))</f>
        <v>Anika Aslesh, Sanjana Aslesh, Dhiya Balajee</v>
      </c>
      <c r="E44" s="4" t="str">
        <f t="array" ref="E44">if(xlookup('number zoo'!I:I,original!$C:$C,original!$H:$H)="NA",xlookup('number zoo'!I:I,original!$C:$C,original!$A:$A),xlookup('number zoo'!I:I,original!$C:$C,original!$H:$H))</f>
        <v>Anika Aslesh, Sanjana Aslesh, Dhiya Balajee</v>
      </c>
      <c r="F44" s="4" t="str">
        <f t="array" ref="F44">if(xlookup('number zoo'!J:J,original!$C:$C,original!$H:$H)="NA",xlookup('number zoo'!J:J,original!$C:$C,original!$A:$A),xlookup('number zoo'!J:J,original!$C:$C,original!$H:$H))</f>
        <v>Anika Aslesh, Sanjana Aslesh, Dhiya Balajee</v>
      </c>
      <c r="G44" s="4" t="str">
        <f t="array" ref="G44">if(xlookup('number zoo'!K:K,original!$C:$C,original!$H:$H)="NA",xlookup('number zoo'!K:K,original!$C:$C,original!$A:$A),xlookup('number zoo'!K:K,original!$C:$C,original!$H:$H))</f>
        <v>Anika Aslesh, Sanjana Aslesh, Dhiya Balajee</v>
      </c>
      <c r="H44" s="4" t="str">
        <f t="array" ref="H44">xlookup('number zoo'!L:L,original!$C:$C,original!$H:$H)</f>
        <v>Anika Aslesh, Sanjana Aslesh, Dhiya Balajee</v>
      </c>
    </row>
    <row r="45">
      <c r="A45" s="4" t="str">
        <f t="array" ref="A45">xlookup('number zoo'!D:D,Sheet2!B:B,Sheet2!A:A)</f>
        <v>Restaurant and Food Service Management (RFSM)</v>
      </c>
      <c r="B45" s="4" t="str">
        <f t="array" ref="B45">if(xlookup('number zoo'!F:F,original!C:C,original!H:H)="NA",xlookup('number zoo'!F:F,original!C:C,original!A:A),xlookup('number zoo'!F:F,original!C:C,original!H:H))</f>
        <v>Prajna Parajuli</v>
      </c>
      <c r="C45" s="4" t="str">
        <f t="array" ref="C45">if(xlookup('number zoo'!G:G,original!$C:$C,original!$H:$H)="NA",xlookup('number zoo'!G:G,original!$C:$C,original!$A:$A),xlookup('number zoo'!G:G,original!$C:$C,original!$H:$H))</f>
        <v>Anika Aslesh, Sanjana Aslesh, Dhiya Balajee</v>
      </c>
      <c r="D45" s="4" t="str">
        <f t="array" ref="D45">if(xlookup('number zoo'!H:H,original!$C:$C,original!$H:$H)="NA",xlookup('number zoo'!H:H,original!$C:$C,original!$A:$A),xlookup('number zoo'!H:H,original!$C:$C,original!$H:$H))</f>
        <v>Anika Aslesh, Sanjana Aslesh, Dhiya Balajee</v>
      </c>
      <c r="E45" s="4" t="str">
        <f t="array" ref="E45">if(xlookup('number zoo'!I:I,original!$C:$C,original!$H:$H)="NA",xlookup('number zoo'!I:I,original!$C:$C,original!$A:$A),xlookup('number zoo'!I:I,original!$C:$C,original!$H:$H))</f>
        <v>Anika Aslesh, Sanjana Aslesh, Dhiya Balajee</v>
      </c>
      <c r="F45" s="4" t="str">
        <f t="array" ref="F45">if(xlookup('number zoo'!J:J,original!$C:$C,original!$H:$H)="NA",xlookup('number zoo'!J:J,original!$C:$C,original!$A:$A),xlookup('number zoo'!J:J,original!$C:$C,original!$H:$H))</f>
        <v>Anika Aslesh, Sanjana Aslesh, Dhiya Balajee</v>
      </c>
      <c r="G45" s="4" t="str">
        <f t="array" ref="G45">if(xlookup('number zoo'!K:K,original!$C:$C,original!$H:$H)="NA",xlookup('number zoo'!K:K,original!$C:$C,original!$A:$A),xlookup('number zoo'!K:K,original!$C:$C,original!$H:$H))</f>
        <v>Anika Aslesh, Sanjana Aslesh, Dhiya Balajee</v>
      </c>
      <c r="H45" s="4" t="str">
        <f t="array" ref="H45">xlookup('number zoo'!L:L,original!$C:$C,original!$H:$H)</f>
        <v>Anika Aslesh, Sanjana Aslesh, Dhiya Balajee</v>
      </c>
    </row>
    <row r="46">
      <c r="A46" s="4" t="str">
        <f t="array" ref="A46">xlookup('number zoo'!D:D,Sheet2!B:B,Sheet2!A:A)</f>
        <v>Retail Merchandising (RMS)</v>
      </c>
      <c r="B46" s="4" t="str">
        <f t="array" ref="B46">if(xlookup('number zoo'!F:F,original!C:C,original!H:H)="NA",xlookup('number zoo'!F:F,original!C:C,original!A:A),xlookup('number zoo'!F:F,original!C:C,original!H:H))</f>
        <v>Arunachalam Arunachalam</v>
      </c>
      <c r="C46" s="4" t="str">
        <f t="array" ref="C46">if(xlookup('number zoo'!G:G,original!$C:$C,original!$H:$H)="NA",xlookup('number zoo'!G:G,original!$C:$C,original!$A:$A),xlookup('number zoo'!G:G,original!$C:$C,original!$H:$H))</f>
        <v>Alexander Skaff</v>
      </c>
      <c r="D46" s="4" t="str">
        <f t="array" ref="D46">if(xlookup('number zoo'!H:H,original!$C:$C,original!$H:$H)="NA",xlookup('number zoo'!H:H,original!$C:$C,original!$A:$A),xlookup('number zoo'!H:H,original!$C:$C,original!$H:$H))</f>
        <v>Anika Aslesh, Sanjana Aslesh, Dhiya Balajee</v>
      </c>
      <c r="E46" s="4" t="str">
        <f t="array" ref="E46">if(xlookup('number zoo'!I:I,original!$C:$C,original!$H:$H)="NA",xlookup('number zoo'!I:I,original!$C:$C,original!$A:$A),xlookup('number zoo'!I:I,original!$C:$C,original!$H:$H))</f>
        <v>Anika Aslesh, Sanjana Aslesh, Dhiya Balajee</v>
      </c>
      <c r="F46" s="4" t="str">
        <f t="array" ref="F46">if(xlookup('number zoo'!J:J,original!$C:$C,original!$H:$H)="NA",xlookup('number zoo'!J:J,original!$C:$C,original!$A:$A),xlookup('number zoo'!J:J,original!$C:$C,original!$H:$H))</f>
        <v>Anika Aslesh, Sanjana Aslesh, Dhiya Balajee</v>
      </c>
      <c r="G46" s="4" t="str">
        <f t="array" ref="G46">if(xlookup('number zoo'!K:K,original!$C:$C,original!$H:$H)="NA",xlookup('number zoo'!K:K,original!$C:$C,original!$A:$A),xlookup('number zoo'!K:K,original!$C:$C,original!$H:$H))</f>
        <v>Anika Aslesh, Sanjana Aslesh, Dhiya Balajee</v>
      </c>
      <c r="H46" s="4" t="str">
        <f t="array" ref="H46">xlookup('number zoo'!L:L,original!$C:$C,original!$H:$H)</f>
        <v>Anika Aslesh, Sanjana Aslesh, Dhiya Balajee</v>
      </c>
    </row>
    <row r="47">
      <c r="A47" s="4" t="str">
        <f t="array" ref="A47">xlookup('number zoo'!D:D,Sheet2!B:B,Sheet2!A:A)</f>
        <v>Sale Project (PMSP)</v>
      </c>
      <c r="B47" s="4" t="str">
        <f t="array" ref="B47">if(xlookup('number zoo'!F:F,original!C:C,original!H:H)="NA",xlookup('number zoo'!F:F,original!C:C,original!A:A),xlookup('number zoo'!F:F,original!C:C,original!H:H))</f>
        <v>Rishitha Balla</v>
      </c>
      <c r="C47" s="4" t="str">
        <f t="array" ref="C47">if(xlookup('number zoo'!G:G,original!$C:$C,original!$H:$H)="NA",xlookup('number zoo'!G:G,original!$C:$C,original!$A:$A),xlookup('number zoo'!G:G,original!$C:$C,original!$H:$H))</f>
        <v>Pramithi Akula, Trisha Tiwari, Saachi Chandrakak</v>
      </c>
      <c r="D47" s="4" t="str">
        <f t="array" ref="D47">if(xlookup('number zoo'!H:H,original!$C:$C,original!$H:$H)="NA",xlookup('number zoo'!H:H,original!$C:$C,original!$A:$A),xlookup('number zoo'!H:H,original!$C:$C,original!$H:$H))</f>
        <v>Pramithi Akula, Trisha Tiwari, Saachi Chandrakar</v>
      </c>
      <c r="E47" s="4" t="str">
        <f t="array" ref="E47">if(xlookup('number zoo'!I:I,original!$C:$C,original!$H:$H)="NA",xlookup('number zoo'!I:I,original!$C:$C,original!$A:$A),xlookup('number zoo'!I:I,original!$C:$C,original!$H:$H))</f>
        <v>Anika Aslesh, Sanjana Aslesh, Dhiya Balajee</v>
      </c>
      <c r="F47" s="4" t="str">
        <f t="array" ref="F47">if(xlookup('number zoo'!J:J,original!$C:$C,original!$H:$H)="NA",xlookup('number zoo'!J:J,original!$C:$C,original!$A:$A),xlookup('number zoo'!J:J,original!$C:$C,original!$H:$H))</f>
        <v>Anika Aslesh, Sanjana Aslesh, Dhiya Balajee</v>
      </c>
      <c r="G47" s="4" t="str">
        <f t="array" ref="G47">if(xlookup('number zoo'!K:K,original!$C:$C,original!$H:$H)="NA",xlookup('number zoo'!K:K,original!$C:$C,original!$A:$A),xlookup('number zoo'!K:K,original!$C:$C,original!$H:$H))</f>
        <v>Anika Aslesh, Sanjana Aslesh, Dhiya Balajee</v>
      </c>
      <c r="H47" s="4" t="str">
        <f t="array" ref="H47">xlookup('number zoo'!L:L,original!$C:$C,original!$H:$H)</f>
        <v>Anika Aslesh, Sanjana Aslesh, Dhiya Balajee</v>
      </c>
    </row>
    <row r="48">
      <c r="A48" s="4" t="str">
        <f t="array" ref="A48">xlookup('number zoo'!D:D,Sheet2!B:B,Sheet2!A:A)</f>
        <v>Sports and Entertainment Marketing (SEM)</v>
      </c>
      <c r="B48" s="4" t="str">
        <f t="array" ref="B48">if(xlookup('number zoo'!F:F,original!C:C,original!H:H)="NA",xlookup('number zoo'!F:F,original!C:C,original!A:A),xlookup('number zoo'!F:F,original!C:C,original!H:H))</f>
        <v>Ayan Nagulapally</v>
      </c>
      <c r="C48" s="4" t="str">
        <f t="array" ref="C48">if(xlookup('number zoo'!G:G,original!$C:$C,original!$H:$H)="NA",xlookup('number zoo'!G:G,original!$C:$C,original!$A:$A),xlookup('number zoo'!G:G,original!$C:$C,original!$H:$H))</f>
        <v>Alisha Shireen</v>
      </c>
      <c r="D48" s="4" t="str">
        <f t="array" ref="D48">if(xlookup('number zoo'!H:H,original!$C:$C,original!$H:$H)="NA",xlookup('number zoo'!H:H,original!$C:$C,original!$A:$A),xlookup('number zoo'!H:H,original!$C:$C,original!$H:$H))</f>
        <v>Anika Aslesh, Sanjana Aslesh, Dhiya Balajee</v>
      </c>
      <c r="E48" s="4" t="str">
        <f t="array" ref="E48">if(xlookup('number zoo'!I:I,original!$C:$C,original!$H:$H)="NA",xlookup('number zoo'!I:I,original!$C:$C,original!$A:$A),xlookup('number zoo'!I:I,original!$C:$C,original!$H:$H))</f>
        <v>Anika Aslesh, Sanjana Aslesh, Dhiya Balajee</v>
      </c>
      <c r="F48" s="4" t="str">
        <f t="array" ref="F48">if(xlookup('number zoo'!J:J,original!$C:$C,original!$H:$H)="NA",xlookup('number zoo'!J:J,original!$C:$C,original!$A:$A),xlookup('number zoo'!J:J,original!$C:$C,original!$H:$H))</f>
        <v>Anika Aslesh, Sanjana Aslesh, Dhiya Balajee</v>
      </c>
      <c r="G48" s="4" t="str">
        <f t="array" ref="G48">if(xlookup('number zoo'!K:K,original!$C:$C,original!$H:$H)="NA",xlookup('number zoo'!K:K,original!$C:$C,original!$A:$A),xlookup('number zoo'!K:K,original!$C:$C,original!$H:$H))</f>
        <v>Anika Aslesh, Sanjana Aslesh, Dhiya Balajee</v>
      </c>
      <c r="H48" s="4" t="str">
        <f t="array" ref="H48">xlookup('number zoo'!L:L,original!$C:$C,original!$H:$H)</f>
        <v>Anika Aslesh, Sanjana Aslesh, Dhiya Balajee</v>
      </c>
    </row>
    <row r="49">
      <c r="A49" s="4" t="str">
        <f t="array" ref="A49">xlookup('number zoo'!D:D,Sheet2!B:B,Sheet2!A:A)</f>
        <v>Sports and Entertainment Marketing (STDM)</v>
      </c>
      <c r="B49" s="4" t="str">
        <f t="array" ref="B49">if(xlookup('number zoo'!F:F,original!C:C,original!H:H)="NA",xlookup('number zoo'!F:F,original!C:C,original!A:A),xlookup('number zoo'!F:F,original!C:C,original!H:H))</f>
        <v>Arya Pillai, member A, Holly Ng, member B </v>
      </c>
      <c r="C49" s="4" t="str">
        <f t="array" ref="C49">if(xlookup('number zoo'!G:G,original!$C:$C,original!$H:$H)="NA",xlookup('number zoo'!G:G,original!$C:$C,original!$A:$A),xlookup('number zoo'!G:G,original!$C:$C,original!$H:$H))</f>
        <v>Holly Ng, Member A, Arya Pillai, member B</v>
      </c>
      <c r="D49" s="4" t="str">
        <f t="array" ref="D49">if(xlookup('number zoo'!H:H,original!$C:$C,original!$H:$H)="NA",xlookup('number zoo'!H:H,original!$C:$C,original!$A:$A),xlookup('number zoo'!H:H,original!$C:$C,original!$H:$H))</f>
        <v>Audrey Savoie, MacKenzie Klindworth</v>
      </c>
      <c r="E49" s="4" t="str">
        <f t="array" ref="E49">if(xlookup('number zoo'!I:I,original!$C:$C,original!$H:$H)="NA",xlookup('number zoo'!I:I,original!$C:$C,original!$A:$A),xlookup('number zoo'!I:I,original!$C:$C,original!$H:$H))</f>
        <v>Owen Kim, (need partner)</v>
      </c>
      <c r="F49" s="4" t="str">
        <f t="array" ref="F49">if(xlookup('number zoo'!J:J,original!$C:$C,original!$H:$H)="NA",xlookup('number zoo'!J:J,original!$C:$C,original!$A:$A),xlookup('number zoo'!J:J,original!$C:$C,original!$H:$H))</f>
        <v>Anika Aslesh, Sanjana Aslesh, Dhiya Balajee</v>
      </c>
      <c r="G49" s="4" t="str">
        <f t="array" ref="G49">if(xlookup('number zoo'!K:K,original!$C:$C,original!$H:$H)="NA",xlookup('number zoo'!K:K,original!$C:$C,original!$A:$A),xlookup('number zoo'!K:K,original!$C:$C,original!$H:$H))</f>
        <v>Anika Aslesh, Sanjana Aslesh, Dhiya Balajee</v>
      </c>
      <c r="H49" s="4" t="str">
        <f t="array" ref="H49">xlookup('number zoo'!L:L,original!$C:$C,original!$H:$H)</f>
        <v>Anika Aslesh, Sanjana Aslesh, Dhiya Balajee</v>
      </c>
    </row>
    <row r="50">
      <c r="A50" s="4" t="str">
        <f t="array" ref="A50">xlookup('number zoo'!D:D,Sheet2!B:B,Sheet2!A:A)</f>
        <v>Sports and Entertainment Marketing Operations (SEOR)</v>
      </c>
      <c r="B50" s="4" t="str">
        <f t="array" ref="B50">if(xlookup('number zoo'!F:F,original!C:C,original!H:H)="NA",xlookup('number zoo'!F:F,original!C:C,original!A:A),xlookup('number zoo'!F:F,original!C:C,original!H:H))</f>
        <v>Camila Carrillo, Shuyu Lai, Sophie Liu</v>
      </c>
      <c r="C50" s="4" t="str">
        <f t="array" ref="C50">if(xlookup('number zoo'!G:G,original!$C:$C,original!$H:$H)="NA",xlookup('number zoo'!G:G,original!$C:$C,original!$A:$A),xlookup('number zoo'!G:G,original!$C:$C,original!$H:$H))</f>
        <v>Benjamin Li, Andrew Zhang</v>
      </c>
      <c r="D50" s="4" t="str">
        <f t="array" ref="D50">if(xlookup('number zoo'!H:H,original!$C:$C,original!$H:$H)="NA",xlookup('number zoo'!H:H,original!$C:$C,original!$A:$A),xlookup('number zoo'!H:H,original!$C:$C,original!$H:$H))</f>
        <v>Alexis Hwang, Mahek Sureka</v>
      </c>
      <c r="E50" s="4" t="str">
        <f t="array" ref="E50">if(xlookup('number zoo'!I:I,original!$C:$C,original!$H:$H)="NA",xlookup('number zoo'!I:I,original!$C:$C,original!$A:$A),xlookup('number zoo'!I:I,original!$C:$C,original!$H:$H))</f>
        <v>Rachana Akkineni, Maya Rajan, Alexandra Oancea</v>
      </c>
      <c r="F50" s="4" t="str">
        <f t="array" ref="F50">if(xlookup('number zoo'!J:J,original!$C:$C,original!$H:$H)="NA",xlookup('number zoo'!J:J,original!$C:$C,original!$A:$A),xlookup('number zoo'!J:J,original!$C:$C,original!$H:$H))</f>
        <v>Andrew Zhang, Ian Shone, Benjamin Li</v>
      </c>
      <c r="G50" s="4" t="str">
        <f t="array" ref="G50">if(xlookup('number zoo'!K:K,original!$C:$C,original!$H:$H)="NA",xlookup('number zoo'!K:K,original!$C:$C,original!$A:$A),xlookup('number zoo'!K:K,original!$C:$C,original!$H:$H))</f>
        <v>Aleeza</v>
      </c>
      <c r="H50" s="4" t="str">
        <f t="array" ref="H50">xlookup('number zoo'!L:L,original!$C:$C,original!$H:$H)</f>
        <v>Blake Bhavsar, Nikhil srinivasan and Silas fletcher </v>
      </c>
    </row>
    <row r="51">
      <c r="A51" s="4" t="str">
        <f t="array" ref="A51">xlookup('number zoo'!D:D,Sheet2!B:B,Sheet2!A:A)</f>
        <v>Start-Up Business Plan (ESB)</v>
      </c>
      <c r="B51" s="4" t="str">
        <f t="array" ref="B51">if(xlookup('number zoo'!F:F,original!C:C,original!H:H)="NA",xlookup('number zoo'!F:F,original!C:C,original!A:A),xlookup('number zoo'!F:F,original!C:C,original!H:H))</f>
        <v>Shrey Birmiwal, Dhiyaan Nirmal, Shaurya Pathania</v>
      </c>
      <c r="C51" s="4" t="str">
        <f t="array" ref="C51">if(xlookup('number zoo'!G:G,original!$C:$C,original!$H:$H)="NA",xlookup('number zoo'!G:G,original!$C:$C,original!$A:$A),xlookup('number zoo'!G:G,original!$C:$C,original!$H:$H))</f>
        <v>Abhinay Laggeri, Anmol Ranjan, Siddarth Gunasekar</v>
      </c>
      <c r="D51" s="4" t="str">
        <f t="array" ref="D51">if(xlookup('number zoo'!H:H,original!$C:$C,original!$H:$H)="NA",xlookup('number zoo'!H:H,original!$C:$C,original!$A:$A),xlookup('number zoo'!H:H,original!$C:$C,original!$H:$H))</f>
        <v>Chahat Maheshwari, Diya Trivedi, Aarya Kale</v>
      </c>
      <c r="E51" s="4" t="str">
        <f t="array" ref="E51">if(xlookup('number zoo'!I:I,original!$C:$C,original!$H:$H)="NA",xlookup('number zoo'!I:I,original!$C:$C,original!$A:$A),xlookup('number zoo'!I:I,original!$C:$C,original!$H:$H))</f>
        <v>Aarya Kale, Chahat Maheshwari, Diya Trivedi </v>
      </c>
      <c r="F51" s="4" t="str">
        <f t="array" ref="F51">if(xlookup('number zoo'!J:J,original!$C:$C,original!$H:$H)="NA",xlookup('number zoo'!J:J,original!$C:$C,original!$A:$A),xlookup('number zoo'!J:J,original!$C:$C,original!$H:$H))</f>
        <v>Basil Vinesh, Marcus Fung, Andrew Feng</v>
      </c>
      <c r="G51" s="4" t="str">
        <f t="array" ref="G51">if(xlookup('number zoo'!K:K,original!$C:$C,original!$H:$H)="NA",xlookup('number zoo'!K:K,original!$C:$C,original!$A:$A),xlookup('number zoo'!K:K,original!$C:$C,original!$H:$H))</f>
        <v>Anika Aslesh, Sanjana Aslesh, Dhiya Balajee</v>
      </c>
      <c r="H51" s="4" t="str">
        <f t="array" ref="H51">xlookup('number zoo'!L:L,original!$C:$C,original!$H:$H)</f>
        <v>Anika Aslesh, Sanjana Aslesh, Dhiya Balajee</v>
      </c>
    </row>
    <row r="52">
      <c r="A52" s="4" t="str">
        <f t="array" ref="A52">xlookup('number zoo'!D:D,Sheet2!B:B,Sheet2!A:A)</f>
        <v>Travel and Tourism (TTDM)</v>
      </c>
      <c r="B52" s="4" t="str">
        <f t="array" ref="B52">if(xlookup('number zoo'!F:F,original!C:C,original!H:H)="NA",xlookup('number zoo'!F:F,original!C:C,original!A:A),xlookup('number zoo'!F:F,original!C:C,original!H:H))</f>
        <v>Marlene Luo, Shruthi Srikanth</v>
      </c>
      <c r="C52" s="4" t="str">
        <f t="array" ref="C52">if(xlookup('number zoo'!G:G,original!$C:$C,original!$H:$H)="NA",xlookup('number zoo'!G:G,original!$C:$C,original!$A:$A),xlookup('number zoo'!G:G,original!$C:$C,original!$H:$H))</f>
        <v>Samhita Guntakala, Shrika Prakash</v>
      </c>
      <c r="D52" s="4" t="str">
        <f t="array" ref="D52">if(xlookup('number zoo'!H:H,original!$C:$C,original!$H:$H)="NA",xlookup('number zoo'!H:H,original!$C:$C,original!$A:$A),xlookup('number zoo'!H:H,original!$C:$C,original!$H:$H))</f>
        <v>Helen Zhang, William Zhang</v>
      </c>
      <c r="E52" s="4" t="str">
        <f t="array" ref="E52">if(xlookup('number zoo'!I:I,original!$C:$C,original!$H:$H)="NA",xlookup('number zoo'!I:I,original!$C:$C,original!$A:$A),xlookup('number zoo'!I:I,original!$C:$C,original!$H:$H))</f>
        <v>Siddhanth Ramachandran, Aayush Vishnoi</v>
      </c>
      <c r="F52" s="4" t="str">
        <f t="array" ref="F52">if(xlookup('number zoo'!J:J,original!$C:$C,original!$H:$H)="NA",xlookup('number zoo'!J:J,original!$C:$C,original!$A:$A),xlookup('number zoo'!J:J,original!$C:$C,original!$H:$H))</f>
        <v>Akaash Reddy, Nirvik Pande</v>
      </c>
      <c r="G52" s="4" t="str">
        <f t="array" ref="G52">if(xlookup('number zoo'!K:K,original!$C:$C,original!$H:$H)="NA",xlookup('number zoo'!K:K,original!$C:$C,original!$A:$A),xlookup('number zoo'!K:K,original!$C:$C,original!$H:$H))</f>
        <v>Riya Chauhan, Anella Mason</v>
      </c>
      <c r="H52" s="4" t="str">
        <f t="array" ref="H52">xlookup('number zoo'!L:L,original!$C:$C,original!$H:$H)</f>
        <v>Ali Aslam, Shiven Makkar</v>
      </c>
    </row>
  </sheetData>
  <drawing r:id="rId1"/>
</worksheet>
</file>