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yla/Documents/Syracuse University/Dynamic Sustainability/Python/Final/"/>
    </mc:Choice>
  </mc:AlternateContent>
  <xr:revisionPtr revIDLastSave="0" documentId="13_ncr:1_{A511EE7D-BDDC-6443-A072-5186732D444E}" xr6:coauthVersionLast="47" xr6:coauthVersionMax="47" xr10:uidLastSave="{00000000-0000-0000-0000-000000000000}"/>
  <bookViews>
    <workbookView xWindow="540" yWindow="500" windowWidth="27640" windowHeight="16360" activeTab="5" xr2:uid="{E101A25D-5EA8-8B4A-8263-F2D7063F37BC}"/>
  </bookViews>
  <sheets>
    <sheet name="All" sheetId="1" r:id="rId1"/>
    <sheet name="Green" sheetId="2" r:id="rId2"/>
    <sheet name="Environmental" sheetId="3" r:id="rId3"/>
    <sheet name="Social" sheetId="4" r:id="rId4"/>
    <sheet name="Economic" sheetId="5" r:id="rId5"/>
    <sheet name="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9" i="5" l="1"/>
  <c r="K98" i="5"/>
  <c r="K97" i="5"/>
  <c r="K96" i="5"/>
  <c r="K95" i="5"/>
  <c r="K94" i="5"/>
  <c r="K93" i="5"/>
  <c r="K92" i="5"/>
  <c r="K91" i="5"/>
  <c r="K90" i="5"/>
  <c r="K89" i="5"/>
  <c r="K88" i="5"/>
  <c r="K87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69" i="5"/>
  <c r="K68" i="5"/>
  <c r="K67" i="5"/>
  <c r="K66" i="5"/>
  <c r="K65" i="5"/>
  <c r="K63" i="5"/>
  <c r="K62" i="5"/>
  <c r="K61" i="5"/>
  <c r="K60" i="5"/>
  <c r="K58" i="5"/>
  <c r="K57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69" i="2"/>
  <c r="AA68" i="2"/>
  <c r="AA67" i="2"/>
  <c r="AA66" i="2"/>
  <c r="AA65" i="2"/>
  <c r="AA63" i="2"/>
  <c r="AA62" i="2"/>
  <c r="AA61" i="2"/>
  <c r="AA60" i="2"/>
  <c r="AA58" i="2"/>
  <c r="AA57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C225" i="1"/>
  <c r="AC224" i="1"/>
  <c r="AC223" i="1"/>
  <c r="AC222" i="1"/>
  <c r="AC220" i="1"/>
  <c r="AC219" i="1"/>
  <c r="AC218" i="1"/>
  <c r="AC217" i="1"/>
  <c r="AC216" i="1"/>
  <c r="AC215" i="1"/>
  <c r="AC214" i="1"/>
  <c r="AC212" i="1"/>
  <c r="AC211" i="1"/>
  <c r="AC210" i="1"/>
  <c r="AC208" i="1"/>
  <c r="AC207" i="1"/>
  <c r="AC206" i="1"/>
  <c r="AC205" i="1"/>
  <c r="AC204" i="1"/>
  <c r="AC203" i="1"/>
  <c r="AC202" i="1"/>
  <c r="AC201" i="1"/>
  <c r="AC200" i="1"/>
  <c r="AC199" i="1"/>
  <c r="AC198" i="1"/>
  <c r="AC196" i="1"/>
  <c r="AC195" i="1"/>
  <c r="AC193" i="1"/>
  <c r="AC191" i="1"/>
  <c r="AC189" i="1"/>
  <c r="AC188" i="1"/>
  <c r="AC186" i="1"/>
  <c r="AC184" i="1"/>
  <c r="AC183" i="1"/>
  <c r="AC182" i="1"/>
  <c r="AC181" i="1"/>
  <c r="AC180" i="1"/>
  <c r="AC179" i="1"/>
  <c r="AC177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4" i="1"/>
  <c r="AC153" i="1"/>
  <c r="AC151" i="1"/>
  <c r="AC150" i="1"/>
  <c r="AC148" i="1"/>
  <c r="AC147" i="1"/>
  <c r="AC145" i="1"/>
  <c r="AC144" i="1"/>
  <c r="AC143" i="1"/>
  <c r="AC142" i="1"/>
  <c r="AC141" i="1"/>
  <c r="AC139" i="1"/>
  <c r="AC138" i="1"/>
  <c r="AC137" i="1"/>
  <c r="AC135" i="1"/>
  <c r="AC134" i="1"/>
  <c r="AC133" i="1"/>
  <c r="AC132" i="1"/>
  <c r="AC131" i="1"/>
  <c r="AC130" i="1"/>
  <c r="AC129" i="1"/>
  <c r="AC127" i="1"/>
  <c r="AC126" i="1"/>
  <c r="AC124" i="1"/>
  <c r="AC123" i="1"/>
  <c r="AC122" i="1"/>
  <c r="AC121" i="1"/>
  <c r="AC119" i="1"/>
  <c r="AC118" i="1"/>
  <c r="AC117" i="1"/>
  <c r="AC115" i="1"/>
  <c r="AC114" i="1"/>
  <c r="AC113" i="1"/>
  <c r="AC112" i="1"/>
  <c r="AC109" i="1"/>
  <c r="AC108" i="1"/>
  <c r="AC107" i="1"/>
  <c r="AC106" i="1"/>
  <c r="AC105" i="1"/>
  <c r="AC104" i="1"/>
  <c r="AC102" i="1"/>
  <c r="AC101" i="1"/>
  <c r="AC99" i="1"/>
  <c r="AC98" i="1"/>
  <c r="AC97" i="1"/>
  <c r="AC96" i="1"/>
  <c r="AC95" i="1"/>
  <c r="AC94" i="1"/>
  <c r="AC93" i="1"/>
  <c r="AC92" i="1"/>
  <c r="AC91" i="1"/>
  <c r="AC90" i="1"/>
  <c r="AC89" i="1"/>
  <c r="AC87" i="1"/>
  <c r="AC86" i="1"/>
  <c r="AC84" i="1"/>
  <c r="AC82" i="1"/>
  <c r="AC80" i="1"/>
  <c r="AC79" i="1"/>
  <c r="AC78" i="1"/>
  <c r="AC76" i="1"/>
  <c r="AC74" i="1"/>
  <c r="AC73" i="1"/>
  <c r="AC72" i="1"/>
  <c r="AC70" i="1"/>
  <c r="AC69" i="1"/>
  <c r="AC68" i="1"/>
  <c r="R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2" i="1"/>
  <c r="AC51" i="1"/>
  <c r="AC50" i="1"/>
  <c r="AC49" i="1"/>
  <c r="AC48" i="1"/>
  <c r="AC47" i="1"/>
  <c r="AC46" i="1"/>
  <c r="AC44" i="1"/>
  <c r="AC43" i="1"/>
  <c r="AC40" i="1"/>
  <c r="AC39" i="1"/>
  <c r="AC38" i="1"/>
  <c r="AC37" i="1"/>
  <c r="AC36" i="1"/>
  <c r="AC35" i="1"/>
  <c r="AC34" i="1"/>
  <c r="AC33" i="1"/>
  <c r="AC31" i="1"/>
  <c r="AC30" i="1"/>
  <c r="AC29" i="1"/>
  <c r="AC28" i="1"/>
  <c r="AC27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tc={E370BE27-C4E6-2B4D-AB18-CC74521408C2}</author>
    <author>tc={9402A6B1-916C-F944-9F5D-C9EAA33FE2B4}</author>
    <author>tc={A135DDC8-287F-5D42-A39C-CD902A4B2F0F}</author>
    <author>tc={897D24FA-E8F3-D74C-85C2-34F632265478}</author>
    <author>tc={DBCC412D-8DBA-AA47-A0BC-9C9B2887BF59}</author>
    <author>tc={55851A1E-E718-0D4F-A99F-147FE92A656E}</author>
    <author>tc={8F4E553A-888D-DA42-9375-7A0BA9708246}</author>
    <author>tc={1924A1F9-E04B-144A-A8F1-C4D1E1457CA2}</author>
    <author>tc={63C32C72-3AC8-1546-871E-E184772CBB3B}</author>
    <author>tc={38FA11F1-50F3-5040-8718-2F9F0AD46815}</author>
    <author>tc={014C71B4-BB44-BF4C-8599-44748167D1B5}</author>
    <author>tc={77C75B5B-4E26-3D4D-B432-ADE44DED4F0A}</author>
    <author>tc={15EA3A34-5408-E443-A66E-3D8C483016FD}</author>
    <author>tc={E48815AE-A11A-A849-A9D4-D5B5BB98C0EA}</author>
    <author>tc={035C5743-4CC2-E447-BFB5-25E967F24181}</author>
    <author>tc={E9DE748A-6001-AB4D-ADC8-319084D74782}</author>
    <author>tc={226602D2-F6F0-4049-841F-BEF1171A80BA}</author>
    <author>tc={F2EB6603-D15F-D942-8F0A-3003367763FE}</author>
  </authors>
  <commentList>
    <comment ref="H1" authorId="0" shapeId="0" xr:uid="{0AFEFF57-B8A9-5A4B-A222-D8936C868915}">
      <text>
        <r>
          <rPr>
            <sz val="12"/>
            <color rgb="FF000000"/>
            <rFont val="Calibri"/>
            <family val="2"/>
          </rPr>
          <t xml:space="preserve">======
</t>
        </r>
        <r>
          <rPr>
            <sz val="12"/>
            <color rgb="FF000000"/>
            <rFont val="Calibri"/>
            <family val="2"/>
          </rPr>
          <t xml:space="preserve">ID#AAAAlVdWHCM
</t>
        </r>
        <r>
          <rPr>
            <sz val="12"/>
            <color rgb="FF000000"/>
            <rFont val="Calibri"/>
            <family val="2"/>
          </rPr>
          <t xml:space="preserve">Kayla Johnson    (2022-12-13 20:18:51)
</t>
        </r>
        <r>
          <rPr>
            <sz val="12"/>
            <color rgb="FF000000"/>
            <rFont val="Calibri"/>
            <family val="2"/>
          </rPr>
          <t>What is this measured out of?</t>
        </r>
      </text>
    </comment>
    <comment ref="K1" authorId="1" shapeId="0" xr:uid="{E370BE27-C4E6-2B4D-AB18-CC74521408C2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Bloomberg</t>
      </text>
    </comment>
    <comment ref="N1" authorId="0" shapeId="0" xr:uid="{7E66C9FF-8E73-0349-97D5-EE0C3A08C3A6}">
      <text>
        <r>
          <rPr>
            <sz val="12"/>
            <color rgb="FF000000"/>
            <rFont val="Calibri"/>
            <family val="2"/>
          </rPr>
          <t xml:space="preserve">======
</t>
        </r>
        <r>
          <rPr>
            <sz val="12"/>
            <color rgb="FF000000"/>
            <rFont val="Calibri"/>
            <family val="2"/>
          </rPr>
          <t xml:space="preserve">ID#AAAAlVdWHCY
</t>
        </r>
        <r>
          <rPr>
            <sz val="12"/>
            <color rgb="FF000000"/>
            <rFont val="Calibri"/>
            <family val="2"/>
          </rPr>
          <t xml:space="preserve">Kayla Johnson    (2022-12-13 20:52:11)
</t>
        </r>
        <r>
          <rPr>
            <sz val="12"/>
            <color rgb="FF000000"/>
            <rFont val="Calibri"/>
            <family val="2"/>
          </rPr>
          <t>What are these measured out of?</t>
        </r>
      </text>
    </comment>
    <comment ref="O1" authorId="2" shapeId="0" xr:uid="{9402A6B1-916C-F944-9F5D-C9EAA33FE2B4}">
      <text>
        <t>[Threaded comment]
Your version of Excel allows you to read this threaded comment; however, any edits to it will get removed if the file is opened in a newer version of Excel. Learn more: https://go.microsoft.com/fwlink/?linkid=870924
Comment:
    Find missing data</t>
      </text>
    </comment>
    <comment ref="U1" authorId="3" shapeId="0" xr:uid="{A135DDC8-287F-5D42-A39C-CD902A4B2F0F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are there so many missing metrics here?</t>
      </text>
    </comment>
    <comment ref="V1" authorId="4" shapeId="0" xr:uid="{897D24FA-E8F3-D74C-85C2-34F632265478}">
      <text>
        <t>[Threaded comment]
Your version of Excel allows you to read this threaded comment; however, any edits to it will get removed if the file is opened in a newer version of Excel. Learn more: https://go.microsoft.com/fwlink/?linkid=870924
Comment:
    Decide which one</t>
      </text>
    </comment>
    <comment ref="AG1" authorId="5" shapeId="0" xr:uid="{DBCC412D-8DBA-AA47-A0BC-9C9B2887BF59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Bloomberg</t>
      </text>
    </comment>
    <comment ref="AK1" authorId="6" shapeId="0" xr:uid="{55851A1E-E718-0D4F-A99F-147FE92A656E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in definition list</t>
      </text>
    </comment>
    <comment ref="AL1" authorId="0" shapeId="0" xr:uid="{93EA0C1C-12D2-EA40-8019-596ECC973DDA}">
      <text>
        <r>
          <rPr>
            <sz val="12"/>
            <color rgb="FF000000"/>
            <rFont val="Calibri"/>
            <family val="2"/>
          </rPr>
          <t xml:space="preserve">======
</t>
        </r>
        <r>
          <rPr>
            <sz val="12"/>
            <color rgb="FF000000"/>
            <rFont val="Calibri"/>
            <family val="2"/>
          </rPr>
          <t xml:space="preserve">ID#AAAAkplYFB0
</t>
        </r>
        <r>
          <rPr>
            <sz val="12"/>
            <color rgb="FF000000"/>
            <rFont val="Calibri"/>
            <family val="2"/>
          </rPr>
          <t xml:space="preserve">Adiba Alam    (2022-12-02 14:23:46)
</t>
        </r>
        <r>
          <rPr>
            <sz val="12"/>
            <color rgb="FF000000"/>
            <rFont val="Calibri"/>
            <family val="2"/>
          </rPr>
          <t>Sylvera?</t>
        </r>
      </text>
    </comment>
    <comment ref="AN1" authorId="7" shapeId="0" xr:uid="{8F4E553A-888D-DA42-9375-7A0BA9708246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did we list this as social again?</t>
      </text>
    </comment>
    <comment ref="AQ1" authorId="8" shapeId="0" xr:uid="{1924A1F9-E04B-144A-A8F1-C4D1E1457CA2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to variable definitions</t>
      </text>
    </comment>
    <comment ref="AL2" authorId="9" shapeId="0" xr:uid="{63C32C72-3AC8-1546-871E-E184772CBB3B}">
      <text>
        <t>[Threaded comment]
Your version of Excel allows you to read this threaded comment; however, any edits to it will get removed if the file is opened in a newer version of Excel. Learn more: https://go.microsoft.com/fwlink/?linkid=870924
Comment:
    Will probably just focus on the number of project due to the lack of data</t>
      </text>
    </comment>
    <comment ref="A4" authorId="10" shapeId="0" xr:uid="{38FA11F1-50F3-5040-8718-2F9F0AD46815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year</t>
      </text>
    </comment>
    <comment ref="AH25" authorId="11" shapeId="0" xr:uid="{014C71B4-BB44-BF4C-8599-44748167D1B5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third source: https://united4efficiency.org/country-assessments/benin/</t>
      </text>
    </comment>
    <comment ref="AH28" authorId="12" shapeId="0" xr:uid="{77C75B5B-4E26-3D4D-B432-ADE44DED4F0A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third source: https://united4efficiency.org/country-assessments/bolivia/</t>
      </text>
    </comment>
    <comment ref="AA91" authorId="13" shapeId="0" xr:uid="{15EA3A34-5408-E443-A66E-3D8C483016F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2023 data so used 2021 data</t>
      </text>
    </comment>
    <comment ref="AG114" authorId="0" shapeId="0" xr:uid="{3680647B-C089-7C4E-B8EF-714DE753ACBE}">
      <text>
        <r>
          <rPr>
            <sz val="12"/>
            <color theme="1"/>
            <rFont val="Calibri"/>
            <family val="2"/>
            <scheme val="minor"/>
          </rPr>
          <t>======
ID#AAAAllfgBrA
Kayla Johnson    (2022-12-05 12:49:24)
Import dependency ratio =19% in 2020 according to https://www.eria.org/uploads/media/Research-Project-Report/Lao-Energy-Outlook-2020/Lao-PDR-Energy-Outlook-2020.pdf</t>
        </r>
      </text>
    </comment>
    <comment ref="Z116" authorId="14" shapeId="0" xr:uid="{E48815AE-A11A-A849-A9D4-D5B5BB98C0EA}">
      <text>
        <t>[Threaded comment]
Your version of Excel allows you to read this threaded comment; however, any edits to it will get removed if the file is opened in a newer version of Excel. Learn more: https://go.microsoft.com/fwlink/?linkid=870924
Comment:
    Older data from IMF</t>
      </text>
    </comment>
    <comment ref="AH138" authorId="15" shapeId="0" xr:uid="{035C5743-4CC2-E447-BFB5-25E967F24181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Eurostate and converted to USD</t>
      </text>
    </comment>
    <comment ref="AA187" authorId="16" shapeId="0" xr:uid="{E9DE748A-6001-AB4D-ADC8-319084D74782}">
      <text>
        <t>[Threaded comment]
Your version of Excel allows you to read this threaded comment; however, any edits to it will get removed if the file is opened in a newer version of Excel. Learn more: https://go.microsoft.com/fwlink/?linkid=870924
Comment:
    Older metric</t>
      </text>
    </comment>
    <comment ref="AA219" authorId="17" shapeId="0" xr:uid="{226602D2-F6F0-4049-841F-BEF1171A80BA}">
      <text>
        <t>[Threaded comment]
Your version of Excel allows you to read this threaded comment; however, any edits to it will get removed if the file is opened in a newer version of Excel. Learn more: https://go.microsoft.com/fwlink/?linkid=870924
Comment:
    Older metric</t>
      </text>
    </comment>
    <comment ref="AA224" authorId="18" shapeId="0" xr:uid="{F2EB6603-D15F-D942-8F0A-3003367763FE}">
      <text>
        <t>[Threaded comment]
Your version of Excel allows you to read this threaded comment; however, any edits to it will get removed if the file is opened in a newer version of Excel. Learn more: https://go.microsoft.com/fwlink/?linkid=870924
Comment:
    Older IMF metric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tc={AB2C1FD7-83F9-7B48-8D16-A22F924FF602}</author>
    <author>tc={9083223F-8225-C745-8E1A-3DAB0FF470B7}</author>
    <author>tc={A21F446C-C8B6-674D-8D7B-3AEB1A06AF3A}</author>
    <author>tc={5078FEE4-102C-5B4D-965E-CD9E9077D6B3}</author>
    <author>tc={13026687-A1BF-2E46-8859-40671FD97A8E}</author>
    <author>tc={46D6ED65-17CB-334D-B8CB-D36C801D575D}</author>
    <author>tc={EA74359D-8537-6446-808D-B9AEC2ADE726}</author>
    <author>tc={323EF04E-41D6-8E4F-A3AB-4F6B3A964D05}</author>
    <author>tc={3F4AC4F7-B67F-DC4D-B068-97B8AF7F2568}</author>
    <author>tc={F01046F8-1579-B042-96B0-BFE4FFCC2C4F}</author>
    <author>tc={7814AA10-0195-8541-B406-F6AEDDE9BB42}</author>
    <author>tc={AEFB717D-3CA3-DA48-B597-92780A425B44}</author>
    <author>tc={96B795D1-2C5F-1549-B337-D52E58FEA527}</author>
    <author>tc={8E1B402B-B7BB-DB4B-9570-2DD1066B7A6F}</author>
    <author>tc={6490CCD6-497B-2742-9C35-B03927A30900}</author>
    <author>tc={F6CE9C8A-76C9-C941-92E9-17AEB26CE75C}</author>
    <author>tc={E60CD340-AADA-B445-BC35-961B048683B1}</author>
    <author>tc={7DF066FA-FD4C-6043-9A0A-67FD2317BC8C}</author>
  </authors>
  <commentList>
    <comment ref="H1" authorId="0" shapeId="0" xr:uid="{D9523D1D-AB5F-8640-BD3F-00F5C889C5AF}">
      <text>
        <r>
          <rPr>
            <sz val="12"/>
            <color rgb="FF000000"/>
            <rFont val="Calibri"/>
            <family val="2"/>
          </rPr>
          <t xml:space="preserve">======
</t>
        </r>
        <r>
          <rPr>
            <sz val="12"/>
            <color rgb="FF000000"/>
            <rFont val="Calibri"/>
            <family val="2"/>
          </rPr>
          <t xml:space="preserve">ID#AAAAlVdWHCM
</t>
        </r>
        <r>
          <rPr>
            <sz val="12"/>
            <color rgb="FF000000"/>
            <rFont val="Calibri"/>
            <family val="2"/>
          </rPr>
          <t xml:space="preserve">Kayla Johnson    (2022-12-13 20:18:51)
</t>
        </r>
        <r>
          <rPr>
            <sz val="12"/>
            <color rgb="FF000000"/>
            <rFont val="Calibri"/>
            <family val="2"/>
          </rPr>
          <t>What is this measured out of?</t>
        </r>
      </text>
    </comment>
    <comment ref="K1" authorId="1" shapeId="0" xr:uid="{AB2C1FD7-83F9-7B48-8D16-A22F924FF602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Bloomberg</t>
      </text>
    </comment>
    <comment ref="N1" authorId="0" shapeId="0" xr:uid="{D40A8755-1943-4F44-97F7-7C9A3DFFF467}">
      <text>
        <r>
          <rPr>
            <sz val="12"/>
            <color rgb="FF000000"/>
            <rFont val="Calibri"/>
            <family val="2"/>
          </rPr>
          <t xml:space="preserve">======
</t>
        </r>
        <r>
          <rPr>
            <sz val="12"/>
            <color rgb="FF000000"/>
            <rFont val="Calibri"/>
            <family val="2"/>
          </rPr>
          <t xml:space="preserve">ID#AAAAlVdWHCY
</t>
        </r>
        <r>
          <rPr>
            <sz val="12"/>
            <color rgb="FF000000"/>
            <rFont val="Calibri"/>
            <family val="2"/>
          </rPr>
          <t xml:space="preserve">Kayla Johnson    (2022-12-13 20:52:11)
</t>
        </r>
        <r>
          <rPr>
            <sz val="12"/>
            <color rgb="FF000000"/>
            <rFont val="Calibri"/>
            <family val="2"/>
          </rPr>
          <t>What are these measured out of?</t>
        </r>
      </text>
    </comment>
    <comment ref="O1" authorId="2" shapeId="0" xr:uid="{9083223F-8225-C745-8E1A-3DAB0FF470B7}">
      <text>
        <t>[Threaded comment]
Your version of Excel allows you to read this threaded comment; however, any edits to it will get removed if the file is opened in a newer version of Excel. Learn more: https://go.microsoft.com/fwlink/?linkid=870924
Comment:
    Find missing data</t>
      </text>
    </comment>
    <comment ref="U1" authorId="3" shapeId="0" xr:uid="{A21F446C-C8B6-674D-8D7B-3AEB1A06AF3A}">
      <text>
        <t>[Threaded comment]
Your version of Excel allows you to read this threaded comment; however, any edits to it will get removed if the file is opened in a newer version of Excel. Learn more: https://go.microsoft.com/fwlink/?linkid=870924
Comment:
    Decide which one</t>
      </text>
    </comment>
    <comment ref="AE1" authorId="4" shapeId="0" xr:uid="{5078FEE4-102C-5B4D-965E-CD9E9077D6B3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Bloomberg</t>
      </text>
    </comment>
    <comment ref="AI1" authorId="5" shapeId="0" xr:uid="{13026687-A1BF-2E46-8859-40671FD97A8E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in definition list</t>
      </text>
    </comment>
    <comment ref="AM1" authorId="6" shapeId="0" xr:uid="{46D6ED65-17CB-334D-B8CB-D36C801D575D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to variable definitions</t>
      </text>
    </comment>
    <comment ref="A4" authorId="7" shapeId="0" xr:uid="{EA74359D-8537-6446-808D-B9AEC2ADE726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year</t>
      </text>
    </comment>
    <comment ref="AF13" authorId="8" shapeId="0" xr:uid="{323EF04E-41D6-8E4F-A3AB-4F6B3A964D05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third source: https://united4efficiency.org/country-assessments/benin/</t>
      </text>
    </comment>
    <comment ref="AF14" authorId="9" shapeId="0" xr:uid="{3F4AC4F7-B67F-DC4D-B068-97B8AF7F2568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third source: https://united4efficiency.org/country-assessments/bolivia/</t>
      </text>
    </comment>
    <comment ref="Z42" authorId="10" shapeId="0" xr:uid="{F01046F8-1579-B042-96B0-BFE4FFCC2C4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2023 data so used 2021 data</t>
      </text>
    </comment>
    <comment ref="AE55" authorId="0" shapeId="0" xr:uid="{A409209E-655D-3941-8C17-1BBC8F5F7636}">
      <text>
        <r>
          <rPr>
            <sz val="12"/>
            <color theme="1"/>
            <rFont val="Calibri"/>
            <family val="2"/>
            <scheme val="minor"/>
          </rPr>
          <t>======
ID#AAAAllfgBrA
Kayla Johnson    (2022-12-05 12:49:24)
Import dependency ratio =19% in 2020 according to https://www.eria.org/uploads/media/Research-Project-Report/Lao-Energy-Outlook-2020/Lao-PDR-Energy-Outlook-2020.pdf</t>
        </r>
      </text>
    </comment>
    <comment ref="Y56" authorId="11" shapeId="0" xr:uid="{7814AA10-0195-8541-B406-F6AEDDE9BB42}">
      <text>
        <t>[Threaded comment]
Your version of Excel allows you to read this threaded comment; however, any edits to it will get removed if the file is opened in a newer version of Excel. Learn more: https://go.microsoft.com/fwlink/?linkid=870924
Comment:
    Older data from IMF</t>
      </text>
    </comment>
    <comment ref="AA56" authorId="12" shapeId="0" xr:uid="{AEFB717D-3CA3-DA48-B597-92780A425B44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WB</t>
      </text>
    </comment>
    <comment ref="AF62" authorId="13" shapeId="0" xr:uid="{96B795D1-2C5F-1549-B337-D52E58FEA527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Eurostate and converted to USD</t>
      </text>
    </comment>
    <comment ref="AA70" authorId="14" shapeId="0" xr:uid="{8E1B402B-B7BB-DB4B-9570-2DD1066B7A6F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WB</t>
      </text>
    </comment>
    <comment ref="Z86" authorId="15" shapeId="0" xr:uid="{6490CCD6-497B-2742-9C35-B03927A30900}">
      <text>
        <t>[Threaded comment]
Your version of Excel allows you to read this threaded comment; however, any edits to it will get removed if the file is opened in a newer version of Excel. Learn more: https://go.microsoft.com/fwlink/?linkid=870924
Comment:
    Older metric</t>
      </text>
    </comment>
    <comment ref="AA86" authorId="16" shapeId="0" xr:uid="{F6CE9C8A-76C9-C941-92E9-17AEB26C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WB</t>
      </text>
    </comment>
    <comment ref="Z97" authorId="17" shapeId="0" xr:uid="{E60CD340-AADA-B445-BC35-961B048683B1}">
      <text>
        <t>[Threaded comment]
Your version of Excel allows you to read this threaded comment; however, any edits to it will get removed if the file is opened in a newer version of Excel. Learn more: https://go.microsoft.com/fwlink/?linkid=870924
Comment:
    Older metric</t>
      </text>
    </comment>
    <comment ref="Z99" authorId="18" shapeId="0" xr:uid="{7DF066FA-FD4C-6043-9A0A-67FD2317BC8C}">
      <text>
        <t>[Threaded comment]
Your version of Excel allows you to read this threaded comment; however, any edits to it will get removed if the file is opened in a newer version of Excel. Learn more: https://go.microsoft.com/fwlink/?linkid=870924
Comment:
    Older IMF metric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tc={33F8540E-2E5D-7F42-A461-981732355B2F}</author>
    <author>tc={42C85F20-A764-3841-B774-97216B8696A1}</author>
    <author>tc={9B4107CC-A9F6-A44A-9BCA-75469F48C06A}</author>
  </authors>
  <commentList>
    <comment ref="J1" authorId="0" shapeId="0" xr:uid="{33F8540E-2E5D-7F42-A461-981732355B2F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in definition list</t>
      </text>
    </comment>
    <comment ref="K1" authorId="1" shapeId="0" xr:uid="{42C85F20-A764-3841-B774-97216B8696A1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to variable definitions</t>
      </text>
    </comment>
    <comment ref="A4" authorId="2" shapeId="0" xr:uid="{9B4107CC-A9F6-A44A-9BCA-75469F48C06A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tc={FB308260-552C-E648-9FE9-DAEF1AFD27E1}</author>
    <author>tc={C7056DFA-8EE1-3B45-A7A7-F4ADC343438C}</author>
    <author>tc={A195305A-EECE-6B40-B105-6D78686C3438}</author>
  </authors>
  <commentList>
    <comment ref="B1" authorId="0" shapeId="0" xr:uid="{61186912-0302-D544-B524-36477FAAEAF7}">
      <text>
        <r>
          <rPr>
            <sz val="12"/>
            <color rgb="FF000000"/>
            <rFont val="Calibri"/>
            <family val="2"/>
          </rPr>
          <t xml:space="preserve">======
</t>
        </r>
        <r>
          <rPr>
            <sz val="12"/>
            <color rgb="FF000000"/>
            <rFont val="Calibri"/>
            <family val="2"/>
          </rPr>
          <t xml:space="preserve">ID#AAAAlVdWHCM
</t>
        </r>
        <r>
          <rPr>
            <sz val="12"/>
            <color rgb="FF000000"/>
            <rFont val="Calibri"/>
            <family val="2"/>
          </rPr>
          <t xml:space="preserve">Kayla Johnson    (2022-12-13 20:18:51)
</t>
        </r>
        <r>
          <rPr>
            <sz val="12"/>
            <color rgb="FF000000"/>
            <rFont val="Calibri"/>
            <family val="2"/>
          </rPr>
          <t>What is this measured out of?</t>
        </r>
      </text>
    </comment>
    <comment ref="D1" authorId="0" shapeId="0" xr:uid="{422ED097-F615-7840-A198-BCB08033F60E}">
      <text>
        <r>
          <rPr>
            <sz val="12"/>
            <color rgb="FF000000"/>
            <rFont val="Calibri"/>
            <family val="2"/>
          </rPr>
          <t xml:space="preserve">======
</t>
        </r>
        <r>
          <rPr>
            <sz val="12"/>
            <color rgb="FF000000"/>
            <rFont val="Calibri"/>
            <family val="2"/>
          </rPr>
          <t xml:space="preserve">ID#AAAAlVdWHCY
</t>
        </r>
        <r>
          <rPr>
            <sz val="12"/>
            <color rgb="FF000000"/>
            <rFont val="Calibri"/>
            <family val="2"/>
          </rPr>
          <t xml:space="preserve">Kayla Johnson    (2022-12-13 20:52:11)
</t>
        </r>
        <r>
          <rPr>
            <sz val="12"/>
            <color rgb="FF000000"/>
            <rFont val="Calibri"/>
            <family val="2"/>
          </rPr>
          <t>What are these measured out of?</t>
        </r>
      </text>
    </comment>
    <comment ref="E1" authorId="1" shapeId="0" xr:uid="{FB308260-552C-E648-9FE9-DAEF1AFD27E1}">
      <text>
        <t>[Threaded comment]
Your version of Excel allows you to read this threaded comment; however, any edits to it will get removed if the file is opened in a newer version of Excel. Learn more: https://go.microsoft.com/fwlink/?linkid=870924
Comment:
    Find missing data</t>
      </text>
    </comment>
    <comment ref="I1" authorId="2" shapeId="0" xr:uid="{C7056DFA-8EE1-3B45-A7A7-F4ADC343438C}">
      <text>
        <t>[Threaded comment]
Your version of Excel allows you to read this threaded comment; however, any edits to it will get removed if the file is opened in a newer version of Excel. Learn more: https://go.microsoft.com/fwlink/?linkid=870924
Comment:
    Decide which one</t>
      </text>
    </comment>
    <comment ref="A4" authorId="3" shapeId="0" xr:uid="{A195305A-EECE-6B40-B105-6D78686C343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year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tc={3A30C993-FFA6-104A-A70B-DFB1BE06F2E5}</author>
    <author>tc={BA20CCB3-C121-3347-8B05-937D2E872A84}</author>
    <author>tc={D190C26B-2307-424F-8010-906E5A2C6E85}</author>
    <author>tc={CB07312F-6674-8642-8B8E-233381E79A25}</author>
    <author>tc={DD9C48EC-5B16-2B47-B66E-861F272FE43D}</author>
    <author>tc={8FB4FF35-435E-C14C-ACA1-9CAFB550B00F}</author>
    <author>tc={21DAEC3E-7B68-444C-B5DD-B3C3909C78A4}</author>
    <author>tc={E7105EDD-58FE-D242-B769-3E5FD31D1EE0}</author>
    <author>tc={BF63E2FD-3F51-1241-8697-995F638F8B0C}</author>
    <author>tc={57CBF62C-3C5B-7047-A6FC-FB77047CA933}</author>
    <author>tc={9277DA3E-ADCD-AD46-8E65-085335DF1432}</author>
    <author>tc={03F1168B-BE04-9241-83A9-4D1D9BE74E37}</author>
    <author>tc={905EDA9D-A5FD-F347-95A1-99311C7A7046}</author>
  </authors>
  <commentList>
    <comment ref="C1" authorId="0" shapeId="0" xr:uid="{3A30C993-FFA6-104A-A70B-DFB1BE06F2E5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Bloomberg</t>
      </text>
    </comment>
    <comment ref="A4" authorId="1" shapeId="0" xr:uid="{BA20CCB3-C121-3347-8B05-937D2E872A8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year</t>
      </text>
    </comment>
    <comment ref="N13" authorId="2" shapeId="0" xr:uid="{D190C26B-2307-424F-8010-906E5A2C6E85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third source: https://united4efficiency.org/country-assessments/benin/</t>
      </text>
    </comment>
    <comment ref="N14" authorId="3" shapeId="0" xr:uid="{CB07312F-6674-8642-8B8E-233381E79A25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third source: https://united4efficiency.org/country-assessments/bolivia/</t>
      </text>
    </comment>
    <comment ref="J42" authorId="4" shapeId="0" xr:uid="{DD9C48EC-5B16-2B47-B66E-861F272FE43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2023 data so used 2021 data</t>
      </text>
    </comment>
    <comment ref="I56" authorId="5" shapeId="0" xr:uid="{8FB4FF35-435E-C14C-ACA1-9CAFB550B00F}">
      <text>
        <t>[Threaded comment]
Your version of Excel allows you to read this threaded comment; however, any edits to it will get removed if the file is opened in a newer version of Excel. Learn more: https://go.microsoft.com/fwlink/?linkid=870924
Comment:
    Older data from IMF</t>
      </text>
    </comment>
    <comment ref="K56" authorId="6" shapeId="0" xr:uid="{21DAEC3E-7B68-444C-B5DD-B3C3909C78A4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WB</t>
      </text>
    </comment>
    <comment ref="N62" authorId="7" shapeId="0" xr:uid="{E7105EDD-58FE-D242-B769-3E5FD31D1EE0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Eurostate and converted to USD</t>
      </text>
    </comment>
    <comment ref="K70" authorId="8" shapeId="0" xr:uid="{BF63E2FD-3F51-1241-8697-995F638F8B0C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WB</t>
      </text>
    </comment>
    <comment ref="J86" authorId="9" shapeId="0" xr:uid="{57CBF62C-3C5B-7047-A6FC-FB77047CA933}">
      <text>
        <t>[Threaded comment]
Your version of Excel allows you to read this threaded comment; however, any edits to it will get removed if the file is opened in a newer version of Excel. Learn more: https://go.microsoft.com/fwlink/?linkid=870924
Comment:
    Older metric</t>
      </text>
    </comment>
    <comment ref="K86" authorId="10" shapeId="0" xr:uid="{9277DA3E-ADCD-AD46-8E65-085335DF1432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WB</t>
      </text>
    </comment>
    <comment ref="J97" authorId="11" shapeId="0" xr:uid="{03F1168B-BE04-9241-83A9-4D1D9BE74E37}">
      <text>
        <t>[Threaded comment]
Your version of Excel allows you to read this threaded comment; however, any edits to it will get removed if the file is opened in a newer version of Excel. Learn more: https://go.microsoft.com/fwlink/?linkid=870924
Comment:
    Older metric</t>
      </text>
    </comment>
    <comment ref="J99" authorId="12" shapeId="0" xr:uid="{905EDA9D-A5FD-F347-95A1-99311C7A7046}">
      <text>
        <t>[Threaded comment]
Your version of Excel allows you to read this threaded comment; however, any edits to it will get removed if the file is opened in a newer version of Excel. Learn more: https://go.microsoft.com/fwlink/?linkid=870924
Comment:
    Older IMF metric</t>
      </text>
    </comment>
  </commentList>
</comments>
</file>

<file path=xl/sharedStrings.xml><?xml version="1.0" encoding="utf-8"?>
<sst xmlns="http://schemas.openxmlformats.org/spreadsheetml/2006/main" count="2971" uniqueCount="320">
  <si>
    <t>Variable</t>
  </si>
  <si>
    <t>Energy Production</t>
  </si>
  <si>
    <t>Coal</t>
  </si>
  <si>
    <t>Natural Gas</t>
  </si>
  <si>
    <t>Petroleum</t>
  </si>
  <si>
    <t>Nuclear</t>
  </si>
  <si>
    <t>Renewables and Other</t>
  </si>
  <si>
    <t>Universal Health Coverage</t>
  </si>
  <si>
    <t>Unemployment</t>
  </si>
  <si>
    <t>Trade Openness</t>
  </si>
  <si>
    <t>Sovereign Credit Ratings</t>
  </si>
  <si>
    <t>RISE Renewable Energy</t>
  </si>
  <si>
    <t>RISE Energy Efficiency</t>
  </si>
  <si>
    <t>Quality of Water Services</t>
  </si>
  <si>
    <t>Poverty</t>
  </si>
  <si>
    <t>Population Growth</t>
  </si>
  <si>
    <t>Population</t>
  </si>
  <si>
    <t>Mean Years of Schooling</t>
  </si>
  <si>
    <t>Life Expectancy</t>
  </si>
  <si>
    <t>Labor Rights</t>
  </si>
  <si>
    <t>Global Rights Index</t>
  </si>
  <si>
    <t>Labor Force</t>
  </si>
  <si>
    <t>Innovative Capability</t>
  </si>
  <si>
    <t>Infrastrcuture</t>
  </si>
  <si>
    <t>Inflation</t>
  </si>
  <si>
    <t>GDP Per Capita</t>
  </si>
  <si>
    <t>Financial System Depth</t>
  </si>
  <si>
    <t>Expected Years of Schooling</t>
  </si>
  <si>
    <t>Energy Imports</t>
  </si>
  <si>
    <t>Corruption</t>
  </si>
  <si>
    <t>Corporate Tax</t>
  </si>
  <si>
    <t>Carbon Offsets- Credit Count</t>
  </si>
  <si>
    <t>Air Quality</t>
  </si>
  <si>
    <t>Age Demographic</t>
  </si>
  <si>
    <t>Ecosystem Vitality</t>
  </si>
  <si>
    <t>Waste Management</t>
  </si>
  <si>
    <t>Climate Change</t>
  </si>
  <si>
    <t>Global Peace Index</t>
  </si>
  <si>
    <t>Category</t>
  </si>
  <si>
    <t>Environmental</t>
  </si>
  <si>
    <t>Social</t>
  </si>
  <si>
    <t>Economic</t>
  </si>
  <si>
    <t>Socail</t>
  </si>
  <si>
    <t>Source</t>
  </si>
  <si>
    <t>https://www.eia.gov/international/data/world/total-energy/total-energy-production?pd=44&amp;p=004000000000000000000000000000000000000000000000000000000f00o&amp;u=0&amp;f=A&amp;v=mapbubble&amp;a=-&amp;i=none&amp;vo=value&amp;t=C&amp;g=00000000000000000000000000000000000000000000000001&amp;l=249-ruvvvvvfvtvnvv1vrvvvvfvvvvvvfvvvou20evvvvvvvvvvnvvvs0008&amp;s=315532800000&amp;e=1546300800000&amp;</t>
  </si>
  <si>
    <t>file:///Users/kayla/Downloads/9789240040618-eng.pdf</t>
  </si>
  <si>
    <t>https://data.worldbank.org/indicator/SL.UEM.TOTL.ZS</t>
  </si>
  <si>
    <t>https://www3.weforum.org/docs/WEF_TheGlobalCompetitivenessReport2019.pdf</t>
  </si>
  <si>
    <t>https://www.theglobaleconomy.com/rankings/credit_rating/</t>
  </si>
  <si>
    <t>https://rise.esmap.org/reports</t>
  </si>
  <si>
    <t>(download link) https://dashboards.sdgindex.org/static/downloads/files/SDR-2022-Database.xlsx</t>
  </si>
  <si>
    <t>https://data.worldbank.org/indicator/SP.POP.GROW</t>
  </si>
  <si>
    <t>https://data.worldbank.org/indicator/SP.POP.TOTL</t>
  </si>
  <si>
    <t>https://data.worldbank.org/indicator/BN.GSR.GNFS.CD?locations=SG</t>
  </si>
  <si>
    <t>https://hdr.undp.org/data-center/human-development-index#/indicies/HDI</t>
  </si>
  <si>
    <t>https://www.globalrightsindex.org/en/2022</t>
  </si>
  <si>
    <t>https://data.worldbank.org/indicator/SL.TLF.TOTL.IN</t>
  </si>
  <si>
    <t xml:space="preserve"> </t>
  </si>
  <si>
    <t>https://www.imf.org/external/datamapper/PCPIPCH@WEO/OEMDC</t>
  </si>
  <si>
    <t>https://www.imf.org/external/datamapper/GGXWDG_NGDP@WEO/OEMDC/ADVEC/WEOWORLD</t>
  </si>
  <si>
    <t>https://data.worldbank.org/indicator/NY.GDP.MKTP.PP.CD</t>
  </si>
  <si>
    <t>https://www.imf.org/external/datamapper/NGDPDPC@WEO/OEMDC/ADVEC/WEOWORLD</t>
  </si>
  <si>
    <t>https://data.worldbank.org/indicator/BX.KLT.DINV.CD.WD</t>
  </si>
  <si>
    <t>https://data.worldbank.org/indicator/EG.IMP.CONS.ZS?locations=BN-KH-ID-LA-MY-MM-PH-SG-TH-VN</t>
  </si>
  <si>
    <t>https://www.globalpetrolprices.com/electricity_prices/</t>
  </si>
  <si>
    <t>https://www.transparency.org/en/cpi/2021</t>
  </si>
  <si>
    <t>https://taxfoundation.org/publications/corporate-tax-rates-around-the-world/#:~:text=The%20Decline%20of%20Corporate%20Tax%20Rates%20since%201980,-Over%20the%20past&amp;text=The%20weighted%20average%20statutory%20corporate,over%20the%2041%20years%20surveyed.</t>
  </si>
  <si>
    <t>https://gspp.berkeley.edu/research-and-impact/centers/cepp/projects/berkeley-carbon-trading-project/offsets-database</t>
  </si>
  <si>
    <t>https://data.worldbank.org/indicator/SP.POP.1564.TO.ZS</t>
  </si>
  <si>
    <t>https://data.worldbank.org/indicator/EG.ELC.ACCS.ZS?locations=BN-KH-ID-LA-MY-MM-PH-SG-TH-VN</t>
  </si>
  <si>
    <t>https://epi.yale.edu/epi-results/2022/component/cch</t>
  </si>
  <si>
    <t>https://www.visionofhumanity.org/maps/#/</t>
  </si>
  <si>
    <t>Year</t>
  </si>
  <si>
    <t>2021/2022</t>
  </si>
  <si>
    <t>2020/2021</t>
  </si>
  <si>
    <t>2013-2014</t>
  </si>
  <si>
    <t>Afghanistan</t>
  </si>
  <si>
    <t>N/A</t>
  </si>
  <si>
    <t>NA</t>
  </si>
  <si>
    <t>Albania</t>
  </si>
  <si>
    <t>Algeria</t>
  </si>
  <si>
    <t>America Samoa</t>
  </si>
  <si>
    <t>Andorra</t>
  </si>
  <si>
    <t>Angola</t>
  </si>
  <si>
    <t>Antigua and Barbuda</t>
  </si>
  <si>
    <t>na</t>
  </si>
  <si>
    <t>Argentina</t>
  </si>
  <si>
    <t>Armenia</t>
  </si>
  <si>
    <t>Aruba</t>
  </si>
  <si>
    <t>Australia</t>
  </si>
  <si>
    <t>Austria</t>
  </si>
  <si>
    <t>Azerbaijan</t>
  </si>
  <si>
    <t>Bahamas</t>
  </si>
  <si>
    <t>Bahrian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</si>
  <si>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</si>
  <si>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</si>
  <si>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</si>
  <si>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</si>
  <si>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</si>
  <si>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</si>
  <si>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</si>
  <si>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</si>
  <si>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</si>
  <si>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</si>
  <si>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</si>
  <si>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</si>
  <si>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</si>
  <si>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</si>
  <si>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</si>
  <si>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</si>
  <si>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</si>
  <si>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</si>
  <si>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</si>
  <si>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</si>
  <si>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</si>
  <si>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</si>
  <si>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</si>
  <si>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</si>
  <si>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</si>
  <si>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</si>
  <si>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</si>
  <si>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</si>
  <si>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Costa Rica</t>
  </si>
  <si>
    <t>Comoros</t>
  </si>
  <si>
    <t>Cote d'Ivoire</t>
  </si>
  <si>
    <t>Croatia</t>
  </si>
  <si>
    <t>Cuba</t>
  </si>
  <si>
    <t>Curacao</t>
  </si>
  <si>
    <t>Cyprus</t>
  </si>
  <si>
    <t>463..07</t>
  </si>
  <si>
    <t>Czech Republic</t>
  </si>
  <si>
    <t>Denmark</t>
  </si>
  <si>
    <t>Djibouti</t>
  </si>
  <si>
    <t xml:space="preserve">Dominica </t>
  </si>
  <si>
    <t>Dominican Republic</t>
  </si>
  <si>
    <t>Congo, Dem. Rep</t>
  </si>
  <si>
    <t>Congo, Rep.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</si>
  <si>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</si>
  <si>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</si>
  <si>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</si>
  <si>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</si>
  <si>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</si>
  <si>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</si>
  <si>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</si>
  <si>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</si>
  <si>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</si>
  <si>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</si>
  <si>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</si>
  <si>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</si>
  <si>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</si>
  <si>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</si>
  <si>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</si>
  <si>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</si>
  <si>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</si>
  <si>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</si>
  <si>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</si>
  <si>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</si>
  <si>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</si>
  <si>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</si>
  <si>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</si>
  <si>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</si>
  <si>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</si>
  <si>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</si>
  <si>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</si>
  <si>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</si>
  <si>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</si>
  <si>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</si>
  <si>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</si>
  <si>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</si>
  <si>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</si>
  <si>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</si>
  <si>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</si>
  <si>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</si>
  <si>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</si>
  <si>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</si>
  <si>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</si>
  <si>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</si>
  <si>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</si>
  <si>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not listed</t>
  </si>
  <si>
    <t>Jamaica</t>
  </si>
  <si>
    <t>Japan</t>
  </si>
  <si>
    <t>Jordan</t>
  </si>
  <si>
    <t>Kazakhstan</t>
  </si>
  <si>
    <t>Kenya</t>
  </si>
  <si>
    <t>Kiribati</t>
  </si>
  <si>
    <t>Korea, North</t>
  </si>
  <si>
    <t>Kosovo</t>
  </si>
  <si>
    <t>Kuwait</t>
  </si>
  <si>
    <t>Kyrgystan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</si>
  <si>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</si>
  <si>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</si>
  <si>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</si>
  <si>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</si>
  <si>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</si>
  <si>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</si>
  <si>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</si>
  <si>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</si>
  <si>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</si>
  <si>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</si>
  <si>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</si>
  <si>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</si>
  <si>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</si>
  <si>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</si>
  <si>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</si>
  <si>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</si>
  <si>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</si>
  <si>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</si>
  <si>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</si>
  <si>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</si>
  <si>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</si>
  <si>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</si>
  <si>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</si>
  <si>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</si>
  <si>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3-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</si>
  <si>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</si>
  <si>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</si>
  <si>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</si>
  <si>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</si>
  <si>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</si>
  <si>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</si>
  <si>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</si>
  <si>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</si>
  <si>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</si>
  <si>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</si>
  <si>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</si>
  <si>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</si>
  <si>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</si>
  <si>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</si>
  <si>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</si>
  <si>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</si>
  <si>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</si>
  <si>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</si>
  <si>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</si>
  <si>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</si>
  <si>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</si>
  <si>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</si>
  <si>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</si>
  <si>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</si>
  <si>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</si>
  <si>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</si>
  <si>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</si>
  <si>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</si>
  <si>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</si>
  <si>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</si>
  <si>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</si>
  <si>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</si>
  <si>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</si>
  <si>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</si>
  <si>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</si>
  <si>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</si>
  <si>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</si>
  <si>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</si>
  <si>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</si>
  <si>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</si>
  <si>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-</t>
  </si>
  <si>
    <t>Sint Maarten (Dutch)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</si>
  <si>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</si>
  <si>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</si>
  <si>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</si>
  <si>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</si>
  <si>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</si>
  <si>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</si>
  <si>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</si>
  <si>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</si>
  <si>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</si>
  <si>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St. Kitts and Nevis</t>
  </si>
  <si>
    <t>St. Lucia</t>
  </si>
  <si>
    <t>St. Martin (French)</t>
  </si>
  <si>
    <t>St. Vincent and the Grenadines</t>
  </si>
  <si>
    <t>Sudan</t>
  </si>
  <si>
    <t>Suriname</t>
  </si>
  <si>
    <t>Swaziland</t>
  </si>
  <si>
    <t>Sweden</t>
  </si>
  <si>
    <t>Switzerland</t>
  </si>
  <si>
    <t>Syria</t>
  </si>
  <si>
    <t>Tajikistan</t>
  </si>
  <si>
    <t>Timor-Leste</t>
  </si>
  <si>
    <t>Taiwan</t>
  </si>
  <si>
    <t>Tanzania</t>
  </si>
  <si>
    <t>Thailand</t>
  </si>
  <si>
    <t>Togo</t>
  </si>
  <si>
    <t>Tongo</t>
  </si>
  <si>
    <t>Trinidad &amp; Tobago</t>
  </si>
  <si>
    <t>Tunisia</t>
  </si>
  <si>
    <t>Turkey</t>
  </si>
  <si>
    <t>Turkmenistan</t>
  </si>
  <si>
    <t>Turks and Caicos Islands</t>
  </si>
  <si>
    <t>Tuvalu</t>
  </si>
  <si>
    <t>Uganda</t>
  </si>
  <si>
    <t>United Kingdom</t>
  </si>
  <si>
    <t>Ukraine</t>
  </si>
  <si>
    <t>United Arab Emirates</t>
  </si>
  <si>
    <t>Uruguay</t>
  </si>
  <si>
    <t>United States of America</t>
  </si>
  <si>
    <t>Uzbekistan</t>
  </si>
  <si>
    <t>Vanuatu</t>
  </si>
  <si>
    <t>Venezuela</t>
  </si>
  <si>
    <t>Vietnam</t>
  </si>
  <si>
    <t>Virgin Islands (U.S.)</t>
  </si>
  <si>
    <t>West Bank and Gaza</t>
  </si>
  <si>
    <t>Yemen</t>
  </si>
  <si>
    <t>Zambia</t>
  </si>
  <si>
    <t>Zimbabwe</t>
  </si>
  <si>
    <t>Net Trade</t>
  </si>
  <si>
    <t>FDI</t>
  </si>
  <si>
    <t>Electricity Prices</t>
  </si>
  <si>
    <t>Access to Electricity</t>
  </si>
  <si>
    <t>https://epi.yale.edu/epi-results/2022/component/epi</t>
  </si>
  <si>
    <t>Bosnia and Herzegovina</t>
  </si>
  <si>
    <t xml:space="preserve">Government Debt </t>
  </si>
  <si>
    <t>GDP</t>
  </si>
  <si>
    <t>Carbon Offests Projects</t>
  </si>
  <si>
    <t>United States</t>
  </si>
  <si>
    <t>Korea, Republic</t>
  </si>
  <si>
    <t>Slovak Republic</t>
  </si>
  <si>
    <t>Viet Nam</t>
  </si>
  <si>
    <t>North Macedonia</t>
  </si>
  <si>
    <t>Lao PDR</t>
  </si>
  <si>
    <t>Kyrgyzstan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</si>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</sst>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</font>
    <font>
      <u/>
      <sz val="11"/>
      <color rgb="FF0000FF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Roboto"/>
    </font>
    <font>
      <u/>
      <sz val="12"/>
      <color rgb="FF0563C1"/>
      <name val="Calibri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color theme="3"/>
      <name val="Arial"/>
      <family val="2"/>
    </font>
    <font>
      <sz val="11"/>
      <color rgb="FF000000"/>
      <name val="25"/>
    </font>
    <font>
      <sz val="11"/>
      <color theme="1"/>
      <name val="50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right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2" fillId="0" borderId="0" xfId="0" applyFont="1"/>
    <xf numFmtId="0" fontId="5" fillId="0" borderId="0" xfId="0" applyFont="1"/>
    <xf numFmtId="0" fontId="5" fillId="3" borderId="0" xfId="0" applyFont="1" applyFill="1"/>
    <xf numFmtId="0" fontId="3" fillId="0" borderId="0" xfId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0" borderId="0" xfId="1" applyFill="1"/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right"/>
    </xf>
    <xf numFmtId="0" fontId="5" fillId="6" borderId="0" xfId="0" applyFont="1" applyFill="1"/>
    <xf numFmtId="0" fontId="11" fillId="0" borderId="0" xfId="0" applyFont="1" applyAlignment="1">
      <alignment horizontal="right"/>
    </xf>
    <xf numFmtId="4" fontId="8" fillId="0" borderId="0" xfId="0" applyNumberFormat="1" applyFont="1"/>
    <xf numFmtId="0" fontId="0" fillId="0" borderId="0" xfId="0" applyAlignment="1">
      <alignment horizontal="right"/>
    </xf>
    <xf numFmtId="0" fontId="4" fillId="7" borderId="0" xfId="0" applyFont="1" applyFill="1"/>
    <xf numFmtId="0" fontId="8" fillId="0" borderId="0" xfId="0" applyFont="1" applyAlignment="1">
      <alignment horizontal="right"/>
    </xf>
    <xf numFmtId="0" fontId="12" fillId="8" borderId="0" xfId="0" applyFont="1" applyFill="1"/>
    <xf numFmtId="0" fontId="13" fillId="7" borderId="0" xfId="0" applyFont="1" applyFill="1"/>
    <xf numFmtId="0" fontId="14" fillId="0" borderId="0" xfId="0" applyFont="1"/>
    <xf numFmtId="0" fontId="13" fillId="3" borderId="0" xfId="0" applyFont="1" applyFill="1"/>
    <xf numFmtId="0" fontId="14" fillId="6" borderId="0" xfId="0" applyFont="1" applyFill="1"/>
    <xf numFmtId="0" fontId="12" fillId="0" borderId="0" xfId="0" applyFont="1"/>
    <xf numFmtId="0" fontId="4" fillId="6" borderId="0" xfId="0" applyFont="1" applyFill="1"/>
    <xf numFmtId="0" fontId="1" fillId="0" borderId="0" xfId="0" applyFont="1"/>
    <xf numFmtId="0" fontId="5" fillId="9" borderId="0" xfId="0" applyFont="1" applyFill="1"/>
    <xf numFmtId="4" fontId="5" fillId="0" borderId="0" xfId="0" applyNumberFormat="1" applyFont="1" applyAlignment="1">
      <alignment horizontal="right"/>
    </xf>
    <xf numFmtId="4" fontId="5" fillId="0" borderId="0" xfId="0" applyNumberFormat="1" applyFont="1"/>
    <xf numFmtId="0" fontId="15" fillId="0" borderId="0" xfId="0" applyFont="1"/>
    <xf numFmtId="0" fontId="8" fillId="6" borderId="0" xfId="0" applyFont="1" applyFill="1"/>
    <xf numFmtId="0" fontId="8" fillId="6" borderId="0" xfId="0" applyFont="1" applyFill="1" applyAlignment="1">
      <alignment horizontal="right"/>
    </xf>
    <xf numFmtId="0" fontId="16" fillId="0" borderId="0" xfId="0" applyFont="1"/>
    <xf numFmtId="0" fontId="0" fillId="3" borderId="0" xfId="0" applyFill="1" applyAlignment="1">
      <alignment horizontal="right"/>
    </xf>
    <xf numFmtId="0" fontId="5" fillId="3" borderId="0" xfId="0" applyFont="1" applyFill="1" applyAlignment="1">
      <alignment horizontal="right"/>
    </xf>
    <xf numFmtId="0" fontId="16" fillId="8" borderId="0" xfId="0" applyFont="1" applyFill="1"/>
    <xf numFmtId="0" fontId="17" fillId="6" borderId="0" xfId="0" applyFont="1" applyFill="1"/>
    <xf numFmtId="0" fontId="17" fillId="0" borderId="0" xfId="0" applyFont="1"/>
    <xf numFmtId="0" fontId="13" fillId="6" borderId="0" xfId="0" applyFont="1" applyFill="1"/>
    <xf numFmtId="0" fontId="5" fillId="10" borderId="0" xfId="0" applyFont="1" applyFill="1"/>
    <xf numFmtId="0" fontId="18" fillId="0" borderId="0" xfId="0" applyFont="1"/>
    <xf numFmtId="0" fontId="1" fillId="9" borderId="0" xfId="0" applyFont="1" applyFill="1"/>
    <xf numFmtId="0" fontId="19" fillId="0" borderId="0" xfId="0" applyFont="1"/>
    <xf numFmtId="0" fontId="5" fillId="11" borderId="0" xfId="0" applyFont="1" applyFill="1"/>
    <xf numFmtId="0" fontId="12" fillId="12" borderId="0" xfId="0" applyFont="1" applyFill="1"/>
    <xf numFmtId="0" fontId="20" fillId="0" borderId="0" xfId="0" applyFont="1"/>
    <xf numFmtId="0" fontId="12" fillId="13" borderId="0" xfId="0" applyFont="1" applyFill="1"/>
    <xf numFmtId="0" fontId="16" fillId="13" borderId="0" xfId="0" applyFont="1" applyFill="1"/>
    <xf numFmtId="0" fontId="5" fillId="14" borderId="0" xfId="0" applyFont="1" applyFill="1"/>
    <xf numFmtId="0" fontId="4" fillId="0" borderId="0" xfId="0" applyFont="1" applyFill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yla Johnson" id="{44F8B95A-2D20-C948-B610-C594FA9D8EB0}" userId="S::kjohns71@syr.edu::7696c4c3-ff7b-4686-af48-6a5fd66b80b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3-01-23T12:33:03.28" personId="{44F8B95A-2D20-C948-B610-C594FA9D8EB0}" id="{E370BE27-C4E6-2B4D-AB18-CC74521408C2}">
    <text>Check Bloomberg</text>
  </threadedComment>
  <threadedComment ref="O1" dT="2023-02-01T12:18:17.07" personId="{44F8B95A-2D20-C948-B610-C594FA9D8EB0}" id="{9402A6B1-916C-F944-9F5D-C9EAA33FE2B4}">
    <text>Find missing data</text>
  </threadedComment>
  <threadedComment ref="U1" dT="2023-01-31T13:31:03.84" personId="{44F8B95A-2D20-C948-B610-C594FA9D8EB0}" id="{A135DDC8-287F-5D42-A39C-CD902A4B2F0F}">
    <text>Why are there so many missing metrics here?</text>
  </threadedComment>
  <threadedComment ref="V1" dT="2023-02-02T13:46:06.72" personId="{44F8B95A-2D20-C948-B610-C594FA9D8EB0}" id="{897D24FA-E8F3-D74C-85C2-34F632265478}">
    <text>Decide which one</text>
  </threadedComment>
  <threadedComment ref="AG1" dT="2023-01-23T12:33:40.28" personId="{44F8B95A-2D20-C948-B610-C594FA9D8EB0}" id="{DBCC412D-8DBA-AA47-A0BC-9C9B2887BF59}">
    <text>Check Bloomberg</text>
  </threadedComment>
  <threadedComment ref="AK1" dT="2023-01-24T14:50:03.93" personId="{44F8B95A-2D20-C948-B610-C594FA9D8EB0}" id="{55851A1E-E718-0D4F-A99F-147FE92A656E}">
    <text>Add in definition list</text>
  </threadedComment>
  <threadedComment ref="AN1" dT="2023-01-31T13:40:30.45" personId="{44F8B95A-2D20-C948-B610-C594FA9D8EB0}" id="{8F4E553A-888D-DA42-9375-7A0BA9708246}">
    <text>Why did we list this as social again?</text>
  </threadedComment>
  <threadedComment ref="AQ1" dT="2023-02-12T22:31:51.01" personId="{44F8B95A-2D20-C948-B610-C594FA9D8EB0}" id="{1924A1F9-E04B-144A-A8F1-C4D1E1457CA2}">
    <text>Add to variable definitions</text>
  </threadedComment>
  <threadedComment ref="AL2" dT="2023-01-24T15:43:44.62" personId="{44F8B95A-2D20-C948-B610-C594FA9D8EB0}" id="{63C32C72-3AC8-1546-871E-E184772CBB3B}">
    <text>Will probably just focus on the number of project due to the lack of data</text>
  </threadedComment>
  <threadedComment ref="A4" dT="2023-02-03T12:10:10.53" personId="{44F8B95A-2D20-C948-B610-C594FA9D8EB0}" id="{38FA11F1-50F3-5040-8718-2F9F0AD46815}">
    <text>Check year</text>
  </threadedComment>
  <threadedComment ref="AH25" dT="2023-02-03T12:42:45.49" personId="{44F8B95A-2D20-C948-B610-C594FA9D8EB0}" id="{014C71B4-BB44-BF4C-8599-44748167D1B5}">
    <text>Taken from third source: https://united4efficiency.org/country-assessments/benin/</text>
  </threadedComment>
  <threadedComment ref="AH28" dT="2023-02-03T12:45:18.15" personId="{44F8B95A-2D20-C948-B610-C594FA9D8EB0}" id="{77C75B5B-4E26-3D4D-B432-ADE44DED4F0A}">
    <text>Taken from third source: https://united4efficiency.org/country-assessments/bolivia/</text>
  </threadedComment>
  <threadedComment ref="AA91" dT="2023-02-03T12:53:18.13" personId="{44F8B95A-2D20-C948-B610-C594FA9D8EB0}" id="{15EA3A34-5408-E443-A66E-3D8C483016FD}">
    <text>No 2023 data so used 2021 data</text>
  </threadedComment>
  <threadedComment ref="Z116" dT="2023-02-09T14:37:15.46" personId="{44F8B95A-2D20-C948-B610-C594FA9D8EB0}" id="{E48815AE-A11A-A849-A9D4-D5B5BB98C0EA}">
    <text>Older data from IMF</text>
  </threadedComment>
  <threadedComment ref="AH138" dT="2023-02-09T14:46:25.15" personId="{44F8B95A-2D20-C948-B610-C594FA9D8EB0}" id="{035C5743-4CC2-E447-BFB5-25E967F24181}">
    <text>Taken from Eurostate and converted to USD</text>
  </threadedComment>
  <threadedComment ref="AA187" dT="2023-02-09T14:32:15.12" personId="{44F8B95A-2D20-C948-B610-C594FA9D8EB0}" id="{E9DE748A-6001-AB4D-ADC8-319084D74782}">
    <text>Older metric</text>
  </threadedComment>
  <threadedComment ref="AA219" dT="2023-02-09T14:26:53.29" personId="{44F8B95A-2D20-C948-B610-C594FA9D8EB0}" id="{226602D2-F6F0-4049-841F-BEF1171A80BA}">
    <text>Older metric</text>
  </threadedComment>
  <threadedComment ref="AA224" dT="2023-02-09T14:28:52.05" personId="{44F8B95A-2D20-C948-B610-C594FA9D8EB0}" id="{F2EB6603-D15F-D942-8F0A-3003367763FE}">
    <text>Older IMF metric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3-01-23T12:33:03.28" personId="{44F8B95A-2D20-C948-B610-C594FA9D8EB0}" id="{AB2C1FD7-83F9-7B48-8D16-A22F924FF602}">
    <text>Check Bloomberg</text>
  </threadedComment>
  <threadedComment ref="O1" dT="2023-02-01T12:18:17.07" personId="{44F8B95A-2D20-C948-B610-C594FA9D8EB0}" id="{9083223F-8225-C745-8E1A-3DAB0FF470B7}">
    <text>Find missing data</text>
  </threadedComment>
  <threadedComment ref="U1" dT="2023-02-02T13:46:06.72" personId="{44F8B95A-2D20-C948-B610-C594FA9D8EB0}" id="{A21F446C-C8B6-674D-8D7B-3AEB1A06AF3A}">
    <text>Decide which one</text>
  </threadedComment>
  <threadedComment ref="AE1" dT="2023-01-23T12:33:40.28" personId="{44F8B95A-2D20-C948-B610-C594FA9D8EB0}" id="{5078FEE4-102C-5B4D-965E-CD9E9077D6B3}">
    <text>Check Bloomberg</text>
  </threadedComment>
  <threadedComment ref="AI1" dT="2023-01-24T14:50:03.93" personId="{44F8B95A-2D20-C948-B610-C594FA9D8EB0}" id="{13026687-A1BF-2E46-8859-40671FD97A8E}">
    <text>Add in definition list</text>
  </threadedComment>
  <threadedComment ref="AM1" dT="2023-02-12T22:31:51.01" personId="{44F8B95A-2D20-C948-B610-C594FA9D8EB0}" id="{46D6ED65-17CB-334D-B8CB-D36C801D575D}">
    <text>Add to variable definitions</text>
  </threadedComment>
  <threadedComment ref="A4" dT="2023-02-03T12:10:10.53" personId="{44F8B95A-2D20-C948-B610-C594FA9D8EB0}" id="{EA74359D-8537-6446-808D-B9AEC2ADE726}">
    <text>Check year</text>
  </threadedComment>
  <threadedComment ref="AF13" dT="2023-02-03T12:42:45.49" personId="{44F8B95A-2D20-C948-B610-C594FA9D8EB0}" id="{323EF04E-41D6-8E4F-A3AB-4F6B3A964D05}">
    <text>Taken from third source: https://united4efficiency.org/country-assessments/benin/</text>
  </threadedComment>
  <threadedComment ref="AF14" dT="2023-02-03T12:45:18.15" personId="{44F8B95A-2D20-C948-B610-C594FA9D8EB0}" id="{3F4AC4F7-B67F-DC4D-B068-97B8AF7F2568}">
    <text>Taken from third source: https://united4efficiency.org/country-assessments/bolivia/</text>
  </threadedComment>
  <threadedComment ref="Z42" dT="2023-02-03T12:53:18.13" personId="{44F8B95A-2D20-C948-B610-C594FA9D8EB0}" id="{F01046F8-1579-B042-96B0-BFE4FFCC2C4F}">
    <text>No 2023 data so used 2021 data</text>
  </threadedComment>
  <threadedComment ref="Y56" dT="2023-02-09T14:37:15.46" personId="{44F8B95A-2D20-C948-B610-C594FA9D8EB0}" id="{7814AA10-0195-8541-B406-F6AEDDE9BB42}">
    <text>Older data from IMF</text>
  </threadedComment>
  <threadedComment ref="AA56" dT="2023-02-15T12:58:06.50" personId="{44F8B95A-2D20-C948-B610-C594FA9D8EB0}" id="{AEFB717D-3CA3-DA48-B597-92780A425B44}">
    <text>Taken from WB</text>
  </threadedComment>
  <threadedComment ref="AF62" dT="2023-02-09T14:46:25.15" personId="{44F8B95A-2D20-C948-B610-C594FA9D8EB0}" id="{96B795D1-2C5F-1549-B337-D52E58FEA527}">
    <text>Taken from Eurostate and converted to USD</text>
  </threadedComment>
  <threadedComment ref="AA70" dT="2023-02-15T12:58:42.79" personId="{44F8B95A-2D20-C948-B610-C594FA9D8EB0}" id="{8E1B402B-B7BB-DB4B-9570-2DD1066B7A6F}">
    <text>Taken from WB</text>
  </threadedComment>
  <threadedComment ref="Z86" dT="2023-02-09T14:32:15.12" personId="{44F8B95A-2D20-C948-B610-C594FA9D8EB0}" id="{6490CCD6-497B-2742-9C35-B03927A30900}">
    <text>Older metric</text>
  </threadedComment>
  <threadedComment ref="AA86" dT="2023-02-15T12:59:18.57" personId="{44F8B95A-2D20-C948-B610-C594FA9D8EB0}" id="{F6CE9C8A-76C9-C941-92E9-17AEB26CE75C}">
    <text>Taken from WB</text>
  </threadedComment>
  <threadedComment ref="Z97" dT="2023-02-09T14:26:53.29" personId="{44F8B95A-2D20-C948-B610-C594FA9D8EB0}" id="{E60CD340-AADA-B445-BC35-961B048683B1}">
    <text>Older metric</text>
  </threadedComment>
  <threadedComment ref="Z99" dT="2023-02-09T14:28:52.05" personId="{44F8B95A-2D20-C948-B610-C594FA9D8EB0}" id="{7DF066FA-FD4C-6043-9A0A-67FD2317BC8C}">
    <text>Older IMF metric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1" dT="2023-01-24T14:50:03.93" personId="{44F8B95A-2D20-C948-B610-C594FA9D8EB0}" id="{33F8540E-2E5D-7F42-A461-981732355B2F}">
    <text>Add in definition list</text>
  </threadedComment>
  <threadedComment ref="K1" dT="2023-02-12T22:31:51.01" personId="{44F8B95A-2D20-C948-B610-C594FA9D8EB0}" id="{42C85F20-A764-3841-B774-97216B8696A1}">
    <text>Add to variable definitions</text>
  </threadedComment>
  <threadedComment ref="A4" dT="2023-02-03T12:10:10.53" personId="{44F8B95A-2D20-C948-B610-C594FA9D8EB0}" id="{9B4107CC-A9F6-A44A-9BCA-75469F48C06A}">
    <text>Check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3-02-01T12:18:17.07" personId="{44F8B95A-2D20-C948-B610-C594FA9D8EB0}" id="{FB308260-552C-E648-9FE9-DAEF1AFD27E1}">
    <text>Find missing data</text>
  </threadedComment>
  <threadedComment ref="I1" dT="2023-02-02T13:46:06.72" personId="{44F8B95A-2D20-C948-B610-C594FA9D8EB0}" id="{C7056DFA-8EE1-3B45-A7A7-F4ADC343438C}">
    <text>Decide which one</text>
  </threadedComment>
  <threadedComment ref="A4" dT="2023-02-03T12:10:10.53" personId="{44F8B95A-2D20-C948-B610-C594FA9D8EB0}" id="{A195305A-EECE-6B40-B105-6D78686C3438}">
    <text>Check year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3-01-23T12:33:03.28" personId="{44F8B95A-2D20-C948-B610-C594FA9D8EB0}" id="{3A30C993-FFA6-104A-A70B-DFB1BE06F2E5}">
    <text>Check Bloomberg</text>
  </threadedComment>
  <threadedComment ref="A4" dT="2023-02-03T12:10:10.53" personId="{44F8B95A-2D20-C948-B610-C594FA9D8EB0}" id="{BA20CCB3-C121-3347-8B05-937D2E872A84}">
    <text>Check year</text>
  </threadedComment>
  <threadedComment ref="N13" dT="2023-02-03T12:42:45.49" personId="{44F8B95A-2D20-C948-B610-C594FA9D8EB0}" id="{D190C26B-2307-424F-8010-906E5A2C6E85}">
    <text>Taken from third source: https://united4efficiency.org/country-assessments/benin/</text>
  </threadedComment>
  <threadedComment ref="N14" dT="2023-02-03T12:45:18.15" personId="{44F8B95A-2D20-C948-B610-C594FA9D8EB0}" id="{CB07312F-6674-8642-8B8E-233381E79A25}">
    <text>Taken from third source: https://united4efficiency.org/country-assessments/bolivia/</text>
  </threadedComment>
  <threadedComment ref="J42" dT="2023-02-03T12:53:18.13" personId="{44F8B95A-2D20-C948-B610-C594FA9D8EB0}" id="{DD9C48EC-5B16-2B47-B66E-861F272FE43D}">
    <text>No 2023 data so used 2021 data</text>
  </threadedComment>
  <threadedComment ref="I56" dT="2023-02-09T14:37:15.46" personId="{44F8B95A-2D20-C948-B610-C594FA9D8EB0}" id="{8FB4FF35-435E-C14C-ACA1-9CAFB550B00F}">
    <text>Older data from IMF</text>
  </threadedComment>
  <threadedComment ref="K56" dT="2023-02-15T12:58:06.50" personId="{44F8B95A-2D20-C948-B610-C594FA9D8EB0}" id="{21DAEC3E-7B68-444C-B5DD-B3C3909C78A4}">
    <text>Taken from WB</text>
  </threadedComment>
  <threadedComment ref="N62" dT="2023-02-09T14:46:25.15" personId="{44F8B95A-2D20-C948-B610-C594FA9D8EB0}" id="{E7105EDD-58FE-D242-B769-3E5FD31D1EE0}">
    <text>Taken from Eurostate and converted to USD</text>
  </threadedComment>
  <threadedComment ref="K70" dT="2023-02-15T12:58:42.79" personId="{44F8B95A-2D20-C948-B610-C594FA9D8EB0}" id="{BF63E2FD-3F51-1241-8697-995F638F8B0C}">
    <text>Taken from WB</text>
  </threadedComment>
  <threadedComment ref="J86" dT="2023-02-09T14:32:15.12" personId="{44F8B95A-2D20-C948-B610-C594FA9D8EB0}" id="{57CBF62C-3C5B-7047-A6FC-FB77047CA933}">
    <text>Older metric</text>
  </threadedComment>
  <threadedComment ref="K86" dT="2023-02-15T12:59:18.57" personId="{44F8B95A-2D20-C948-B610-C594FA9D8EB0}" id="{9277DA3E-ADCD-AD46-8E65-085335DF1432}">
    <text>Taken from WB</text>
  </threadedComment>
  <threadedComment ref="J97" dT="2023-02-09T14:26:53.29" personId="{44F8B95A-2D20-C948-B610-C594FA9D8EB0}" id="{03F1168B-BE04-9241-83A9-4D1D9BE74E37}">
    <text>Older metric</text>
  </threadedComment>
  <threadedComment ref="J99" dT="2023-02-09T14:28:52.05" personId="{44F8B95A-2D20-C948-B610-C594FA9D8EB0}" id="{905EDA9D-A5FD-F347-95A1-99311C7A7046}">
    <text>Older IMF metric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worldbank.org/indicator/SP.POP.GROW" TargetMode="External"/><Relationship Id="rId13" Type="http://schemas.openxmlformats.org/officeDocument/2006/relationships/hyperlink" Target="https://data.worldbank.org/indicator/BX.KLT.DINV.CD.WD" TargetMode="External"/><Relationship Id="rId18" Type="http://schemas.openxmlformats.org/officeDocument/2006/relationships/hyperlink" Target="https://data.worldbank.org/indicator/SP.POP.1564.TO.ZS" TargetMode="External"/><Relationship Id="rId3" Type="http://schemas.openxmlformats.org/officeDocument/2006/relationships/hyperlink" Target="https://hdr.undp.org/data-center/human-development-index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data.worldbank.org/indicator/SL.UEM.TOTL.ZS" TargetMode="External"/><Relationship Id="rId12" Type="http://schemas.openxmlformats.org/officeDocument/2006/relationships/hyperlink" Target="https://data.worldbank.org/indicator/NY.GDP.MKTP.PP.CD" TargetMode="External"/><Relationship Id="rId17" Type="http://schemas.openxmlformats.org/officeDocument/2006/relationships/hyperlink" Target="http://../Downloads/9789240040618-eng.pdf" TargetMode="External"/><Relationship Id="rId2" Type="http://schemas.openxmlformats.org/officeDocument/2006/relationships/hyperlink" Target="https://rise.esmap.org/reports" TargetMode="External"/><Relationship Id="rId16" Type="http://schemas.openxmlformats.org/officeDocument/2006/relationships/hyperlink" Target="https://www.transparency.org/en/cpi/2021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www3.weforum.org/docs/WEF_TheGlobalCompetitivenessReport2019.pdf" TargetMode="External"/><Relationship Id="rId6" Type="http://schemas.openxmlformats.org/officeDocument/2006/relationships/hyperlink" Target="https://data.worldbank.org/indicator/EG.ELC.ACCS.ZS?locations=BN-KH-ID-LA-MY-MM-PH-SG-TH-VN" TargetMode="External"/><Relationship Id="rId11" Type="http://schemas.openxmlformats.org/officeDocument/2006/relationships/hyperlink" Target="https://hdr.undp.org/data-center/human-development-index" TargetMode="External"/><Relationship Id="rId5" Type="http://schemas.openxmlformats.org/officeDocument/2006/relationships/hyperlink" Target="https://www.globalpetrolprices.com/electricity_prices/" TargetMode="External"/><Relationship Id="rId15" Type="http://schemas.openxmlformats.org/officeDocument/2006/relationships/hyperlink" Target="https://www.eia.gov/international/data/world/total-energy/total-energy-production?pd=44&amp;p=004000000000000000000000000000000000000000000000000000000f00o&amp;u=0&amp;f=A&amp;v=mapbubble&amp;a=-&amp;i=none&amp;vo=value&amp;t=C&amp;g=00000000000000000000000000000000000000000000000001&amp;l=249-ruvvvvvfvtvnvv1vrvvvvfvvvvvvfvvvou20evvvvvvvvvvnvvvs0008&amp;s=315532800000&amp;e=1546300800000&amp;" TargetMode="External"/><Relationship Id="rId10" Type="http://schemas.openxmlformats.org/officeDocument/2006/relationships/hyperlink" Target="https://rise.esmap.org/reports" TargetMode="External"/><Relationship Id="rId19" Type="http://schemas.openxmlformats.org/officeDocument/2006/relationships/hyperlink" Target="https://www.globalrightsindex.org/en/2022" TargetMode="External"/><Relationship Id="rId4" Type="http://schemas.openxmlformats.org/officeDocument/2006/relationships/hyperlink" Target="https://data.worldbank.org/indicator/EG.IMP.CONS.ZS?locations=BN-KH-ID-LA-MY-MM-PH-SG-TH-VN" TargetMode="External"/><Relationship Id="rId9" Type="http://schemas.openxmlformats.org/officeDocument/2006/relationships/hyperlink" Target="https://data.worldbank.org/indicator/SP.POP.TOTL" TargetMode="External"/><Relationship Id="rId14" Type="http://schemas.openxmlformats.org/officeDocument/2006/relationships/hyperlink" Target="https://www.theglobaleconomy.com/rankings/credit_rating/" TargetMode="External"/><Relationship Id="rId22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worldbank.org/indicator/SP.POP.GROW" TargetMode="External"/><Relationship Id="rId13" Type="http://schemas.openxmlformats.org/officeDocument/2006/relationships/hyperlink" Target="https://www.theglobaleconomy.com/rankings/credit_rating/" TargetMode="External"/><Relationship Id="rId18" Type="http://schemas.openxmlformats.org/officeDocument/2006/relationships/hyperlink" Target="https://www.globalrightsindex.org/en/2022" TargetMode="External"/><Relationship Id="rId3" Type="http://schemas.openxmlformats.org/officeDocument/2006/relationships/hyperlink" Target="https://hdr.undp.org/data-center/human-development-index" TargetMode="External"/><Relationship Id="rId21" Type="http://schemas.microsoft.com/office/2017/10/relationships/threadedComment" Target="../threadedComments/threadedComment2.xml"/><Relationship Id="rId7" Type="http://schemas.openxmlformats.org/officeDocument/2006/relationships/hyperlink" Target="https://data.worldbank.org/indicator/SL.UEM.TOTL.ZS" TargetMode="External"/><Relationship Id="rId12" Type="http://schemas.openxmlformats.org/officeDocument/2006/relationships/hyperlink" Target="https://data.worldbank.org/indicator/BX.KLT.DINV.CD.WD" TargetMode="External"/><Relationship Id="rId17" Type="http://schemas.openxmlformats.org/officeDocument/2006/relationships/hyperlink" Target="https://data.worldbank.org/indicator/SP.POP.1564.TO.ZS" TargetMode="External"/><Relationship Id="rId2" Type="http://schemas.openxmlformats.org/officeDocument/2006/relationships/hyperlink" Target="https://rise.esmap.org/reports" TargetMode="External"/><Relationship Id="rId16" Type="http://schemas.openxmlformats.org/officeDocument/2006/relationships/hyperlink" Target="http://../Downloads/9789240040618-eng.pdf" TargetMode="External"/><Relationship Id="rId20" Type="http://schemas.openxmlformats.org/officeDocument/2006/relationships/comments" Target="../comments2.xml"/><Relationship Id="rId1" Type="http://schemas.openxmlformats.org/officeDocument/2006/relationships/hyperlink" Target="https://www3.weforum.org/docs/WEF_TheGlobalCompetitivenessReport2019.pdf" TargetMode="External"/><Relationship Id="rId6" Type="http://schemas.openxmlformats.org/officeDocument/2006/relationships/hyperlink" Target="https://data.worldbank.org/indicator/EG.ELC.ACCS.ZS?locations=BN-KH-ID-LA-MY-MM-PH-SG-TH-VN" TargetMode="External"/><Relationship Id="rId11" Type="http://schemas.openxmlformats.org/officeDocument/2006/relationships/hyperlink" Target="https://hdr.undp.org/data-center/human-development-index" TargetMode="External"/><Relationship Id="rId5" Type="http://schemas.openxmlformats.org/officeDocument/2006/relationships/hyperlink" Target="https://www.globalpetrolprices.com/electricity_prices/" TargetMode="External"/><Relationship Id="rId15" Type="http://schemas.openxmlformats.org/officeDocument/2006/relationships/hyperlink" Target="https://www.transparency.org/en/cpi/2021" TargetMode="External"/><Relationship Id="rId10" Type="http://schemas.openxmlformats.org/officeDocument/2006/relationships/hyperlink" Target="https://rise.esmap.org/reports" TargetMode="External"/><Relationship Id="rId19" Type="http://schemas.openxmlformats.org/officeDocument/2006/relationships/vmlDrawing" Target="../drawings/vmlDrawing2.vml"/><Relationship Id="rId4" Type="http://schemas.openxmlformats.org/officeDocument/2006/relationships/hyperlink" Target="https://data.worldbank.org/indicator/EG.IMP.CONS.ZS?locations=BN-KH-ID-LA-MY-MM-PH-SG-TH-VN" TargetMode="External"/><Relationship Id="rId9" Type="http://schemas.openxmlformats.org/officeDocument/2006/relationships/hyperlink" Target="https://data.worldbank.org/indicator/SP.POP.TOTL" TargetMode="External"/><Relationship Id="rId14" Type="http://schemas.openxmlformats.org/officeDocument/2006/relationships/hyperlink" Target="https://www.eia.gov/international/data/world/total-energy/total-energy-production?pd=44&amp;p=004000000000000000000000000000000000000000000000000000000f00o&amp;u=0&amp;f=A&amp;v=mapbubble&amp;a=-&amp;i=none&amp;vo=value&amp;t=C&amp;g=00000000000000000000000000000000000000000000000001&amp;l=249-ruvvvvvfvtvnvv1vrvvvvfvvvvvvfvvvou20evvvvvvvvvvnvvvs0008&amp;s=315532800000&amp;e=1546300800000&amp;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ise.esmap.org/reports" TargetMode="External"/><Relationship Id="rId2" Type="http://schemas.openxmlformats.org/officeDocument/2006/relationships/hyperlink" Target="https://rise.esmap.org/reports" TargetMode="External"/><Relationship Id="rId1" Type="http://schemas.openxmlformats.org/officeDocument/2006/relationships/hyperlink" Target="https://www.eia.gov/international/data/world/total-energy/total-energy-production?pd=44&amp;p=004000000000000000000000000000000000000000000000000000000f00o&amp;u=0&amp;f=A&amp;v=mapbubble&amp;a=-&amp;i=none&amp;vo=value&amp;t=C&amp;g=00000000000000000000000000000000000000000000000001&amp;l=249-ruvvvvvfvtvnvv1vrvvvvfvvvvvvfvvvou20evvvvvvvvvvnvvvs0008&amp;s=315532800000&amp;e=1546300800000&amp;" TargetMode="External"/><Relationship Id="rId6" Type="http://schemas.microsoft.com/office/2017/10/relationships/threadedComment" Target="../threadedComments/threadedComment3.xm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isionofhumanity.org/maps/" TargetMode="External"/><Relationship Id="rId3" Type="http://schemas.openxmlformats.org/officeDocument/2006/relationships/hyperlink" Target="https://data.worldbank.org/indicator/SP.POP.TOTL" TargetMode="External"/><Relationship Id="rId7" Type="http://schemas.openxmlformats.org/officeDocument/2006/relationships/hyperlink" Target="https://data.worldbank.org/indicator/SP.POP.1564.TO.ZS" TargetMode="External"/><Relationship Id="rId2" Type="http://schemas.openxmlformats.org/officeDocument/2006/relationships/hyperlink" Target="http://../Downloads/9789240040618-eng.pdf" TargetMode="External"/><Relationship Id="rId1" Type="http://schemas.openxmlformats.org/officeDocument/2006/relationships/hyperlink" Target="https://data.worldbank.org/indicator/SL.UEM.TOTL.ZS" TargetMode="External"/><Relationship Id="rId6" Type="http://schemas.openxmlformats.org/officeDocument/2006/relationships/hyperlink" Target="https://www.globalrightsindex.org/en/2022" TargetMode="External"/><Relationship Id="rId11" Type="http://schemas.microsoft.com/office/2017/10/relationships/threadedComment" Target="../threadedComments/threadedComment4.xml"/><Relationship Id="rId5" Type="http://schemas.openxmlformats.org/officeDocument/2006/relationships/hyperlink" Target="https://hdr.undp.org/data-center/human-development-index" TargetMode="External"/><Relationship Id="rId10" Type="http://schemas.openxmlformats.org/officeDocument/2006/relationships/comments" Target="../comments4.xml"/><Relationship Id="rId4" Type="http://schemas.openxmlformats.org/officeDocument/2006/relationships/hyperlink" Target="https://hdr.undp.org/data-center/human-development-index" TargetMode="External"/><Relationship Id="rId9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s://data.worldbank.org/indicator/SP.POP.GROW" TargetMode="External"/><Relationship Id="rId7" Type="http://schemas.openxmlformats.org/officeDocument/2006/relationships/hyperlink" Target="https://data.worldbank.org/indicator/EG.ELC.ACCS.ZS?locations=BN-KH-ID-LA-MY-MM-PH-SG-TH-VN" TargetMode="External"/><Relationship Id="rId2" Type="http://schemas.openxmlformats.org/officeDocument/2006/relationships/hyperlink" Target="https://www.theglobaleconomy.com/rankings/credit_rating/" TargetMode="External"/><Relationship Id="rId1" Type="http://schemas.openxmlformats.org/officeDocument/2006/relationships/hyperlink" Target="https://www3.weforum.org/docs/WEF_TheGlobalCompetitivenessReport2019.pdf" TargetMode="External"/><Relationship Id="rId6" Type="http://schemas.openxmlformats.org/officeDocument/2006/relationships/hyperlink" Target="https://www.transparency.org/en/cpi/2021" TargetMode="External"/><Relationship Id="rId5" Type="http://schemas.openxmlformats.org/officeDocument/2006/relationships/hyperlink" Target="https://www.globalpetrolprices.com/electricity_prices/" TargetMode="External"/><Relationship Id="rId10" Type="http://schemas.microsoft.com/office/2017/10/relationships/threadedComment" Target="../threadedComments/threadedComment5.xml"/><Relationship Id="rId4" Type="http://schemas.openxmlformats.org/officeDocument/2006/relationships/hyperlink" Target="https://data.worldbank.org/indicator/BX.KLT.DINV.CD.WD" TargetMode="External"/><Relationship Id="rId9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8E91-DF23-9E47-8077-92E708544A17}">
  <dimension ref="A1:AT353"/>
  <sheetViews>
    <sheetView workbookViewId="0">
      <selection sqref="A1:XFD1048576"/>
    </sheetView>
  </sheetViews>
  <sheetFormatPr baseColWidth="10" defaultRowHeight="16"/>
  <cols>
    <col min="1" max="1" width="20" style="51" bestFit="1" customWidth="1"/>
    <col min="2" max="17" width="10.83203125" hidden="1" customWidth="1"/>
    <col min="18" max="18" width="15.5" hidden="1" customWidth="1"/>
    <col min="19" max="20" width="10.83203125" hidden="1" customWidth="1"/>
    <col min="21" max="27" width="10.83203125" customWidth="1"/>
    <col min="28" max="29" width="11.83203125" customWidth="1"/>
    <col min="30" max="30" width="12.6640625" customWidth="1"/>
    <col min="31" max="38" width="10.83203125" customWidth="1"/>
  </cols>
  <sheetData>
    <row r="1" spans="1:46" s="7" customForma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303</v>
      </c>
      <c r="S1" s="1" t="s">
        <v>17</v>
      </c>
      <c r="T1" s="1" t="s">
        <v>18</v>
      </c>
      <c r="U1" s="5" t="s">
        <v>19</v>
      </c>
      <c r="V1" s="4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309</v>
      </c>
      <c r="AB1" s="1" t="s">
        <v>310</v>
      </c>
      <c r="AC1" s="1" t="s">
        <v>25</v>
      </c>
      <c r="AD1" s="1" t="s">
        <v>304</v>
      </c>
      <c r="AE1" s="1" t="s">
        <v>26</v>
      </c>
      <c r="AF1" s="1" t="s">
        <v>27</v>
      </c>
      <c r="AG1" s="4" t="s">
        <v>28</v>
      </c>
      <c r="AH1" s="6" t="s">
        <v>305</v>
      </c>
      <c r="AI1" s="1" t="s">
        <v>29</v>
      </c>
      <c r="AJ1" s="1" t="s">
        <v>30</v>
      </c>
      <c r="AK1" s="1" t="s">
        <v>311</v>
      </c>
      <c r="AL1" s="1" t="s">
        <v>31</v>
      </c>
      <c r="AM1" s="1" t="s">
        <v>32</v>
      </c>
      <c r="AN1" s="5" t="s">
        <v>32</v>
      </c>
      <c r="AO1" s="1" t="s">
        <v>33</v>
      </c>
      <c r="AP1" s="1" t="s">
        <v>306</v>
      </c>
      <c r="AQ1" s="1" t="s">
        <v>34</v>
      </c>
      <c r="AR1" s="1" t="s">
        <v>35</v>
      </c>
      <c r="AS1" s="7" t="s">
        <v>36</v>
      </c>
      <c r="AT1" s="7" t="s">
        <v>37</v>
      </c>
    </row>
    <row r="2" spans="1:46">
      <c r="A2" s="1" t="s">
        <v>38</v>
      </c>
      <c r="B2" s="8" t="s">
        <v>39</v>
      </c>
      <c r="C2" s="8" t="s">
        <v>39</v>
      </c>
      <c r="D2" s="8" t="s">
        <v>39</v>
      </c>
      <c r="E2" s="8" t="s">
        <v>39</v>
      </c>
      <c r="F2" s="8" t="s">
        <v>39</v>
      </c>
      <c r="G2" s="8" t="s">
        <v>39</v>
      </c>
      <c r="H2" s="8" t="s">
        <v>40</v>
      </c>
      <c r="I2" s="8" t="s">
        <v>40</v>
      </c>
      <c r="J2" s="8" t="s">
        <v>41</v>
      </c>
      <c r="K2" s="9" t="s">
        <v>41</v>
      </c>
      <c r="L2" s="8" t="s">
        <v>39</v>
      </c>
      <c r="M2" s="8" t="s">
        <v>39</v>
      </c>
      <c r="N2" s="8" t="s">
        <v>40</v>
      </c>
      <c r="O2" s="8" t="s">
        <v>40</v>
      </c>
      <c r="P2" s="8" t="s">
        <v>41</v>
      </c>
      <c r="Q2" s="8" t="s">
        <v>40</v>
      </c>
      <c r="R2" s="8" t="s">
        <v>41</v>
      </c>
      <c r="S2" s="8" t="s">
        <v>40</v>
      </c>
      <c r="T2" s="8" t="s">
        <v>40</v>
      </c>
      <c r="U2" s="8" t="s">
        <v>40</v>
      </c>
      <c r="V2" s="8" t="s">
        <v>42</v>
      </c>
      <c r="W2" s="8" t="s">
        <v>41</v>
      </c>
      <c r="X2" s="8" t="s">
        <v>41</v>
      </c>
      <c r="Y2" s="8" t="s">
        <v>41</v>
      </c>
      <c r="Z2" s="8" t="s">
        <v>41</v>
      </c>
      <c r="AA2" s="8" t="s">
        <v>41</v>
      </c>
      <c r="AB2" s="8" t="s">
        <v>41</v>
      </c>
      <c r="AC2" s="8" t="s">
        <v>41</v>
      </c>
      <c r="AD2" s="8" t="s">
        <v>41</v>
      </c>
      <c r="AE2" s="8" t="s">
        <v>41</v>
      </c>
      <c r="AF2" s="8" t="s">
        <v>40</v>
      </c>
      <c r="AG2" s="8" t="s">
        <v>39</v>
      </c>
      <c r="AH2" s="8" t="s">
        <v>41</v>
      </c>
      <c r="AI2" s="8" t="s">
        <v>41</v>
      </c>
      <c r="AJ2" s="8" t="s">
        <v>41</v>
      </c>
      <c r="AK2" s="8" t="s">
        <v>39</v>
      </c>
      <c r="AL2" s="8" t="s">
        <v>39</v>
      </c>
      <c r="AM2" s="8" t="s">
        <v>40</v>
      </c>
      <c r="AN2" s="8" t="s">
        <v>42</v>
      </c>
      <c r="AO2" s="8" t="s">
        <v>40</v>
      </c>
      <c r="AP2" s="8" t="s">
        <v>41</v>
      </c>
      <c r="AQ2" s="8" t="s">
        <v>39</v>
      </c>
      <c r="AR2" s="8" t="s">
        <v>39</v>
      </c>
      <c r="AS2" s="8" t="s">
        <v>39</v>
      </c>
      <c r="AT2" s="8" t="s">
        <v>40</v>
      </c>
    </row>
    <row r="3" spans="1:46">
      <c r="A3" s="1" t="s">
        <v>43</v>
      </c>
      <c r="B3" s="8" t="s">
        <v>44</v>
      </c>
      <c r="C3" s="8" t="s">
        <v>44</v>
      </c>
      <c r="D3" s="8" t="s">
        <v>44</v>
      </c>
      <c r="E3" s="10" t="s">
        <v>44</v>
      </c>
      <c r="F3" s="8" t="s">
        <v>44</v>
      </c>
      <c r="G3" s="8" t="s">
        <v>44</v>
      </c>
      <c r="H3" s="11" t="s">
        <v>45</v>
      </c>
      <c r="I3" s="10" t="s">
        <v>46</v>
      </c>
      <c r="J3" s="12" t="s">
        <v>47</v>
      </c>
      <c r="K3" s="10" t="s">
        <v>48</v>
      </c>
      <c r="L3" s="10" t="s">
        <v>49</v>
      </c>
      <c r="M3" s="11" t="s">
        <v>49</v>
      </c>
      <c r="N3" s="8" t="s">
        <v>50</v>
      </c>
      <c r="O3" s="13" t="s">
        <v>50</v>
      </c>
      <c r="P3" s="10" t="s">
        <v>51</v>
      </c>
      <c r="Q3" s="10" t="s">
        <v>52</v>
      </c>
      <c r="R3" s="8" t="s">
        <v>53</v>
      </c>
      <c r="S3" s="14" t="s">
        <v>54</v>
      </c>
      <c r="T3" s="11" t="s">
        <v>54</v>
      </c>
      <c r="U3" s="15" t="s">
        <v>50</v>
      </c>
      <c r="V3" s="10" t="s">
        <v>55</v>
      </c>
      <c r="W3" s="8" t="s">
        <v>56</v>
      </c>
      <c r="X3" s="8" t="s">
        <v>57</v>
      </c>
      <c r="Y3" s="8" t="s">
        <v>47</v>
      </c>
      <c r="Z3" s="8" t="s">
        <v>58</v>
      </c>
      <c r="AA3" s="8" t="s">
        <v>59</v>
      </c>
      <c r="AB3" s="10" t="s">
        <v>60</v>
      </c>
      <c r="AC3" s="10" t="s">
        <v>61</v>
      </c>
      <c r="AD3" s="10" t="s">
        <v>62</v>
      </c>
      <c r="AE3" s="8" t="s">
        <v>47</v>
      </c>
      <c r="AF3" s="8" t="s">
        <v>54</v>
      </c>
      <c r="AG3" s="10" t="s">
        <v>63</v>
      </c>
      <c r="AH3" s="11" t="s">
        <v>64</v>
      </c>
      <c r="AI3" s="10" t="s">
        <v>65</v>
      </c>
      <c r="AJ3" s="8" t="s">
        <v>66</v>
      </c>
      <c r="AK3" s="8" t="s">
        <v>67</v>
      </c>
      <c r="AL3" s="11" t="s">
        <v>67</v>
      </c>
      <c r="AM3" s="11" t="s">
        <v>307</v>
      </c>
      <c r="AN3" s="15" t="s">
        <v>50</v>
      </c>
      <c r="AO3" s="10" t="s">
        <v>68</v>
      </c>
      <c r="AP3" s="16" t="s">
        <v>69</v>
      </c>
      <c r="AQ3" s="8" t="s">
        <v>70</v>
      </c>
      <c r="AR3" s="8" t="s">
        <v>70</v>
      </c>
      <c r="AS3" s="8" t="s">
        <v>70</v>
      </c>
      <c r="AT3" t="s">
        <v>71</v>
      </c>
    </row>
    <row r="4" spans="1:46">
      <c r="A4" s="1" t="s">
        <v>72</v>
      </c>
      <c r="B4" s="8">
        <v>2019</v>
      </c>
      <c r="C4" s="8">
        <v>2019</v>
      </c>
      <c r="D4" s="8">
        <v>2019</v>
      </c>
      <c r="E4" s="8">
        <v>2019</v>
      </c>
      <c r="F4" s="8">
        <v>2019</v>
      </c>
      <c r="G4" s="8">
        <v>2019</v>
      </c>
      <c r="H4" s="8">
        <v>2021</v>
      </c>
      <c r="I4" s="8">
        <v>2021</v>
      </c>
      <c r="J4" s="8">
        <v>2019</v>
      </c>
      <c r="K4" s="8" t="s">
        <v>73</v>
      </c>
      <c r="L4" s="8">
        <v>2022</v>
      </c>
      <c r="M4" s="8">
        <v>2021</v>
      </c>
      <c r="N4" s="8">
        <v>2020</v>
      </c>
      <c r="O4" s="8">
        <v>2020</v>
      </c>
      <c r="P4" s="8">
        <v>2021</v>
      </c>
      <c r="Q4" s="8">
        <v>2021</v>
      </c>
      <c r="R4" s="8" t="s">
        <v>74</v>
      </c>
      <c r="S4" s="8">
        <v>2021</v>
      </c>
      <c r="T4" s="8">
        <v>2021</v>
      </c>
      <c r="U4" s="8">
        <v>2020</v>
      </c>
      <c r="V4" s="8">
        <v>2022</v>
      </c>
      <c r="W4" s="8">
        <v>2021</v>
      </c>
      <c r="X4" s="8">
        <v>2019</v>
      </c>
      <c r="Y4" s="8">
        <v>2019</v>
      </c>
      <c r="Z4" s="8">
        <v>2022</v>
      </c>
      <c r="AA4" s="8">
        <v>2022</v>
      </c>
      <c r="AB4" s="8">
        <v>2021</v>
      </c>
      <c r="AC4" s="8">
        <v>2023</v>
      </c>
      <c r="AD4" s="8">
        <v>2021</v>
      </c>
      <c r="AE4" s="8">
        <v>2019</v>
      </c>
      <c r="AF4" s="8">
        <v>2021</v>
      </c>
      <c r="AG4" s="8" t="s">
        <v>75</v>
      </c>
      <c r="AH4" s="8">
        <v>2022</v>
      </c>
      <c r="AI4" s="8">
        <v>2021</v>
      </c>
      <c r="AJ4" s="8">
        <v>2021</v>
      </c>
      <c r="AK4" s="8">
        <v>2022</v>
      </c>
      <c r="AL4" s="8">
        <v>2022</v>
      </c>
      <c r="AM4" s="8">
        <v>2022</v>
      </c>
      <c r="AN4" s="8">
        <v>2019</v>
      </c>
      <c r="AO4" s="8">
        <v>2021</v>
      </c>
      <c r="AP4" s="8">
        <v>2020</v>
      </c>
      <c r="AQ4" s="8">
        <v>2022</v>
      </c>
      <c r="AR4" s="8">
        <v>2022</v>
      </c>
      <c r="AS4" s="8">
        <v>2022</v>
      </c>
      <c r="AT4" s="8">
        <v>2022</v>
      </c>
    </row>
    <row r="5" spans="1:46">
      <c r="A5" s="4" t="s">
        <v>76</v>
      </c>
      <c r="B5">
        <v>5.5300239527602497E-2</v>
      </c>
      <c r="C5">
        <v>4.2335715942717199E-2</v>
      </c>
      <c r="D5">
        <v>5.0390735848853197E-3</v>
      </c>
      <c r="E5" s="8">
        <v>0</v>
      </c>
      <c r="F5" s="8">
        <v>0</v>
      </c>
      <c r="G5">
        <v>7.9254500000000005E-3</v>
      </c>
      <c r="H5" s="17">
        <v>37</v>
      </c>
      <c r="I5" s="8">
        <v>13.3</v>
      </c>
      <c r="J5" s="18" t="s">
        <v>77</v>
      </c>
      <c r="K5" s="18" t="s">
        <v>77</v>
      </c>
      <c r="L5" s="8">
        <v>26</v>
      </c>
      <c r="M5" s="8">
        <v>25</v>
      </c>
      <c r="N5" s="19">
        <v>75.091000000000008</v>
      </c>
      <c r="O5" s="18" t="s">
        <v>77</v>
      </c>
      <c r="P5" s="8">
        <v>2.9</v>
      </c>
      <c r="Q5" s="20">
        <v>40099.46</v>
      </c>
      <c r="R5" s="8">
        <v>-5506547</v>
      </c>
      <c r="S5" s="8">
        <v>3</v>
      </c>
      <c r="T5" s="8">
        <v>62</v>
      </c>
      <c r="U5" s="19">
        <v>0.443</v>
      </c>
      <c r="V5" s="19">
        <v>6</v>
      </c>
      <c r="W5" s="21">
        <v>9390149</v>
      </c>
      <c r="X5" s="18" t="s">
        <v>78</v>
      </c>
      <c r="Y5" s="18" t="s">
        <v>78</v>
      </c>
      <c r="Z5" s="18" t="s">
        <v>78</v>
      </c>
      <c r="AA5" s="18" t="s">
        <v>78</v>
      </c>
      <c r="AB5" s="8">
        <v>66797.919999999998</v>
      </c>
      <c r="AC5" s="18" t="s">
        <v>78</v>
      </c>
      <c r="AD5" s="8">
        <v>20.6</v>
      </c>
      <c r="AE5" s="18" t="s">
        <v>78</v>
      </c>
      <c r="AF5" s="8">
        <v>10.3</v>
      </c>
      <c r="AG5" s="8"/>
      <c r="AH5" s="8">
        <v>4.2999999999999997E-2</v>
      </c>
      <c r="AI5" s="8">
        <v>16</v>
      </c>
      <c r="AJ5" s="8">
        <v>20</v>
      </c>
      <c r="AK5" s="8">
        <v>0</v>
      </c>
      <c r="AL5" s="8">
        <v>0</v>
      </c>
      <c r="AM5" s="8">
        <v>15.5</v>
      </c>
      <c r="AN5" s="19">
        <v>54.95</v>
      </c>
      <c r="AO5" s="8">
        <v>54.171398858169198</v>
      </c>
      <c r="AP5" s="21">
        <v>97.699996948242202</v>
      </c>
      <c r="AQ5" s="8">
        <v>36.9</v>
      </c>
      <c r="AR5" s="8">
        <v>4.4000000000000004</v>
      </c>
      <c r="AS5" s="8">
        <v>65.599999999999994</v>
      </c>
      <c r="AT5" s="8">
        <v>3.5539999999999998</v>
      </c>
    </row>
    <row r="6" spans="1:46">
      <c r="A6" s="22" t="s">
        <v>79</v>
      </c>
      <c r="B6">
        <v>9.1399757885471597E-2</v>
      </c>
      <c r="C6">
        <v>1.13555559521066E-3</v>
      </c>
      <c r="D6">
        <v>2.7492780838860001E-3</v>
      </c>
      <c r="E6">
        <v>4.1423178506375002E-2</v>
      </c>
      <c r="F6" s="8">
        <v>0</v>
      </c>
      <c r="G6">
        <v>4.6091745699999999E-2</v>
      </c>
      <c r="H6" s="17">
        <v>62</v>
      </c>
      <c r="I6" s="8">
        <v>11.8</v>
      </c>
      <c r="J6" s="8">
        <v>65.8</v>
      </c>
      <c r="K6" s="8">
        <v>35</v>
      </c>
      <c r="L6" s="8">
        <v>51</v>
      </c>
      <c r="M6" s="8">
        <v>49</v>
      </c>
      <c r="N6" s="19">
        <v>95.067999999999998</v>
      </c>
      <c r="O6" s="23">
        <v>5.84</v>
      </c>
      <c r="P6" s="8">
        <v>-0.9</v>
      </c>
      <c r="Q6" s="13">
        <v>2911.67</v>
      </c>
      <c r="R6" s="8">
        <v>-2392168.08</v>
      </c>
      <c r="S6" s="8">
        <v>11.3</v>
      </c>
      <c r="T6" s="8">
        <v>76.5</v>
      </c>
      <c r="U6" s="19">
        <v>0.48299999999999998</v>
      </c>
      <c r="V6" s="19">
        <v>3</v>
      </c>
      <c r="W6" s="21">
        <v>1377655</v>
      </c>
      <c r="X6" s="8">
        <v>30</v>
      </c>
      <c r="Y6" s="8">
        <v>57.7</v>
      </c>
      <c r="Z6" s="8">
        <v>4.3</v>
      </c>
      <c r="AA6" s="8">
        <v>70.2</v>
      </c>
      <c r="AB6" s="8">
        <v>44169.17</v>
      </c>
      <c r="AC6" s="8">
        <f>6.59*1000</f>
        <v>6590</v>
      </c>
      <c r="AD6" s="8">
        <v>1218.5899999999999</v>
      </c>
      <c r="AE6" s="8">
        <v>26.8</v>
      </c>
      <c r="AF6" s="8">
        <v>14.4</v>
      </c>
      <c r="AG6" s="8"/>
      <c r="AH6" s="8">
        <v>0.107</v>
      </c>
      <c r="AI6" s="8">
        <v>35</v>
      </c>
      <c r="AJ6" s="8">
        <v>15</v>
      </c>
      <c r="AK6" s="8">
        <v>1</v>
      </c>
      <c r="AL6" s="8" t="s">
        <v>78</v>
      </c>
      <c r="AM6" s="8">
        <v>37.5</v>
      </c>
      <c r="AN6" s="19">
        <v>17.541</v>
      </c>
      <c r="AO6" s="8">
        <v>67.484035155935302</v>
      </c>
      <c r="AP6" s="21">
        <v>100</v>
      </c>
      <c r="AQ6" s="8">
        <v>45.5</v>
      </c>
      <c r="AR6" s="8">
        <v>13.4</v>
      </c>
      <c r="AS6" s="8">
        <v>52.5</v>
      </c>
      <c r="AT6" s="8">
        <v>1.7609999999999999</v>
      </c>
    </row>
    <row r="7" spans="1:46">
      <c r="A7" s="4" t="s">
        <v>80</v>
      </c>
      <c r="B7">
        <v>6.4746000130716599</v>
      </c>
      <c r="C7" s="8">
        <v>0</v>
      </c>
      <c r="D7">
        <v>3.3397051333680001</v>
      </c>
      <c r="E7">
        <v>3.1274413947036601</v>
      </c>
      <c r="F7" s="8">
        <v>0</v>
      </c>
      <c r="G7">
        <v>7.4534850000000001E-3</v>
      </c>
      <c r="H7" s="19">
        <v>75</v>
      </c>
      <c r="I7" s="8">
        <v>12.7</v>
      </c>
      <c r="J7" s="8">
        <v>41.5</v>
      </c>
      <c r="K7" s="18" t="s">
        <v>78</v>
      </c>
      <c r="L7" s="8">
        <v>52</v>
      </c>
      <c r="M7" s="8">
        <v>52</v>
      </c>
      <c r="N7" s="19">
        <v>94.436999999999998</v>
      </c>
      <c r="O7" s="23">
        <v>2.42</v>
      </c>
      <c r="P7" s="8">
        <v>1.7</v>
      </c>
      <c r="Q7" s="13">
        <v>44177.97</v>
      </c>
      <c r="R7" s="8">
        <v>-2546282.2799999998</v>
      </c>
      <c r="S7" s="8">
        <v>8.1</v>
      </c>
      <c r="T7" s="8">
        <v>76.400000000000006</v>
      </c>
      <c r="U7" s="19">
        <v>0.52600000000000002</v>
      </c>
      <c r="V7" s="19">
        <v>5</v>
      </c>
      <c r="W7" s="21">
        <v>12312259</v>
      </c>
      <c r="X7" s="8">
        <v>34</v>
      </c>
      <c r="Y7" s="8">
        <v>63.8</v>
      </c>
      <c r="Z7" s="8">
        <v>8.6999999999999993</v>
      </c>
      <c r="AA7" s="8">
        <v>70.3</v>
      </c>
      <c r="AB7" s="8">
        <v>535802.56000000006</v>
      </c>
      <c r="AC7" s="8">
        <v>4160</v>
      </c>
      <c r="AD7" s="8">
        <v>869.68</v>
      </c>
      <c r="AE7" s="8">
        <v>25</v>
      </c>
      <c r="AF7" s="8">
        <v>14.6</v>
      </c>
      <c r="AG7" s="8"/>
      <c r="AH7" s="8">
        <v>3.9E-2</v>
      </c>
      <c r="AI7" s="8">
        <v>33</v>
      </c>
      <c r="AJ7" s="8">
        <v>26</v>
      </c>
      <c r="AK7" s="8">
        <v>0</v>
      </c>
      <c r="AL7" s="8" t="s">
        <v>78</v>
      </c>
      <c r="AM7" s="8">
        <v>39.4</v>
      </c>
      <c r="AN7" s="19">
        <v>41.256</v>
      </c>
      <c r="AO7" s="8">
        <v>63.1059234876316</v>
      </c>
      <c r="AP7" s="21">
        <v>99.804130554199205</v>
      </c>
      <c r="AQ7" s="8">
        <v>31.6</v>
      </c>
      <c r="AR7" s="8">
        <v>32</v>
      </c>
      <c r="AS7" s="8">
        <v>20.9</v>
      </c>
      <c r="AT7" s="8">
        <v>2.1459999999999999</v>
      </c>
    </row>
    <row r="8" spans="1:46">
      <c r="A8" s="4" t="s">
        <v>81</v>
      </c>
      <c r="B8">
        <v>4.4524999999999998E-5</v>
      </c>
      <c r="C8" s="8">
        <v>0</v>
      </c>
      <c r="D8" s="8">
        <v>0</v>
      </c>
      <c r="E8" s="8">
        <v>0</v>
      </c>
      <c r="F8" s="8">
        <v>0</v>
      </c>
      <c r="G8">
        <v>4.4524999999999998E-5</v>
      </c>
      <c r="H8" s="18" t="s">
        <v>78</v>
      </c>
      <c r="I8" s="18" t="s">
        <v>78</v>
      </c>
      <c r="J8" s="18" t="s">
        <v>78</v>
      </c>
      <c r="K8" s="18" t="s">
        <v>78</v>
      </c>
      <c r="L8" s="18" t="s">
        <v>78</v>
      </c>
      <c r="M8" s="24" t="s">
        <v>78</v>
      </c>
      <c r="N8" s="18" t="s">
        <v>77</v>
      </c>
      <c r="O8" s="18" t="s">
        <v>77</v>
      </c>
      <c r="P8" s="8">
        <v>-2.5</v>
      </c>
      <c r="Q8" s="13">
        <v>45.03</v>
      </c>
      <c r="R8" s="24" t="s">
        <v>78</v>
      </c>
      <c r="S8" s="24" t="s">
        <v>78</v>
      </c>
      <c r="T8" s="24" t="s">
        <v>78</v>
      </c>
      <c r="U8" s="24" t="s">
        <v>78</v>
      </c>
      <c r="V8" s="18" t="s">
        <v>78</v>
      </c>
      <c r="W8" s="18" t="s">
        <v>78</v>
      </c>
      <c r="X8" s="18" t="s">
        <v>78</v>
      </c>
      <c r="Y8" s="18" t="s">
        <v>78</v>
      </c>
      <c r="Z8" s="18" t="s">
        <v>78</v>
      </c>
      <c r="AA8" s="18" t="s">
        <v>78</v>
      </c>
      <c r="AB8" s="18" t="s">
        <v>78</v>
      </c>
      <c r="AC8" s="18" t="s">
        <v>78</v>
      </c>
      <c r="AD8" s="18" t="s">
        <v>78</v>
      </c>
      <c r="AE8" s="18" t="s">
        <v>78</v>
      </c>
      <c r="AF8" s="24" t="s">
        <v>78</v>
      </c>
      <c r="AG8" s="8"/>
      <c r="AH8" s="24" t="s">
        <v>78</v>
      </c>
      <c r="AI8" s="24" t="s">
        <v>78</v>
      </c>
      <c r="AJ8" s="8">
        <v>34</v>
      </c>
      <c r="AK8" s="8">
        <v>0</v>
      </c>
      <c r="AL8" s="8" t="s">
        <v>78</v>
      </c>
      <c r="AM8" s="24" t="s">
        <v>78</v>
      </c>
      <c r="AN8" s="24" t="s">
        <v>78</v>
      </c>
      <c r="AO8" s="8">
        <v>65.643388475630104</v>
      </c>
      <c r="AP8" s="24" t="s">
        <v>78</v>
      </c>
      <c r="AQ8" s="24" t="s">
        <v>78</v>
      </c>
      <c r="AR8" s="24" t="s">
        <v>78</v>
      </c>
      <c r="AS8" s="24" t="s">
        <v>78</v>
      </c>
      <c r="AT8" s="24" t="s">
        <v>78</v>
      </c>
    </row>
    <row r="9" spans="1:46">
      <c r="A9" s="4" t="s">
        <v>82</v>
      </c>
      <c r="B9" s="18" t="s">
        <v>78</v>
      </c>
      <c r="C9" s="18" t="s">
        <v>78</v>
      </c>
      <c r="D9" s="18" t="s">
        <v>78</v>
      </c>
      <c r="E9" s="18" t="s">
        <v>78</v>
      </c>
      <c r="F9" s="18" t="s">
        <v>78</v>
      </c>
      <c r="G9" s="18" t="s">
        <v>78</v>
      </c>
      <c r="H9" s="18" t="s">
        <v>78</v>
      </c>
      <c r="I9" s="18" t="s">
        <v>78</v>
      </c>
      <c r="J9" s="18" t="s">
        <v>78</v>
      </c>
      <c r="K9" s="8">
        <v>63</v>
      </c>
      <c r="L9" s="18" t="s">
        <v>78</v>
      </c>
      <c r="M9" s="24" t="s">
        <v>78</v>
      </c>
      <c r="N9" s="17">
        <v>100</v>
      </c>
      <c r="O9" s="18" t="s">
        <v>77</v>
      </c>
      <c r="P9" s="8">
        <v>1.7</v>
      </c>
      <c r="Q9" s="13">
        <v>79.03</v>
      </c>
      <c r="R9" s="8">
        <v>114551.91</v>
      </c>
      <c r="S9" s="8">
        <v>10.6</v>
      </c>
      <c r="T9" s="8">
        <v>80.400000000000006</v>
      </c>
      <c r="U9" s="24" t="s">
        <v>78</v>
      </c>
      <c r="V9" s="18" t="s">
        <v>78</v>
      </c>
      <c r="W9" s="18" t="s">
        <v>78</v>
      </c>
      <c r="X9" s="18" t="s">
        <v>78</v>
      </c>
      <c r="Y9" s="18" t="s">
        <v>78</v>
      </c>
      <c r="Z9" s="8">
        <v>2.8</v>
      </c>
      <c r="AA9" s="8">
        <v>40.700000000000003</v>
      </c>
      <c r="AB9" s="18" t="s">
        <v>78</v>
      </c>
      <c r="AC9" s="8">
        <f>40.64*1000</f>
        <v>40640</v>
      </c>
      <c r="AD9" s="18" t="s">
        <v>78</v>
      </c>
      <c r="AE9" s="18" t="s">
        <v>78</v>
      </c>
      <c r="AF9" s="8">
        <v>13.3</v>
      </c>
      <c r="AG9" s="8"/>
      <c r="AH9" s="24" t="s">
        <v>78</v>
      </c>
      <c r="AI9" s="24" t="s">
        <v>78</v>
      </c>
      <c r="AJ9" s="8">
        <v>10</v>
      </c>
      <c r="AK9" s="8">
        <v>0</v>
      </c>
      <c r="AL9" s="8" t="s">
        <v>78</v>
      </c>
      <c r="AM9" s="24" t="s">
        <v>78</v>
      </c>
      <c r="AN9" s="17">
        <v>11.189</v>
      </c>
      <c r="AO9" s="8">
        <v>72.389731001847295</v>
      </c>
      <c r="AP9" s="21">
        <v>100</v>
      </c>
      <c r="AQ9" s="24" t="s">
        <v>78</v>
      </c>
      <c r="AR9" s="24" t="s">
        <v>78</v>
      </c>
      <c r="AS9" s="24" t="s">
        <v>78</v>
      </c>
      <c r="AT9" s="24" t="s">
        <v>78</v>
      </c>
    </row>
    <row r="10" spans="1:46">
      <c r="A10" s="25" t="s">
        <v>83</v>
      </c>
      <c r="B10">
        <v>3.5266384694823101</v>
      </c>
      <c r="C10" s="8">
        <v>0</v>
      </c>
      <c r="D10">
        <v>0.25023258120000003</v>
      </c>
      <c r="E10">
        <v>3.1776316282823101</v>
      </c>
      <c r="F10" s="8">
        <v>0</v>
      </c>
      <c r="G10">
        <v>9.8774260000000003E-2</v>
      </c>
      <c r="H10" s="17">
        <v>39</v>
      </c>
      <c r="I10" s="8">
        <v>8.5</v>
      </c>
      <c r="J10" s="26">
        <v>45.5</v>
      </c>
      <c r="K10" s="26">
        <v>25</v>
      </c>
      <c r="L10" s="8">
        <v>42</v>
      </c>
      <c r="M10" s="8">
        <v>4</v>
      </c>
      <c r="N10" s="17">
        <v>57.167999999999999</v>
      </c>
      <c r="O10" s="23">
        <v>75.69</v>
      </c>
      <c r="P10" s="8">
        <v>3.2</v>
      </c>
      <c r="Q10" s="13">
        <v>34503.769999999997</v>
      </c>
      <c r="R10" s="8">
        <v>14829788.6</v>
      </c>
      <c r="S10" s="26">
        <v>5.4</v>
      </c>
      <c r="T10" s="26">
        <v>61.6</v>
      </c>
      <c r="U10" s="17">
        <v>0.46800000000000003</v>
      </c>
      <c r="V10" s="17">
        <v>4</v>
      </c>
      <c r="W10" s="21">
        <v>14462432</v>
      </c>
      <c r="X10" s="26">
        <v>19</v>
      </c>
      <c r="Y10" s="26">
        <v>40.200000000000003</v>
      </c>
      <c r="Z10" s="8">
        <v>11.8</v>
      </c>
      <c r="AA10" s="8">
        <v>52.5</v>
      </c>
      <c r="AB10" s="8">
        <v>223968.33</v>
      </c>
      <c r="AC10" s="8">
        <f>4*1000</f>
        <v>4000</v>
      </c>
      <c r="AD10" s="8">
        <v>-4355.12</v>
      </c>
      <c r="AE10" s="26">
        <v>14.9</v>
      </c>
      <c r="AF10" s="26">
        <v>12.2</v>
      </c>
      <c r="AG10" s="26"/>
      <c r="AH10" s="26">
        <v>2.3E-2</v>
      </c>
      <c r="AI10" s="26">
        <v>29</v>
      </c>
      <c r="AJ10" s="8">
        <v>25</v>
      </c>
      <c r="AK10" s="8">
        <v>3</v>
      </c>
      <c r="AL10" s="26" t="s">
        <v>78</v>
      </c>
      <c r="AM10" s="8">
        <v>23.1</v>
      </c>
      <c r="AN10" s="17">
        <v>32.322000000000003</v>
      </c>
      <c r="AO10" s="8">
        <v>52.2264253212768</v>
      </c>
      <c r="AP10" s="21">
        <v>46.890609741210902</v>
      </c>
      <c r="AQ10" s="8">
        <v>28.6</v>
      </c>
      <c r="AR10" s="8">
        <v>9.6</v>
      </c>
      <c r="AS10" s="8">
        <v>37.700000000000003</v>
      </c>
      <c r="AT10" s="8">
        <v>1.982</v>
      </c>
    </row>
    <row r="11" spans="1:46">
      <c r="A11" s="27" t="s">
        <v>84</v>
      </c>
      <c r="B11">
        <v>1.15765E-4</v>
      </c>
      <c r="C11" s="8">
        <v>0</v>
      </c>
      <c r="D11" s="8">
        <v>0</v>
      </c>
      <c r="E11" s="8">
        <v>0</v>
      </c>
      <c r="F11" s="8">
        <v>0</v>
      </c>
      <c r="G11">
        <v>1.15765E-4</v>
      </c>
      <c r="H11" s="17">
        <v>72</v>
      </c>
      <c r="I11" s="8"/>
      <c r="J11" s="28" t="s">
        <v>78</v>
      </c>
      <c r="K11" s="24" t="s">
        <v>78</v>
      </c>
      <c r="L11" s="24" t="s">
        <v>78</v>
      </c>
      <c r="M11" s="24" t="s">
        <v>78</v>
      </c>
      <c r="N11" s="17">
        <v>96.739000000000004</v>
      </c>
      <c r="O11" s="23" t="s">
        <v>85</v>
      </c>
      <c r="P11" s="8">
        <v>0.6</v>
      </c>
      <c r="Q11" s="13">
        <v>93.22</v>
      </c>
      <c r="R11" s="8">
        <v>-119321.58</v>
      </c>
      <c r="S11" s="26">
        <v>9.3000000000000007</v>
      </c>
      <c r="T11" s="26">
        <v>78.5</v>
      </c>
      <c r="U11" s="17">
        <v>0.84</v>
      </c>
      <c r="V11" s="18" t="s">
        <v>78</v>
      </c>
      <c r="W11" s="18" t="s">
        <v>78</v>
      </c>
      <c r="X11" s="28" t="s">
        <v>78</v>
      </c>
      <c r="Y11" s="28" t="s">
        <v>78</v>
      </c>
      <c r="Z11" s="8">
        <v>4.5</v>
      </c>
      <c r="AA11" s="8">
        <v>84.4</v>
      </c>
      <c r="AB11" s="8">
        <v>1958.53</v>
      </c>
      <c r="AC11" s="8">
        <f>18.26*1000</f>
        <v>18260</v>
      </c>
      <c r="AD11" s="8">
        <v>104.33</v>
      </c>
      <c r="AE11" s="24" t="s">
        <v>78</v>
      </c>
      <c r="AF11" s="26">
        <v>14.2</v>
      </c>
      <c r="AG11" s="26"/>
      <c r="AH11" s="24" t="s">
        <v>78</v>
      </c>
      <c r="AI11" s="24" t="s">
        <v>78</v>
      </c>
      <c r="AJ11" s="8">
        <v>25</v>
      </c>
      <c r="AK11" s="8">
        <v>0</v>
      </c>
      <c r="AL11" s="8" t="s">
        <v>78</v>
      </c>
      <c r="AM11" s="8">
        <v>56.5</v>
      </c>
      <c r="AN11" s="17">
        <v>17.641000000000002</v>
      </c>
      <c r="AO11" s="8">
        <v>70.986220694168097</v>
      </c>
      <c r="AP11" s="21">
        <v>100</v>
      </c>
      <c r="AQ11" s="8">
        <v>43.6</v>
      </c>
      <c r="AR11" s="8">
        <v>62.3</v>
      </c>
      <c r="AS11" s="8">
        <v>60.2</v>
      </c>
    </row>
    <row r="12" spans="1:46">
      <c r="A12" s="22" t="s">
        <v>86</v>
      </c>
      <c r="B12">
        <v>3.4340616299064601</v>
      </c>
      <c r="C12">
        <v>4.9272919021225796E-4</v>
      </c>
      <c r="D12">
        <v>1.6135832397300001</v>
      </c>
      <c r="E12">
        <v>1.30400884573625</v>
      </c>
      <c r="F12">
        <v>9.3123237085499994E-2</v>
      </c>
      <c r="G12">
        <v>0.42285357816449998</v>
      </c>
      <c r="H12" s="17">
        <v>73</v>
      </c>
      <c r="I12" s="8">
        <v>10.9</v>
      </c>
      <c r="J12" s="8">
        <v>51.1</v>
      </c>
      <c r="K12" s="8">
        <v>15</v>
      </c>
      <c r="L12" s="8">
        <v>55</v>
      </c>
      <c r="M12" s="8">
        <v>31</v>
      </c>
      <c r="N12" s="17">
        <v>99.024000000000001</v>
      </c>
      <c r="O12" s="23">
        <v>2.96</v>
      </c>
      <c r="P12" s="8">
        <v>0.9</v>
      </c>
      <c r="Q12" s="13">
        <v>45808.75</v>
      </c>
      <c r="R12" s="8">
        <v>15052826.49</v>
      </c>
      <c r="S12" s="8">
        <v>11.1</v>
      </c>
      <c r="T12" s="8">
        <v>75.400000000000006</v>
      </c>
      <c r="U12" s="17">
        <v>0.64900000000000002</v>
      </c>
      <c r="V12" s="17">
        <v>3</v>
      </c>
      <c r="W12" s="21">
        <v>21206029</v>
      </c>
      <c r="X12" s="8">
        <v>42</v>
      </c>
      <c r="Y12" s="8">
        <v>68.3</v>
      </c>
      <c r="Z12" s="8">
        <v>76.099999999999994</v>
      </c>
      <c r="AA12" s="8">
        <v>69.5</v>
      </c>
      <c r="AB12" s="8">
        <v>1083361.76</v>
      </c>
      <c r="AC12" s="8">
        <f>13.77*1000</f>
        <v>13770</v>
      </c>
      <c r="AD12" s="8">
        <v>6782.35</v>
      </c>
      <c r="AE12" s="8">
        <v>23.8</v>
      </c>
      <c r="AF12" s="8">
        <v>17.899999999999999</v>
      </c>
      <c r="AG12" s="8"/>
      <c r="AH12" s="8">
        <v>3.5999999999999997E-2</v>
      </c>
      <c r="AI12" s="8">
        <v>38</v>
      </c>
      <c r="AJ12" s="8">
        <v>25</v>
      </c>
      <c r="AK12" s="8">
        <v>20</v>
      </c>
      <c r="AL12" s="8">
        <v>2188178</v>
      </c>
      <c r="AM12" s="8">
        <v>52</v>
      </c>
      <c r="AN12" s="17">
        <v>12.612</v>
      </c>
      <c r="AO12" s="8">
        <v>64.821355449747102</v>
      </c>
      <c r="AP12" s="17">
        <v>100</v>
      </c>
      <c r="AQ12" s="8">
        <v>38.9</v>
      </c>
      <c r="AR12" s="8">
        <v>42.4</v>
      </c>
      <c r="AS12" s="8">
        <v>35.5</v>
      </c>
      <c r="AT12" s="8">
        <v>1.911</v>
      </c>
    </row>
    <row r="13" spans="1:46">
      <c r="A13" s="22" t="s">
        <v>87</v>
      </c>
      <c r="B13">
        <v>4.5262562450000002E-2</v>
      </c>
      <c r="C13" s="8">
        <v>0</v>
      </c>
      <c r="D13" s="8">
        <v>0</v>
      </c>
      <c r="E13" s="8">
        <v>0</v>
      </c>
      <c r="F13">
        <v>2.3790024999999999E-2</v>
      </c>
      <c r="G13">
        <v>2.1472537449999999E-2</v>
      </c>
      <c r="H13" s="17">
        <v>69</v>
      </c>
      <c r="I13" s="8">
        <v>20.9</v>
      </c>
      <c r="J13" s="8">
        <v>55.2</v>
      </c>
      <c r="K13" s="8">
        <v>14</v>
      </c>
      <c r="L13" s="8">
        <v>62</v>
      </c>
      <c r="M13" s="8">
        <v>44</v>
      </c>
      <c r="N13" s="17">
        <v>99.971000000000004</v>
      </c>
      <c r="O13" s="23">
        <v>10.71</v>
      </c>
      <c r="P13" s="8">
        <v>-0.5</v>
      </c>
      <c r="Q13" s="13">
        <v>2790.97</v>
      </c>
      <c r="R13" s="8">
        <v>-1107862.4099999999</v>
      </c>
      <c r="S13" s="8">
        <v>11.3</v>
      </c>
      <c r="T13" s="8">
        <v>72</v>
      </c>
      <c r="U13" s="24" t="s">
        <v>78</v>
      </c>
      <c r="V13" s="29">
        <v>3</v>
      </c>
      <c r="W13" s="21">
        <v>1153003</v>
      </c>
      <c r="X13" s="8">
        <v>39</v>
      </c>
      <c r="Y13" s="8">
        <v>69.400000000000006</v>
      </c>
      <c r="Z13" s="8">
        <v>7</v>
      </c>
      <c r="AA13" s="8">
        <v>52.9</v>
      </c>
      <c r="AB13" s="8">
        <v>43518.23</v>
      </c>
      <c r="AC13" s="8">
        <f>6.57*1000</f>
        <v>6570</v>
      </c>
      <c r="AD13" s="8">
        <v>367.69</v>
      </c>
      <c r="AE13" s="8">
        <v>36.4</v>
      </c>
      <c r="AF13" s="8">
        <v>13.1</v>
      </c>
      <c r="AG13" s="8"/>
      <c r="AH13" s="8">
        <v>0.10199999999999999</v>
      </c>
      <c r="AI13" s="8">
        <v>49</v>
      </c>
      <c r="AJ13" s="8">
        <v>18</v>
      </c>
      <c r="AK13" s="8">
        <v>0</v>
      </c>
      <c r="AL13" s="8" t="s">
        <v>78</v>
      </c>
      <c r="AM13" s="8">
        <v>32.1</v>
      </c>
      <c r="AN13" s="17">
        <v>32.241</v>
      </c>
      <c r="AO13" s="8">
        <v>66.832039071671602</v>
      </c>
      <c r="AP13" s="17">
        <v>100</v>
      </c>
      <c r="AQ13" s="8">
        <v>58.1</v>
      </c>
      <c r="AR13" s="8">
        <v>37.5</v>
      </c>
      <c r="AS13" s="8">
        <v>41.4</v>
      </c>
      <c r="AT13" s="8">
        <v>1.992</v>
      </c>
    </row>
    <row r="14" spans="1:46">
      <c r="A14" s="4" t="s">
        <v>88</v>
      </c>
      <c r="B14">
        <v>1.30647036E-3</v>
      </c>
      <c r="C14" s="8">
        <v>0</v>
      </c>
      <c r="D14" s="8">
        <v>0</v>
      </c>
      <c r="E14" s="8">
        <v>0</v>
      </c>
      <c r="F14" s="8">
        <v>0</v>
      </c>
      <c r="G14">
        <v>1.30647036E-3</v>
      </c>
      <c r="H14" s="18" t="s">
        <v>78</v>
      </c>
      <c r="I14" s="18" t="s">
        <v>78</v>
      </c>
      <c r="J14" s="18" t="s">
        <v>78</v>
      </c>
      <c r="K14" s="8">
        <v>52</v>
      </c>
      <c r="L14" s="24" t="s">
        <v>78</v>
      </c>
      <c r="M14" s="24" t="s">
        <v>78</v>
      </c>
      <c r="N14" s="18" t="s">
        <v>77</v>
      </c>
      <c r="O14" s="18" t="s">
        <v>77</v>
      </c>
      <c r="P14" s="8">
        <v>0</v>
      </c>
      <c r="Q14" s="13">
        <v>106.54</v>
      </c>
      <c r="R14" s="8">
        <v>253587.68</v>
      </c>
      <c r="S14" s="24" t="s">
        <v>78</v>
      </c>
      <c r="T14" s="24" t="s">
        <v>78</v>
      </c>
      <c r="U14" s="24" t="s">
        <v>78</v>
      </c>
      <c r="V14" s="18" t="s">
        <v>78</v>
      </c>
      <c r="W14" s="18" t="s">
        <v>78</v>
      </c>
      <c r="X14" s="18" t="s">
        <v>78</v>
      </c>
      <c r="Y14" s="18" t="s">
        <v>78</v>
      </c>
      <c r="Z14" s="8">
        <v>5.5</v>
      </c>
      <c r="AA14" s="8">
        <v>93.1</v>
      </c>
      <c r="AB14" s="8">
        <v>4548.96</v>
      </c>
      <c r="AC14" s="8">
        <f>33.48*1000</f>
        <v>33480</v>
      </c>
      <c r="AD14" s="8">
        <v>134.29</v>
      </c>
      <c r="AE14" s="24" t="s">
        <v>78</v>
      </c>
      <c r="AF14" s="24" t="s">
        <v>78</v>
      </c>
      <c r="AG14" s="8"/>
      <c r="AH14" s="8">
        <v>0.185</v>
      </c>
      <c r="AI14" s="8"/>
      <c r="AJ14" s="8">
        <v>25</v>
      </c>
      <c r="AK14" s="8">
        <v>2</v>
      </c>
      <c r="AL14" s="8">
        <v>1075844</v>
      </c>
      <c r="AM14" s="24" t="s">
        <v>78</v>
      </c>
      <c r="AN14" s="24" t="s">
        <v>78</v>
      </c>
      <c r="AO14" s="8">
        <v>67.657094047579903</v>
      </c>
      <c r="AP14" s="21">
        <v>100</v>
      </c>
      <c r="AQ14" s="24" t="s">
        <v>78</v>
      </c>
      <c r="AR14" s="24" t="s">
        <v>78</v>
      </c>
      <c r="AS14" s="24" t="s">
        <v>78</v>
      </c>
      <c r="AT14" s="24" t="s">
        <v>78</v>
      </c>
    </row>
    <row r="15" spans="1:46">
      <c r="A15" s="22" t="s">
        <v>89</v>
      </c>
      <c r="B15">
        <v>18.922531914677599</v>
      </c>
      <c r="C15">
        <v>12.160396164848599</v>
      </c>
      <c r="D15">
        <v>5.3999333829563998</v>
      </c>
      <c r="E15">
        <v>0.87831278442654503</v>
      </c>
      <c r="F15" s="8">
        <v>0</v>
      </c>
      <c r="G15">
        <v>0.483889582446</v>
      </c>
      <c r="H15" s="17">
        <v>87</v>
      </c>
      <c r="I15" s="8">
        <v>5.0999999999999996</v>
      </c>
      <c r="J15" s="8">
        <v>82.5</v>
      </c>
      <c r="K15" s="8">
        <v>100</v>
      </c>
      <c r="L15" s="8">
        <v>84</v>
      </c>
      <c r="M15" s="8">
        <v>75</v>
      </c>
      <c r="N15" s="17">
        <v>99.97</v>
      </c>
      <c r="O15" s="23">
        <v>0.25</v>
      </c>
      <c r="P15" s="8">
        <v>0.1</v>
      </c>
      <c r="Q15" s="13">
        <v>25688.080000000002</v>
      </c>
      <c r="R15" s="8">
        <v>91081898.140000001</v>
      </c>
      <c r="S15" s="8">
        <v>12.7</v>
      </c>
      <c r="T15" s="8">
        <v>84.5</v>
      </c>
      <c r="U15" s="17">
        <v>0.68300000000000005</v>
      </c>
      <c r="V15" s="17">
        <v>4</v>
      </c>
      <c r="W15" s="21">
        <v>13786254</v>
      </c>
      <c r="X15" s="8">
        <v>70</v>
      </c>
      <c r="Y15" s="8">
        <v>79.2</v>
      </c>
      <c r="Z15" s="8">
        <v>4.8</v>
      </c>
      <c r="AA15" s="8">
        <v>58.6</v>
      </c>
      <c r="AB15" s="8">
        <v>1445760.5</v>
      </c>
      <c r="AC15" s="8">
        <f>68.02*1000</f>
        <v>68020</v>
      </c>
      <c r="AD15" s="8">
        <v>29126.63</v>
      </c>
      <c r="AE15" s="8">
        <v>79.2</v>
      </c>
      <c r="AF15" s="8">
        <v>21.1</v>
      </c>
      <c r="AG15" s="8"/>
      <c r="AH15" s="8">
        <v>0.215</v>
      </c>
      <c r="AI15" s="8">
        <v>73</v>
      </c>
      <c r="AJ15" s="8">
        <v>30</v>
      </c>
      <c r="AK15" s="8">
        <v>8</v>
      </c>
      <c r="AL15" s="8">
        <v>886994</v>
      </c>
      <c r="AM15" s="8">
        <v>91.1</v>
      </c>
      <c r="AN15" s="17">
        <v>8.1240000000000006</v>
      </c>
      <c r="AO15" s="8">
        <v>65.057515523364003</v>
      </c>
      <c r="AP15" s="17">
        <v>100</v>
      </c>
      <c r="AQ15" s="8">
        <v>62.3</v>
      </c>
      <c r="AR15" s="8">
        <v>69</v>
      </c>
      <c r="AS15" s="8">
        <v>43.8</v>
      </c>
      <c r="AT15" s="8">
        <v>1.5649999999999999</v>
      </c>
    </row>
    <row r="16" spans="1:46">
      <c r="A16" s="22" t="s">
        <v>90</v>
      </c>
      <c r="B16">
        <v>0.56410934985922201</v>
      </c>
      <c r="C16" s="8">
        <v>0</v>
      </c>
      <c r="D16">
        <v>3.34832918475318E-2</v>
      </c>
      <c r="E16">
        <v>2.7553737077690401E-2</v>
      </c>
      <c r="F16" s="8">
        <v>0</v>
      </c>
      <c r="G16">
        <v>0.50307232093400001</v>
      </c>
      <c r="H16" s="17">
        <v>82</v>
      </c>
      <c r="I16" s="8">
        <v>6.3</v>
      </c>
      <c r="J16" s="8">
        <v>64.599999999999994</v>
      </c>
      <c r="K16" s="8">
        <v>96</v>
      </c>
      <c r="L16" s="8">
        <v>81</v>
      </c>
      <c r="M16" s="8">
        <v>84</v>
      </c>
      <c r="N16" s="17">
        <v>100</v>
      </c>
      <c r="O16" s="23">
        <v>0.43</v>
      </c>
      <c r="P16" s="8">
        <v>0.4</v>
      </c>
      <c r="Q16" s="13">
        <v>8955.7999999999993</v>
      </c>
      <c r="R16" s="8">
        <v>2507552.5499999998</v>
      </c>
      <c r="S16" s="8">
        <v>12.3</v>
      </c>
      <c r="T16" s="8">
        <v>81.599999999999994</v>
      </c>
      <c r="U16" s="17">
        <v>0.80900000000000005</v>
      </c>
      <c r="V16" s="17">
        <v>1</v>
      </c>
      <c r="W16" s="21">
        <v>4660820</v>
      </c>
      <c r="X16" s="8">
        <v>74</v>
      </c>
      <c r="Y16" s="8">
        <v>89</v>
      </c>
      <c r="Z16" s="8">
        <v>5.0999999999999996</v>
      </c>
      <c r="AA16" s="8">
        <v>77.3</v>
      </c>
      <c r="AB16" s="8">
        <v>523292.95</v>
      </c>
      <c r="AC16" s="8">
        <f>52.32*1000</f>
        <v>52320</v>
      </c>
      <c r="AD16" s="8">
        <v>7573.8</v>
      </c>
      <c r="AE16" s="8">
        <v>59.4</v>
      </c>
      <c r="AF16" s="8">
        <v>16</v>
      </c>
      <c r="AG16" s="8"/>
      <c r="AH16" s="8">
        <v>0.33100000000000002</v>
      </c>
      <c r="AI16" s="8">
        <v>74</v>
      </c>
      <c r="AJ16" s="8">
        <v>25</v>
      </c>
      <c r="AK16" s="8">
        <v>1</v>
      </c>
      <c r="AL16" s="8" t="s">
        <v>78</v>
      </c>
      <c r="AM16" s="8">
        <v>75</v>
      </c>
      <c r="AN16" s="17">
        <v>11.945</v>
      </c>
      <c r="AO16" s="8">
        <v>66.173349449153207</v>
      </c>
      <c r="AP16" s="17">
        <v>100</v>
      </c>
      <c r="AQ16" s="8">
        <v>73.900000000000006</v>
      </c>
      <c r="AR16" s="8">
        <v>77.400000000000006</v>
      </c>
      <c r="AS16" s="8">
        <v>50.3</v>
      </c>
      <c r="AT16" s="8">
        <v>1.3</v>
      </c>
    </row>
    <row r="17" spans="1:46">
      <c r="A17" s="4" t="s">
        <v>91</v>
      </c>
      <c r="B17">
        <v>2.5185824369423901</v>
      </c>
      <c r="C17" s="8">
        <v>0</v>
      </c>
      <c r="D17">
        <v>0.8531902222062</v>
      </c>
      <c r="E17">
        <v>1.64852302798619</v>
      </c>
      <c r="F17" s="8">
        <v>0</v>
      </c>
      <c r="G17">
        <v>1.6869186750000001E-2</v>
      </c>
      <c r="H17" s="17">
        <v>65</v>
      </c>
      <c r="I17" s="8">
        <v>6.6</v>
      </c>
      <c r="J17" s="8">
        <v>59.7</v>
      </c>
      <c r="K17" s="8">
        <v>50</v>
      </c>
      <c r="L17" s="8">
        <v>25</v>
      </c>
      <c r="M17" s="8">
        <v>26</v>
      </c>
      <c r="N17" s="17">
        <v>96.043000000000006</v>
      </c>
      <c r="O17" s="23">
        <v>0</v>
      </c>
      <c r="P17" s="8">
        <v>0.4</v>
      </c>
      <c r="Q17" s="13">
        <v>10137.75</v>
      </c>
      <c r="R17" s="8">
        <v>9150715</v>
      </c>
      <c r="S17" s="8">
        <v>10.5</v>
      </c>
      <c r="T17" s="8">
        <v>69.400000000000006</v>
      </c>
      <c r="U17" s="18" t="s">
        <v>78</v>
      </c>
      <c r="V17" s="18" t="s">
        <v>78</v>
      </c>
      <c r="W17" s="21">
        <v>4919135</v>
      </c>
      <c r="X17" s="8">
        <v>38</v>
      </c>
      <c r="Y17" s="8">
        <v>77.400000000000006</v>
      </c>
      <c r="Z17" s="8">
        <v>10.8</v>
      </c>
      <c r="AA17" s="8">
        <v>22.1</v>
      </c>
      <c r="AB17" s="8">
        <v>160729.47</v>
      </c>
      <c r="AC17" s="8">
        <f>6.87*1000</f>
        <v>6870</v>
      </c>
      <c r="AD17" s="8">
        <v>-1707.67</v>
      </c>
      <c r="AE17" s="8">
        <v>32</v>
      </c>
      <c r="AF17" s="8">
        <v>13.5</v>
      </c>
      <c r="AG17" s="8"/>
      <c r="AH17" s="8">
        <v>4.7E-2</v>
      </c>
      <c r="AI17" s="8">
        <v>30</v>
      </c>
      <c r="AJ17" s="8">
        <v>20</v>
      </c>
      <c r="AK17" s="8">
        <v>0</v>
      </c>
      <c r="AL17" s="8" t="s">
        <v>78</v>
      </c>
      <c r="AM17" s="8">
        <v>22.1</v>
      </c>
      <c r="AN17" s="17">
        <v>19.196000000000002</v>
      </c>
      <c r="AO17" s="8">
        <v>69.358460667864406</v>
      </c>
      <c r="AP17" s="17">
        <v>100</v>
      </c>
      <c r="AQ17" s="8">
        <v>44.4</v>
      </c>
      <c r="AR17" s="8">
        <v>30.8</v>
      </c>
      <c r="AS17" s="8">
        <v>36.4</v>
      </c>
      <c r="AT17" s="8">
        <v>2.4369999999999998</v>
      </c>
    </row>
    <row r="18" spans="1:46">
      <c r="A18" s="4" t="s">
        <v>92</v>
      </c>
      <c r="B18" s="24" t="s">
        <v>78</v>
      </c>
      <c r="C18" s="24" t="s">
        <v>78</v>
      </c>
      <c r="D18" s="24" t="s">
        <v>78</v>
      </c>
      <c r="E18" s="24" t="s">
        <v>78</v>
      </c>
      <c r="F18" s="24" t="s">
        <v>78</v>
      </c>
      <c r="G18" s="24" t="s">
        <v>78</v>
      </c>
      <c r="H18" s="17">
        <v>70</v>
      </c>
      <c r="I18" s="8">
        <v>13.2</v>
      </c>
      <c r="J18" s="8"/>
      <c r="K18" s="8">
        <v>37</v>
      </c>
      <c r="L18" s="24" t="s">
        <v>78</v>
      </c>
      <c r="M18" s="24" t="s">
        <v>78</v>
      </c>
      <c r="N18" s="17">
        <v>98.887</v>
      </c>
      <c r="O18" s="18" t="s">
        <v>77</v>
      </c>
      <c r="P18" s="8">
        <v>0.4</v>
      </c>
      <c r="Q18" s="13">
        <v>407.91</v>
      </c>
      <c r="R18" s="8">
        <v>-1722274.13</v>
      </c>
      <c r="S18" s="8">
        <v>12.6</v>
      </c>
      <c r="T18" s="8">
        <v>71.599999999999994</v>
      </c>
      <c r="U18" s="17">
        <v>0.64800000000000002</v>
      </c>
      <c r="V18" s="17">
        <v>3</v>
      </c>
      <c r="W18" s="21">
        <v>224384</v>
      </c>
      <c r="X18" s="18" t="s">
        <v>78</v>
      </c>
      <c r="Y18" s="18" t="s">
        <v>78</v>
      </c>
      <c r="Z18" s="8">
        <v>5.3</v>
      </c>
      <c r="AA18" s="8">
        <v>86.6</v>
      </c>
      <c r="AB18" s="8">
        <v>12537.88</v>
      </c>
      <c r="AC18" s="8">
        <f>34.55*1000</f>
        <v>34550</v>
      </c>
      <c r="AD18" s="8">
        <v>359.58</v>
      </c>
      <c r="AE18" s="24" t="s">
        <v>78</v>
      </c>
      <c r="AF18" s="8">
        <v>12.9</v>
      </c>
      <c r="AG18" s="8"/>
      <c r="AH18" s="8">
        <v>0.26200000000000001</v>
      </c>
      <c r="AI18" s="8">
        <v>64</v>
      </c>
      <c r="AJ18" s="8">
        <v>0</v>
      </c>
      <c r="AK18" s="8">
        <v>0</v>
      </c>
      <c r="AL18" s="8" t="s">
        <v>78</v>
      </c>
      <c r="AM18" s="8">
        <v>54.5</v>
      </c>
      <c r="AN18" s="17">
        <v>16.318000000000001</v>
      </c>
      <c r="AO18" s="8">
        <v>71.809647087376803</v>
      </c>
      <c r="AP18" s="17">
        <v>100</v>
      </c>
      <c r="AQ18" s="8">
        <v>52.1</v>
      </c>
      <c r="AR18" s="8">
        <v>36.200000000000003</v>
      </c>
      <c r="AS18" s="8">
        <v>61.8</v>
      </c>
    </row>
    <row r="19" spans="1:46">
      <c r="A19" s="30" t="s">
        <v>93</v>
      </c>
      <c r="B19">
        <v>1.09705558609024</v>
      </c>
      <c r="C19" s="8">
        <v>0</v>
      </c>
      <c r="D19">
        <v>0.65680355126040002</v>
      </c>
      <c r="E19">
        <v>0.440162984829846</v>
      </c>
      <c r="F19" s="8">
        <v>0</v>
      </c>
      <c r="G19">
        <v>8.9049999999999996E-5</v>
      </c>
      <c r="H19" s="17">
        <v>71</v>
      </c>
      <c r="I19" s="8">
        <v>1.9</v>
      </c>
      <c r="J19" s="8">
        <v>66.099999999999994</v>
      </c>
      <c r="K19" s="8">
        <v>33</v>
      </c>
      <c r="L19" s="8">
        <v>43</v>
      </c>
      <c r="M19" s="8">
        <v>46</v>
      </c>
      <c r="N19" s="17">
        <v>100</v>
      </c>
      <c r="O19" s="18" t="s">
        <v>77</v>
      </c>
      <c r="P19" s="8">
        <v>-1</v>
      </c>
      <c r="Q19" s="13">
        <v>1463.27</v>
      </c>
      <c r="R19" s="8">
        <v>2910372.34</v>
      </c>
      <c r="S19" s="8">
        <v>11</v>
      </c>
      <c r="T19" s="8">
        <v>78.8</v>
      </c>
      <c r="U19" s="18" t="s">
        <v>78</v>
      </c>
      <c r="V19" s="17">
        <v>5</v>
      </c>
      <c r="W19" s="21">
        <v>819130</v>
      </c>
      <c r="X19" s="8">
        <v>39</v>
      </c>
      <c r="Y19" s="8">
        <v>78.400000000000006</v>
      </c>
      <c r="Z19" s="8">
        <v>3.4</v>
      </c>
      <c r="AA19" s="8">
        <v>121.7</v>
      </c>
      <c r="AB19" s="8">
        <v>79392.03</v>
      </c>
      <c r="AC19" s="8">
        <f>29.08*1000</f>
        <v>29080</v>
      </c>
      <c r="AD19" s="8">
        <v>1765.96</v>
      </c>
      <c r="AE19" s="8">
        <v>54.8</v>
      </c>
      <c r="AF19" s="8">
        <v>16.3</v>
      </c>
      <c r="AG19" s="8"/>
      <c r="AH19" s="8">
        <v>4.8000000000000001E-2</v>
      </c>
      <c r="AI19" s="8">
        <v>42</v>
      </c>
      <c r="AJ19" s="8">
        <v>0</v>
      </c>
      <c r="AK19" s="8">
        <v>1</v>
      </c>
      <c r="AL19" s="8" t="s">
        <v>78</v>
      </c>
      <c r="AM19" s="8">
        <v>34.700000000000003</v>
      </c>
      <c r="AN19" s="17">
        <v>72.832999999999998</v>
      </c>
      <c r="AO19" s="8">
        <v>76.134098699108307</v>
      </c>
      <c r="AP19" s="17">
        <v>100</v>
      </c>
      <c r="AQ19" s="8">
        <v>42.3</v>
      </c>
      <c r="AR19" s="8">
        <v>62.4</v>
      </c>
      <c r="AS19" s="8">
        <v>39.9</v>
      </c>
      <c r="AT19" s="8">
        <v>2.085</v>
      </c>
    </row>
    <row r="20" spans="1:46">
      <c r="A20" s="22" t="s">
        <v>94</v>
      </c>
      <c r="B20">
        <v>1.06001279778747</v>
      </c>
      <c r="C20">
        <v>1.95486662616688E-2</v>
      </c>
      <c r="D20">
        <v>1.0080073760749799</v>
      </c>
      <c r="E20">
        <v>2.2603372950819701E-2</v>
      </c>
      <c r="F20" s="8">
        <v>0</v>
      </c>
      <c r="G20">
        <v>9.8533825000000005E-3</v>
      </c>
      <c r="H20" s="17">
        <v>51</v>
      </c>
      <c r="I20" s="8">
        <v>5.2</v>
      </c>
      <c r="J20" s="8">
        <v>49</v>
      </c>
      <c r="K20" s="8">
        <v>40</v>
      </c>
      <c r="L20" s="8">
        <v>37</v>
      </c>
      <c r="M20" s="8">
        <v>41</v>
      </c>
      <c r="N20" s="17">
        <v>97.698000000000008</v>
      </c>
      <c r="O20" s="23">
        <v>28.17</v>
      </c>
      <c r="P20" s="8">
        <v>1.1000000000000001</v>
      </c>
      <c r="Q20" s="13">
        <v>169356.25</v>
      </c>
      <c r="R20" s="8">
        <v>-35916645.619999997</v>
      </c>
      <c r="S20" s="8">
        <v>7.4</v>
      </c>
      <c r="T20" s="8">
        <v>72.400000000000006</v>
      </c>
      <c r="U20" s="17">
        <v>0.44500000000000001</v>
      </c>
      <c r="V20" s="17">
        <v>5</v>
      </c>
      <c r="W20" s="21">
        <v>70961067</v>
      </c>
      <c r="X20" s="8">
        <v>31</v>
      </c>
      <c r="Y20" s="8">
        <v>51.1</v>
      </c>
      <c r="Z20" s="8">
        <v>9.1</v>
      </c>
      <c r="AA20" s="8">
        <v>37.200000000000003</v>
      </c>
      <c r="AB20" s="8">
        <v>1099767.21</v>
      </c>
      <c r="AC20" s="8">
        <f>2.85*1000</f>
        <v>2850</v>
      </c>
      <c r="AD20" s="8">
        <v>1388.5</v>
      </c>
      <c r="AE20" s="8">
        <v>32.5</v>
      </c>
      <c r="AF20" s="8">
        <v>12.4</v>
      </c>
      <c r="AG20" s="8"/>
      <c r="AH20" s="8">
        <v>5.5E-2</v>
      </c>
      <c r="AI20" s="8">
        <v>26</v>
      </c>
      <c r="AJ20" s="8">
        <v>30</v>
      </c>
      <c r="AK20" s="8">
        <v>78</v>
      </c>
      <c r="AL20" s="8">
        <v>7173432</v>
      </c>
      <c r="AM20" s="8">
        <v>14.4</v>
      </c>
      <c r="AN20" s="17">
        <v>59.454000000000001</v>
      </c>
      <c r="AO20" s="8">
        <v>67.719904239023293</v>
      </c>
      <c r="AP20">
        <v>96.199996948242202</v>
      </c>
      <c r="AQ20" s="8">
        <v>29.4</v>
      </c>
      <c r="AR20" s="8">
        <v>10.5</v>
      </c>
      <c r="AS20" s="8">
        <v>18.8</v>
      </c>
      <c r="AT20" s="8">
        <v>2.0670000000000002</v>
      </c>
    </row>
    <row r="21" spans="1:46">
      <c r="A21" s="4" t="s">
        <v>95</v>
      </c>
      <c r="B21">
        <v>3.0848633848209999E-3</v>
      </c>
      <c r="C21" s="8">
        <v>0</v>
      </c>
      <c r="D21">
        <v>5.5162346699999998E-4</v>
      </c>
      <c r="E21">
        <v>2.1414199178210001E-3</v>
      </c>
      <c r="F21" s="8">
        <v>0</v>
      </c>
      <c r="G21">
        <v>3.9182000000000003E-4</v>
      </c>
      <c r="H21" s="17">
        <v>74</v>
      </c>
      <c r="I21" s="8">
        <v>10.4</v>
      </c>
      <c r="J21" s="8">
        <v>44.6</v>
      </c>
      <c r="K21" s="8">
        <v>22</v>
      </c>
      <c r="L21" s="24" t="s">
        <v>78</v>
      </c>
      <c r="M21" s="24" t="s">
        <v>78</v>
      </c>
      <c r="N21" s="17">
        <v>98.513999999999996</v>
      </c>
      <c r="O21" s="23">
        <v>7.11</v>
      </c>
      <c r="P21" s="8">
        <v>0.2</v>
      </c>
      <c r="Q21" s="13">
        <v>281.2</v>
      </c>
      <c r="R21" s="8">
        <v>15071.26</v>
      </c>
      <c r="S21" s="8">
        <v>9.9</v>
      </c>
      <c r="T21" s="8">
        <v>77.599999999999994</v>
      </c>
      <c r="U21" s="17">
        <v>0.73599999999999999</v>
      </c>
      <c r="V21" s="17">
        <v>2</v>
      </c>
      <c r="W21" s="21">
        <v>139147</v>
      </c>
      <c r="X21" s="8">
        <v>39</v>
      </c>
      <c r="Y21" s="8">
        <v>57.7</v>
      </c>
      <c r="Z21" s="8">
        <v>8.1999999999999993</v>
      </c>
      <c r="AA21" s="8">
        <v>110</v>
      </c>
      <c r="AB21" s="8">
        <v>4249.2</v>
      </c>
      <c r="AC21" s="8">
        <f>21.64*1000</f>
        <v>21640</v>
      </c>
      <c r="AD21" s="8">
        <v>238.74</v>
      </c>
      <c r="AE21" s="8">
        <v>57.6</v>
      </c>
      <c r="AF21" s="8">
        <v>15.7</v>
      </c>
      <c r="AG21" s="8"/>
      <c r="AH21" s="8">
        <v>0.318</v>
      </c>
      <c r="AI21" s="8">
        <v>65</v>
      </c>
      <c r="AJ21" s="8">
        <v>5.5</v>
      </c>
      <c r="AK21" s="8">
        <v>0</v>
      </c>
      <c r="AL21" s="8" t="s">
        <v>78</v>
      </c>
      <c r="AM21" s="8">
        <v>65.3</v>
      </c>
      <c r="AN21" s="17">
        <v>21.637</v>
      </c>
      <c r="AO21" s="8">
        <v>67.122274399492198</v>
      </c>
      <c r="AP21" s="17">
        <v>100</v>
      </c>
      <c r="AQ21" s="8">
        <v>24.9</v>
      </c>
      <c r="AR21" s="8">
        <v>59</v>
      </c>
      <c r="AS21" s="8">
        <v>79.900000000000006</v>
      </c>
      <c r="AT21" s="24" t="s">
        <v>78</v>
      </c>
    </row>
    <row r="22" spans="1:46">
      <c r="A22" s="4" t="s">
        <v>96</v>
      </c>
      <c r="B22">
        <v>8.51075826892259E-2</v>
      </c>
      <c r="C22" s="8">
        <v>0</v>
      </c>
      <c r="D22" s="8">
        <v>3.0000000000000001E-3</v>
      </c>
      <c r="E22" s="8">
        <v>7.2999999999999995E-2</v>
      </c>
      <c r="F22" s="8">
        <v>0</v>
      </c>
      <c r="G22" s="8">
        <v>0.01</v>
      </c>
      <c r="H22" s="17">
        <v>74</v>
      </c>
      <c r="I22" s="8">
        <v>4.7</v>
      </c>
      <c r="J22" s="18" t="s">
        <v>78</v>
      </c>
      <c r="K22" s="8">
        <v>11</v>
      </c>
      <c r="L22" s="8">
        <v>53</v>
      </c>
      <c r="M22" s="8">
        <v>58</v>
      </c>
      <c r="N22" s="17">
        <v>96.534999999999997</v>
      </c>
      <c r="O22" s="23">
        <v>0.08</v>
      </c>
      <c r="P22" s="8">
        <v>-0.4</v>
      </c>
      <c r="Q22" s="13">
        <v>9340.31</v>
      </c>
      <c r="R22" s="8">
        <v>3966434.69</v>
      </c>
      <c r="S22" s="8">
        <v>12.1</v>
      </c>
      <c r="T22" s="8">
        <v>72.400000000000006</v>
      </c>
      <c r="U22" s="17">
        <v>0.46500000000000002</v>
      </c>
      <c r="V22" s="17">
        <v>5</v>
      </c>
      <c r="W22" s="21">
        <v>4950458</v>
      </c>
      <c r="X22" s="18" t="s">
        <v>78</v>
      </c>
      <c r="Y22" s="18" t="s">
        <v>78</v>
      </c>
      <c r="Z22" s="8">
        <v>13.1</v>
      </c>
      <c r="AA22" s="8">
        <v>34.299999999999997</v>
      </c>
      <c r="AB22" s="8">
        <v>202671.5</v>
      </c>
      <c r="AC22" s="8">
        <f>9.94*1000</f>
        <v>9940</v>
      </c>
      <c r="AD22" s="8">
        <v>1225.25</v>
      </c>
      <c r="AE22" s="24" t="s">
        <v>78</v>
      </c>
      <c r="AF22" s="8">
        <v>15.2</v>
      </c>
      <c r="AG22" s="8"/>
      <c r="AH22" s="8">
        <v>9.1999999999999998E-2</v>
      </c>
      <c r="AI22" s="8">
        <v>41</v>
      </c>
      <c r="AJ22" s="8">
        <v>18</v>
      </c>
      <c r="AK22" s="8">
        <v>0</v>
      </c>
      <c r="AL22" s="8" t="s">
        <v>78</v>
      </c>
      <c r="AM22" s="8">
        <v>46.1</v>
      </c>
      <c r="AN22" s="17">
        <v>18.338999999999999</v>
      </c>
      <c r="AO22" s="8">
        <v>66.330495890785002</v>
      </c>
      <c r="AP22" s="17">
        <v>100</v>
      </c>
      <c r="AQ22" s="8">
        <v>55.4</v>
      </c>
      <c r="AR22" s="8">
        <v>49.1</v>
      </c>
      <c r="AS22" s="8">
        <v>39.6</v>
      </c>
      <c r="AT22" s="8">
        <v>2.2589999999999999</v>
      </c>
    </row>
    <row r="23" spans="1:46">
      <c r="A23" s="22" t="s">
        <v>97</v>
      </c>
      <c r="B23">
        <v>0.6291810314456</v>
      </c>
      <c r="C23" s="8">
        <v>0</v>
      </c>
      <c r="D23">
        <v>1.42556232E-4</v>
      </c>
      <c r="E23">
        <v>7.3064474076125902E-2</v>
      </c>
      <c r="F23">
        <v>0.42768565871359998</v>
      </c>
      <c r="G23">
        <v>0.2013528165</v>
      </c>
      <c r="H23" s="17">
        <v>85</v>
      </c>
      <c r="I23" s="8">
        <v>6.4</v>
      </c>
      <c r="J23" s="8">
        <v>61.8</v>
      </c>
      <c r="K23" s="8">
        <v>86</v>
      </c>
      <c r="L23" s="8">
        <v>84</v>
      </c>
      <c r="M23" s="8">
        <v>78</v>
      </c>
      <c r="N23" s="17">
        <v>100</v>
      </c>
      <c r="O23" s="23">
        <v>0.22</v>
      </c>
      <c r="P23" s="8">
        <v>0.5</v>
      </c>
      <c r="Q23" s="13">
        <v>11592.95</v>
      </c>
      <c r="R23" s="8">
        <v>6605269.3600000003</v>
      </c>
      <c r="S23" s="8">
        <v>12.4</v>
      </c>
      <c r="T23" s="8">
        <v>81.900000000000006</v>
      </c>
      <c r="U23" s="17">
        <v>0.81900000000000006</v>
      </c>
      <c r="V23" s="17">
        <v>3</v>
      </c>
      <c r="W23" s="21">
        <v>5240308</v>
      </c>
      <c r="X23" s="8">
        <v>71</v>
      </c>
      <c r="Y23" s="8">
        <v>87.3</v>
      </c>
      <c r="Z23" s="8">
        <v>4.9000000000000004</v>
      </c>
      <c r="AA23" s="8">
        <v>105.1</v>
      </c>
      <c r="AB23" s="8">
        <v>682884.74</v>
      </c>
      <c r="AC23" s="8">
        <f>50.91*1000</f>
        <v>50910</v>
      </c>
      <c r="AD23" s="8">
        <v>68634.460000000006</v>
      </c>
      <c r="AE23" s="8">
        <v>71.900000000000006</v>
      </c>
      <c r="AF23" s="8">
        <v>19.600000000000001</v>
      </c>
      <c r="AG23" s="8"/>
      <c r="AH23" s="8">
        <v>0.436</v>
      </c>
      <c r="AI23" s="8">
        <v>73</v>
      </c>
      <c r="AJ23" s="8">
        <v>25</v>
      </c>
      <c r="AK23" s="8">
        <v>0</v>
      </c>
      <c r="AL23" s="8" t="s">
        <v>78</v>
      </c>
      <c r="AM23" s="8">
        <v>74.599999999999994</v>
      </c>
      <c r="AN23" s="17">
        <v>12.338000000000001</v>
      </c>
      <c r="AO23" s="8">
        <v>63.894819233772402</v>
      </c>
      <c r="AP23" s="17">
        <v>100</v>
      </c>
      <c r="AQ23" s="8">
        <v>57.9</v>
      </c>
      <c r="AR23" s="8">
        <v>68</v>
      </c>
      <c r="AS23" s="8">
        <v>48.1</v>
      </c>
      <c r="AT23" s="8">
        <v>1.526</v>
      </c>
    </row>
    <row r="24" spans="1:46">
      <c r="A24" s="4" t="s">
        <v>98</v>
      </c>
      <c r="B24">
        <v>5.6820098531226897E-3</v>
      </c>
      <c r="C24" s="8">
        <v>0</v>
      </c>
      <c r="D24" s="8">
        <v>0</v>
      </c>
      <c r="E24">
        <v>1.5142917531226899E-3</v>
      </c>
      <c r="F24" s="8">
        <v>0</v>
      </c>
      <c r="G24">
        <v>4.1677181000000004E-3</v>
      </c>
      <c r="H24" s="17">
        <v>67</v>
      </c>
      <c r="I24" s="8">
        <v>8.1999999999999993</v>
      </c>
      <c r="J24" s="18" t="s">
        <v>78</v>
      </c>
      <c r="K24" s="8">
        <v>17</v>
      </c>
      <c r="L24" s="24" t="s">
        <v>78</v>
      </c>
      <c r="M24" s="24" t="s">
        <v>78</v>
      </c>
      <c r="N24" s="17">
        <v>98.402000000000001</v>
      </c>
      <c r="O24" s="23">
        <v>29.25</v>
      </c>
      <c r="P24" s="8">
        <v>1.3</v>
      </c>
      <c r="Q24" s="13">
        <v>400.03</v>
      </c>
      <c r="R24" s="8">
        <v>-208074.73</v>
      </c>
      <c r="S24" s="8">
        <v>8.8000000000000007</v>
      </c>
      <c r="T24" s="8">
        <v>70.5</v>
      </c>
      <c r="U24" s="17">
        <v>0.49299999999999999</v>
      </c>
      <c r="V24" s="17">
        <v>3</v>
      </c>
      <c r="W24" s="21">
        <v>176872</v>
      </c>
      <c r="X24" s="18" t="s">
        <v>78</v>
      </c>
      <c r="Y24" s="18" t="s">
        <v>78</v>
      </c>
      <c r="Z24" s="8">
        <v>4.7</v>
      </c>
      <c r="AA24" s="8">
        <v>73.099999999999994</v>
      </c>
      <c r="AB24" s="8">
        <v>3850.93</v>
      </c>
      <c r="AC24" s="8">
        <f>6.38*1000</f>
        <v>6380</v>
      </c>
      <c r="AD24" s="8">
        <v>130.05000000000001</v>
      </c>
      <c r="AE24" s="24" t="s">
        <v>78</v>
      </c>
      <c r="AF24" s="8">
        <v>13</v>
      </c>
      <c r="AG24" s="8"/>
      <c r="AH24" s="8">
        <v>0.217</v>
      </c>
      <c r="AI24" s="24" t="s">
        <v>78</v>
      </c>
      <c r="AJ24" s="8">
        <v>0</v>
      </c>
      <c r="AK24" s="8">
        <v>4</v>
      </c>
      <c r="AL24" s="8">
        <v>2586422</v>
      </c>
      <c r="AM24" s="8">
        <v>37.6</v>
      </c>
      <c r="AN24" s="17">
        <v>21.327000000000002</v>
      </c>
      <c r="AO24" s="8">
        <v>66.808447345330706</v>
      </c>
      <c r="AP24">
        <v>97.113334655761705</v>
      </c>
      <c r="AQ24" s="8">
        <v>57.8</v>
      </c>
      <c r="AR24" s="8">
        <v>23.4</v>
      </c>
      <c r="AS24" s="8">
        <v>47.1</v>
      </c>
      <c r="AT24" s="24" t="s">
        <v>78</v>
      </c>
    </row>
    <row r="25" spans="1:46">
      <c r="A25" s="22" t="s">
        <v>99</v>
      </c>
      <c r="B25">
        <v>7.1774300000000002E-5</v>
      </c>
      <c r="C25" s="8">
        <v>0</v>
      </c>
      <c r="D25" s="8">
        <v>0</v>
      </c>
      <c r="E25" s="8">
        <v>0</v>
      </c>
      <c r="F25" s="8">
        <v>0</v>
      </c>
      <c r="G25">
        <v>7.1774300000000002E-5</v>
      </c>
      <c r="H25" s="17">
        <v>38</v>
      </c>
      <c r="I25" s="8">
        <v>1.6</v>
      </c>
      <c r="J25" s="8">
        <v>54.3</v>
      </c>
      <c r="K25" s="8">
        <v>33</v>
      </c>
      <c r="L25" s="8">
        <v>38</v>
      </c>
      <c r="M25" s="8">
        <v>27</v>
      </c>
      <c r="N25" s="17">
        <v>65.414000000000001</v>
      </c>
      <c r="O25" s="23">
        <v>69.510000000000005</v>
      </c>
      <c r="P25" s="8">
        <v>2.8</v>
      </c>
      <c r="Q25" s="13">
        <v>12996.9</v>
      </c>
      <c r="R25" s="8">
        <v>-435724.02</v>
      </c>
      <c r="S25" s="8">
        <v>4.3</v>
      </c>
      <c r="T25" s="8">
        <v>59.8</v>
      </c>
      <c r="U25" s="17">
        <v>0.60399999999999998</v>
      </c>
      <c r="V25" s="17">
        <v>4</v>
      </c>
      <c r="W25" s="21">
        <v>5294828</v>
      </c>
      <c r="X25" s="8">
        <v>28</v>
      </c>
      <c r="Y25" s="8">
        <v>40.200000000000003</v>
      </c>
      <c r="Z25" s="8">
        <v>1.8</v>
      </c>
      <c r="AA25" s="8">
        <v>55.6</v>
      </c>
      <c r="AB25" s="8">
        <v>47426.2</v>
      </c>
      <c r="AC25" s="8">
        <f>1.38*1000</f>
        <v>1380</v>
      </c>
      <c r="AD25" s="8">
        <v>242.35</v>
      </c>
      <c r="AE25" s="8">
        <v>20</v>
      </c>
      <c r="AF25" s="8">
        <v>10.8</v>
      </c>
      <c r="AG25" s="8"/>
      <c r="AH25" s="29">
        <v>0.21</v>
      </c>
      <c r="AI25" s="8">
        <v>42</v>
      </c>
      <c r="AJ25" s="8">
        <v>30</v>
      </c>
      <c r="AK25" s="8">
        <v>7</v>
      </c>
      <c r="AL25" s="8">
        <v>30548</v>
      </c>
      <c r="AM25" s="8">
        <v>22.3</v>
      </c>
      <c r="AN25" s="17">
        <v>41.914999999999999</v>
      </c>
      <c r="AO25" s="8">
        <v>54.345611009398802</v>
      </c>
      <c r="AP25">
        <v>41.410957336425803</v>
      </c>
      <c r="AQ25" s="8">
        <v>36.200000000000003</v>
      </c>
      <c r="AR25" s="8">
        <v>29.7</v>
      </c>
      <c r="AS25" s="8">
        <v>26.2</v>
      </c>
      <c r="AT25" s="8">
        <v>2.125</v>
      </c>
    </row>
    <row r="26" spans="1:46">
      <c r="A26" s="4" t="s">
        <v>100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18" t="s">
        <v>78</v>
      </c>
      <c r="I26" s="18" t="s">
        <v>78</v>
      </c>
      <c r="J26" s="18" t="s">
        <v>78</v>
      </c>
      <c r="K26" s="8">
        <v>78</v>
      </c>
      <c r="L26" s="24" t="s">
        <v>78</v>
      </c>
      <c r="M26" s="24" t="s">
        <v>78</v>
      </c>
      <c r="N26" s="18" t="s">
        <v>77</v>
      </c>
      <c r="O26" s="18" t="s">
        <v>77</v>
      </c>
      <c r="P26" s="8">
        <v>0</v>
      </c>
      <c r="Q26" s="13">
        <v>63.87</v>
      </c>
      <c r="R26" s="8">
        <v>-801883.06</v>
      </c>
      <c r="S26" s="24" t="s">
        <v>78</v>
      </c>
      <c r="T26" s="24" t="s">
        <v>78</v>
      </c>
      <c r="U26" s="24" t="s">
        <v>78</v>
      </c>
      <c r="V26" s="18" t="s">
        <v>78</v>
      </c>
      <c r="W26" s="18" t="s">
        <v>78</v>
      </c>
      <c r="X26" s="18" t="s">
        <v>78</v>
      </c>
      <c r="Y26" s="18" t="s">
        <v>78</v>
      </c>
      <c r="Z26" s="18" t="s">
        <v>78</v>
      </c>
      <c r="AA26" s="24" t="s">
        <v>78</v>
      </c>
      <c r="AB26" s="8">
        <v>5632.14</v>
      </c>
      <c r="AC26" s="24" t="s">
        <v>78</v>
      </c>
      <c r="AD26" s="8">
        <v>0.79</v>
      </c>
      <c r="AE26" s="24" t="s">
        <v>78</v>
      </c>
      <c r="AF26" s="24" t="s">
        <v>78</v>
      </c>
      <c r="AG26" s="8"/>
      <c r="AH26" s="8">
        <v>0.39500000000000002</v>
      </c>
      <c r="AI26" s="24" t="s">
        <v>78</v>
      </c>
      <c r="AJ26" s="8">
        <v>0</v>
      </c>
      <c r="AK26" s="8">
        <v>0</v>
      </c>
      <c r="AL26" s="8" t="s">
        <v>78</v>
      </c>
      <c r="AM26" s="24" t="s">
        <v>78</v>
      </c>
      <c r="AN26" s="24" t="s">
        <v>78</v>
      </c>
      <c r="AO26" s="8">
        <v>65.420269533380093</v>
      </c>
      <c r="AP26" s="17">
        <v>100</v>
      </c>
      <c r="AQ26" s="24" t="s">
        <v>78</v>
      </c>
      <c r="AR26" s="24" t="s">
        <v>78</v>
      </c>
      <c r="AS26" s="24" t="s">
        <v>78</v>
      </c>
      <c r="AT26" s="24" t="s">
        <v>78</v>
      </c>
    </row>
    <row r="27" spans="1:46">
      <c r="A27" s="27" t="s">
        <v>101</v>
      </c>
      <c r="B27">
        <v>8.2777393846886094E-2</v>
      </c>
      <c r="C27">
        <v>3.0687388468861698E-3</v>
      </c>
      <c r="D27" s="8">
        <v>0</v>
      </c>
      <c r="E27" s="8">
        <v>0</v>
      </c>
      <c r="F27" s="8">
        <v>0</v>
      </c>
      <c r="G27">
        <v>7.9708655000000003E-2</v>
      </c>
      <c r="H27" s="17">
        <v>62</v>
      </c>
      <c r="I27" s="8">
        <v>4.3</v>
      </c>
      <c r="J27" s="18" t="s">
        <v>78</v>
      </c>
      <c r="K27" s="24" t="s">
        <v>78</v>
      </c>
      <c r="L27" s="24" t="s">
        <v>78</v>
      </c>
      <c r="M27" s="24" t="s">
        <v>78</v>
      </c>
      <c r="N27" s="17">
        <v>97.313000000000002</v>
      </c>
      <c r="O27" s="23">
        <v>11.67</v>
      </c>
      <c r="P27" s="8">
        <v>0.6</v>
      </c>
      <c r="Q27" s="13">
        <v>777.49</v>
      </c>
      <c r="R27" s="8">
        <v>-284913.52</v>
      </c>
      <c r="S27" s="26">
        <v>5.2</v>
      </c>
      <c r="T27" s="26">
        <v>71.8</v>
      </c>
      <c r="U27" s="18" t="s">
        <v>78</v>
      </c>
      <c r="V27" s="18" t="s">
        <v>78</v>
      </c>
      <c r="W27" s="21">
        <v>360953</v>
      </c>
      <c r="X27" s="18" t="s">
        <v>78</v>
      </c>
      <c r="Y27" s="18" t="s">
        <v>78</v>
      </c>
      <c r="Z27" s="8">
        <v>6.6</v>
      </c>
      <c r="AA27" s="8">
        <v>127.5</v>
      </c>
      <c r="AB27" s="8">
        <v>9316.86</v>
      </c>
      <c r="AC27" s="8">
        <f>3.86*1000</f>
        <v>3860</v>
      </c>
      <c r="AD27" s="8">
        <v>1.57</v>
      </c>
      <c r="AE27" s="24" t="s">
        <v>78</v>
      </c>
      <c r="AF27" s="26">
        <v>13.2</v>
      </c>
      <c r="AG27" s="26"/>
      <c r="AH27" s="26">
        <v>1.4999999999999999E-2</v>
      </c>
      <c r="AI27" s="26">
        <v>68</v>
      </c>
      <c r="AJ27" s="8">
        <v>25</v>
      </c>
      <c r="AK27" s="8">
        <v>0</v>
      </c>
      <c r="AL27" s="8" t="s">
        <v>78</v>
      </c>
      <c r="AM27" s="8">
        <v>19.600000000000001</v>
      </c>
      <c r="AN27" s="17">
        <v>33.134999999999998</v>
      </c>
      <c r="AO27" s="8">
        <v>71.061040931257295</v>
      </c>
      <c r="AP27" s="17">
        <v>100</v>
      </c>
      <c r="AQ27" s="8">
        <v>54.9</v>
      </c>
      <c r="AR27" s="8">
        <v>43.4</v>
      </c>
      <c r="AS27" s="8">
        <v>36.799999999999997</v>
      </c>
      <c r="AT27" s="8">
        <v>1.4810000000000001</v>
      </c>
    </row>
    <row r="28" spans="1:46">
      <c r="A28" s="25" t="s">
        <v>102</v>
      </c>
      <c r="B28">
        <v>0.71915658829025997</v>
      </c>
      <c r="C28" s="8">
        <v>0</v>
      </c>
      <c r="D28">
        <v>0.56567833890700003</v>
      </c>
      <c r="E28">
        <v>0.11766196503326</v>
      </c>
      <c r="F28" s="8">
        <v>0</v>
      </c>
      <c r="G28">
        <v>3.5816284349999998E-2</v>
      </c>
      <c r="H28" s="17">
        <v>67</v>
      </c>
      <c r="I28" s="8">
        <v>8.5</v>
      </c>
      <c r="J28" s="26">
        <v>50.8</v>
      </c>
      <c r="K28" s="8">
        <v>31</v>
      </c>
      <c r="L28" s="26">
        <v>50</v>
      </c>
      <c r="M28" s="26">
        <v>26</v>
      </c>
      <c r="N28" s="17">
        <v>93.39</v>
      </c>
      <c r="O28" s="23">
        <v>8.84</v>
      </c>
      <c r="P28" s="8">
        <v>1.2</v>
      </c>
      <c r="Q28" s="13">
        <v>12079.47</v>
      </c>
      <c r="R28" s="8">
        <v>639415.25</v>
      </c>
      <c r="S28" s="26">
        <v>9.8000000000000007</v>
      </c>
      <c r="T28" s="26">
        <v>63.6</v>
      </c>
      <c r="U28" s="17">
        <v>0.52200000000000002</v>
      </c>
      <c r="V28" s="17">
        <v>3</v>
      </c>
      <c r="W28" s="21">
        <v>6322445</v>
      </c>
      <c r="X28" s="26">
        <v>28</v>
      </c>
      <c r="Y28" s="8">
        <v>57.1</v>
      </c>
      <c r="Z28" s="8">
        <v>3.6</v>
      </c>
      <c r="AA28" s="8">
        <v>85.1</v>
      </c>
      <c r="AB28" s="8">
        <v>106856</v>
      </c>
      <c r="AC28" s="8">
        <f>3.79*1000</f>
        <v>3790</v>
      </c>
      <c r="AD28" s="8">
        <v>599.44000000000005</v>
      </c>
      <c r="AE28" s="26">
        <v>36.299999999999997</v>
      </c>
      <c r="AF28" s="26">
        <v>14.9</v>
      </c>
      <c r="AG28" s="26"/>
      <c r="AH28" s="29">
        <v>0.18</v>
      </c>
      <c r="AI28" s="26">
        <v>30</v>
      </c>
      <c r="AJ28" s="8">
        <v>25</v>
      </c>
      <c r="AK28" s="8">
        <v>14</v>
      </c>
      <c r="AL28" s="26">
        <v>281124</v>
      </c>
      <c r="AM28" s="8">
        <v>30</v>
      </c>
      <c r="AN28" s="17">
        <v>19.687999999999999</v>
      </c>
      <c r="AO28" s="8">
        <v>63.967858032205399</v>
      </c>
      <c r="AP28">
        <v>97.554122924804702</v>
      </c>
      <c r="AQ28" s="8">
        <v>52.9</v>
      </c>
      <c r="AR28" s="8">
        <v>50</v>
      </c>
      <c r="AS28" s="8">
        <v>28.3</v>
      </c>
      <c r="AT28" s="8">
        <v>1.9890000000000001</v>
      </c>
    </row>
    <row r="29" spans="1:46">
      <c r="A29" s="22" t="s">
        <v>308</v>
      </c>
      <c r="B29">
        <v>0.15309487839793201</v>
      </c>
      <c r="C29">
        <v>9.6884826447932101E-2</v>
      </c>
      <c r="D29" s="8">
        <v>0</v>
      </c>
      <c r="E29" s="8">
        <v>0</v>
      </c>
      <c r="F29" s="8">
        <v>0</v>
      </c>
      <c r="G29">
        <v>5.6210051949999999E-2</v>
      </c>
      <c r="H29" s="17">
        <v>65</v>
      </c>
      <c r="I29" s="8">
        <v>15.2</v>
      </c>
      <c r="J29" s="8">
        <v>57.1</v>
      </c>
      <c r="K29" s="8">
        <v>27</v>
      </c>
      <c r="L29" s="8">
        <v>54</v>
      </c>
      <c r="M29" s="8">
        <v>48</v>
      </c>
      <c r="N29" s="17">
        <v>96.114000000000004</v>
      </c>
      <c r="O29" s="23">
        <v>0.17</v>
      </c>
      <c r="P29" s="8">
        <v>-1.4</v>
      </c>
      <c r="Q29" s="13">
        <v>3270.94</v>
      </c>
      <c r="R29" s="8">
        <v>-2777967.76</v>
      </c>
      <c r="S29" s="8">
        <v>10.5</v>
      </c>
      <c r="T29" s="8">
        <v>75.3</v>
      </c>
      <c r="U29" s="17">
        <v>0.63</v>
      </c>
      <c r="V29" s="17">
        <v>3</v>
      </c>
      <c r="W29" s="21">
        <v>1169225</v>
      </c>
      <c r="X29" s="8">
        <v>28</v>
      </c>
      <c r="Y29">
        <v>63</v>
      </c>
      <c r="Z29" s="8">
        <v>4.5</v>
      </c>
      <c r="AA29" s="8">
        <v>29.3</v>
      </c>
      <c r="AB29" s="8">
        <v>56837.9</v>
      </c>
      <c r="AC29" s="8">
        <f>7.08*1000</f>
        <v>7080</v>
      </c>
      <c r="AD29" s="8">
        <v>638.36</v>
      </c>
      <c r="AE29" s="8">
        <v>35.9</v>
      </c>
      <c r="AF29" s="8">
        <v>13.8</v>
      </c>
      <c r="AG29" s="8"/>
      <c r="AH29" s="8">
        <v>9.7000000000000003E-2</v>
      </c>
      <c r="AI29" s="8">
        <v>35</v>
      </c>
      <c r="AJ29" s="8">
        <v>10</v>
      </c>
      <c r="AK29" s="8">
        <v>1</v>
      </c>
      <c r="AL29" s="8" t="s">
        <v>78</v>
      </c>
      <c r="AM29" s="8">
        <v>27.8</v>
      </c>
      <c r="AN29" s="17">
        <v>26.753</v>
      </c>
      <c r="AO29" s="8">
        <v>66.937470325835704</v>
      </c>
      <c r="AP29" s="17">
        <v>100</v>
      </c>
      <c r="AQ29" s="8">
        <v>34.799999999999997</v>
      </c>
      <c r="AR29" s="8">
        <v>30.9</v>
      </c>
      <c r="AS29" s="8">
        <v>45.1</v>
      </c>
      <c r="AT29" s="8"/>
    </row>
    <row r="30" spans="1:46">
      <c r="A30" s="4" t="s">
        <v>103</v>
      </c>
      <c r="B30">
        <v>4.7231633326615202E-2</v>
      </c>
      <c r="C30">
        <v>4.7178203326615202E-2</v>
      </c>
      <c r="D30" s="8">
        <v>0</v>
      </c>
      <c r="E30" s="8">
        <v>0</v>
      </c>
      <c r="F30" s="8">
        <v>0</v>
      </c>
      <c r="G30">
        <v>5.3430000000000002E-5</v>
      </c>
      <c r="H30" s="17">
        <v>54</v>
      </c>
      <c r="I30" s="8">
        <v>24.7</v>
      </c>
      <c r="J30" s="8">
        <v>56.4</v>
      </c>
      <c r="K30" s="8">
        <v>67</v>
      </c>
      <c r="L30" s="24" t="s">
        <v>78</v>
      </c>
      <c r="M30" s="24" t="s">
        <v>78</v>
      </c>
      <c r="N30" s="17">
        <v>92.213999999999999</v>
      </c>
      <c r="O30" s="23">
        <v>31.740000000000002</v>
      </c>
      <c r="P30" s="8">
        <v>1.6</v>
      </c>
      <c r="Q30" s="13">
        <v>2588.42</v>
      </c>
      <c r="R30" s="8">
        <v>-1345950.5</v>
      </c>
      <c r="S30" s="8">
        <v>10.3</v>
      </c>
      <c r="T30" s="8">
        <v>61.1</v>
      </c>
      <c r="U30" s="17">
        <v>0.52500000000000002</v>
      </c>
      <c r="V30" s="17">
        <v>4</v>
      </c>
      <c r="W30" s="21">
        <v>1050378</v>
      </c>
      <c r="X30" s="8">
        <v>31</v>
      </c>
      <c r="Y30" s="8">
        <v>53.7</v>
      </c>
      <c r="Z30" s="8">
        <v>5.8</v>
      </c>
      <c r="AA30" s="8">
        <v>19.600000000000001</v>
      </c>
      <c r="AB30" s="8">
        <v>42404.05</v>
      </c>
      <c r="AC30" s="8">
        <f>7.46*1000</f>
        <v>7460</v>
      </c>
      <c r="AD30" s="8">
        <v>55.16</v>
      </c>
      <c r="AE30" s="8">
        <v>36.6</v>
      </c>
      <c r="AF30" s="8">
        <v>12.3</v>
      </c>
      <c r="AG30" s="8"/>
      <c r="AH30" s="8">
        <v>9.9000000000000005E-2</v>
      </c>
      <c r="AI30" s="8">
        <v>55</v>
      </c>
      <c r="AJ30" s="8">
        <v>22</v>
      </c>
      <c r="AK30" s="8">
        <v>0</v>
      </c>
      <c r="AL30" s="8" t="s">
        <v>78</v>
      </c>
      <c r="AM30" s="8">
        <v>17.100000000000001</v>
      </c>
      <c r="AN30" s="17">
        <v>22.622</v>
      </c>
      <c r="AO30" s="8">
        <v>63.492752150633798</v>
      </c>
      <c r="AP30">
        <v>71.994758605957003</v>
      </c>
      <c r="AQ30" s="8">
        <v>61.4</v>
      </c>
      <c r="AR30" s="8">
        <v>27.3</v>
      </c>
      <c r="AS30" s="8">
        <v>62.1</v>
      </c>
      <c r="AT30" s="8">
        <v>1.8009999999999999</v>
      </c>
    </row>
    <row r="31" spans="1:46">
      <c r="A31" s="22" t="s">
        <v>104</v>
      </c>
      <c r="B31">
        <v>12.752488736646599</v>
      </c>
      <c r="C31">
        <v>9.1082761105480803E-2</v>
      </c>
      <c r="D31">
        <v>0.848213625047326</v>
      </c>
      <c r="E31">
        <v>6.1738545979912098</v>
      </c>
      <c r="F31">
        <v>0.15702368418861901</v>
      </c>
      <c r="G31">
        <v>5.4823140683140004</v>
      </c>
      <c r="H31" s="17">
        <v>75</v>
      </c>
      <c r="I31" s="8">
        <v>14.4</v>
      </c>
      <c r="J31" s="8">
        <v>46.7</v>
      </c>
      <c r="K31" s="8">
        <v>42</v>
      </c>
      <c r="L31" s="8">
        <v>78</v>
      </c>
      <c r="M31" s="8">
        <v>69</v>
      </c>
      <c r="N31" s="17">
        <v>99.320999999999998</v>
      </c>
      <c r="O31" s="23">
        <v>10.48</v>
      </c>
      <c r="P31" s="8">
        <v>0.5</v>
      </c>
      <c r="Q31" s="13">
        <v>214326.22</v>
      </c>
      <c r="R31" s="8">
        <v>19251558.969999999</v>
      </c>
      <c r="S31" s="8">
        <v>8.1</v>
      </c>
      <c r="T31" s="8">
        <v>72.8</v>
      </c>
      <c r="U31" s="17">
        <v>0.45500000000000002</v>
      </c>
      <c r="V31" s="17">
        <v>5</v>
      </c>
      <c r="W31" s="21">
        <v>99470102</v>
      </c>
      <c r="X31" s="8">
        <v>49</v>
      </c>
      <c r="Y31" s="8">
        <v>65.5</v>
      </c>
      <c r="Z31" s="8">
        <v>4.7</v>
      </c>
      <c r="AA31" s="8">
        <v>88.9</v>
      </c>
      <c r="AB31" s="8">
        <v>3435882.15</v>
      </c>
      <c r="AC31" s="8">
        <f>9.57*1000</f>
        <v>9570</v>
      </c>
      <c r="AD31" s="8">
        <v>46441.11</v>
      </c>
      <c r="AE31" s="8">
        <v>41.2</v>
      </c>
      <c r="AF31" s="8">
        <v>15.6</v>
      </c>
      <c r="AG31" s="8"/>
      <c r="AH31" s="8">
        <v>0.193</v>
      </c>
      <c r="AI31" s="8">
        <v>38</v>
      </c>
      <c r="AJ31" s="8">
        <v>34</v>
      </c>
      <c r="AK31" s="8">
        <v>194</v>
      </c>
      <c r="AL31" s="8">
        <v>98432156</v>
      </c>
      <c r="AM31" s="8">
        <v>44.9</v>
      </c>
      <c r="AN31" s="17">
        <v>11.843999999999999</v>
      </c>
      <c r="AO31" s="8">
        <v>69.878267532386801</v>
      </c>
      <c r="AP31" s="17">
        <v>100</v>
      </c>
      <c r="AQ31" s="8">
        <v>55.2</v>
      </c>
      <c r="AR31" s="8">
        <v>38.700000000000003</v>
      </c>
      <c r="AS31" s="8">
        <v>29.6</v>
      </c>
      <c r="AT31" s="8">
        <v>2.4649999999999999</v>
      </c>
    </row>
    <row r="32" spans="1:46">
      <c r="A32" s="4" t="s">
        <v>105</v>
      </c>
      <c r="B32">
        <v>1.3873990000000001E-5</v>
      </c>
      <c r="C32" s="8">
        <v>0</v>
      </c>
      <c r="D32" s="8">
        <v>0</v>
      </c>
      <c r="E32" s="8">
        <v>0</v>
      </c>
      <c r="F32" s="8">
        <v>0</v>
      </c>
      <c r="G32">
        <v>1.3873990000000001E-5</v>
      </c>
      <c r="H32" s="18" t="s">
        <v>78</v>
      </c>
      <c r="I32" s="18" t="s">
        <v>78</v>
      </c>
      <c r="J32" s="18" t="s">
        <v>78</v>
      </c>
      <c r="K32" s="24" t="s">
        <v>78</v>
      </c>
      <c r="L32" s="24" t="s">
        <v>78</v>
      </c>
      <c r="M32" s="24" t="s">
        <v>78</v>
      </c>
      <c r="N32" s="18" t="s">
        <v>77</v>
      </c>
      <c r="O32" s="18" t="s">
        <v>77</v>
      </c>
      <c r="P32" s="8">
        <v>0.7</v>
      </c>
      <c r="Q32" s="13">
        <v>31.21</v>
      </c>
      <c r="R32" s="24" t="s">
        <v>78</v>
      </c>
      <c r="S32" s="24" t="s">
        <v>78</v>
      </c>
      <c r="T32" s="24" t="s">
        <v>78</v>
      </c>
      <c r="U32" s="24" t="s">
        <v>78</v>
      </c>
      <c r="V32" s="18" t="s">
        <v>78</v>
      </c>
      <c r="W32" s="18" t="s">
        <v>78</v>
      </c>
      <c r="X32" s="18" t="s">
        <v>78</v>
      </c>
      <c r="Y32" s="18" t="s">
        <v>78</v>
      </c>
      <c r="Z32" s="18" t="s">
        <v>78</v>
      </c>
      <c r="AA32" s="24" t="s">
        <v>78</v>
      </c>
      <c r="AB32" s="24" t="s">
        <v>78</v>
      </c>
      <c r="AC32" s="24" t="s">
        <v>78</v>
      </c>
      <c r="AD32" s="8">
        <v>39361.5</v>
      </c>
      <c r="AE32" s="24" t="s">
        <v>78</v>
      </c>
      <c r="AF32" s="24" t="s">
        <v>78</v>
      </c>
      <c r="AG32" s="8"/>
      <c r="AH32" s="24" t="s">
        <v>78</v>
      </c>
      <c r="AI32" s="24" t="s">
        <v>78</v>
      </c>
      <c r="AJ32" s="8">
        <v>0</v>
      </c>
      <c r="AK32" s="8">
        <v>0</v>
      </c>
      <c r="AL32" s="8" t="s">
        <v>78</v>
      </c>
      <c r="AM32" s="24" t="s">
        <v>78</v>
      </c>
      <c r="AN32" s="24" t="s">
        <v>78</v>
      </c>
      <c r="AO32" s="8">
        <v>75.321316110789795</v>
      </c>
      <c r="AP32" s="17">
        <v>100</v>
      </c>
      <c r="AQ32" s="24" t="s">
        <v>78</v>
      </c>
      <c r="AR32" s="24" t="s">
        <v>78</v>
      </c>
      <c r="AS32" s="24" t="s">
        <v>78</v>
      </c>
      <c r="AT32" s="24" t="s">
        <v>78</v>
      </c>
    </row>
    <row r="33" spans="1:46">
      <c r="A33" s="4" t="s">
        <v>106</v>
      </c>
      <c r="B33">
        <v>0.72750221457639697</v>
      </c>
      <c r="C33" s="31">
        <v>0</v>
      </c>
      <c r="D33">
        <v>0.47345350023720001</v>
      </c>
      <c r="E33">
        <v>0.25403090433919701</v>
      </c>
      <c r="F33" s="31">
        <v>0</v>
      </c>
      <c r="G33">
        <v>1.7810000000000001E-5</v>
      </c>
      <c r="H33" s="17">
        <v>77</v>
      </c>
      <c r="I33" s="8">
        <v>7.6</v>
      </c>
      <c r="J33" s="8">
        <v>69.7</v>
      </c>
      <c r="K33" s="32" t="s">
        <v>78</v>
      </c>
      <c r="L33" s="32" t="s">
        <v>78</v>
      </c>
      <c r="M33" s="32" t="s">
        <v>78</v>
      </c>
      <c r="N33" s="33">
        <v>99.9</v>
      </c>
      <c r="O33" s="18" t="s">
        <v>77</v>
      </c>
      <c r="P33" s="8">
        <v>0.9</v>
      </c>
      <c r="Q33" s="8">
        <v>445.37</v>
      </c>
      <c r="R33" s="8">
        <v>1982721.41</v>
      </c>
      <c r="S33" s="8">
        <v>9.1999999999999993</v>
      </c>
      <c r="T33" s="8">
        <v>74.599999999999994</v>
      </c>
      <c r="U33" s="18" t="s">
        <v>78</v>
      </c>
      <c r="V33" s="18" t="s">
        <v>78</v>
      </c>
      <c r="W33" s="21">
        <v>219828</v>
      </c>
      <c r="X33" s="8">
        <v>44</v>
      </c>
      <c r="Y33" s="8">
        <v>70</v>
      </c>
      <c r="Z33" s="8">
        <v>2</v>
      </c>
      <c r="AA33" s="8">
        <v>1.9</v>
      </c>
      <c r="AB33" s="34">
        <v>29419.22</v>
      </c>
      <c r="AC33" s="8">
        <f>41.71*1000</f>
        <v>41710</v>
      </c>
      <c r="AD33" s="34">
        <v>204.75</v>
      </c>
      <c r="AE33" s="8">
        <v>28.7</v>
      </c>
      <c r="AF33" s="8">
        <v>14</v>
      </c>
      <c r="AG33" s="8">
        <v>-357</v>
      </c>
      <c r="AH33" s="32" t="s">
        <v>78</v>
      </c>
      <c r="AI33" s="24" t="s">
        <v>78</v>
      </c>
      <c r="AJ33" s="8">
        <v>18.5</v>
      </c>
      <c r="AK33" s="8">
        <v>0</v>
      </c>
      <c r="AL33" s="8" t="s">
        <v>78</v>
      </c>
      <c r="AM33" s="8">
        <v>61.7</v>
      </c>
      <c r="AN33" s="17">
        <v>5.1020000000000003</v>
      </c>
      <c r="AO33" s="8">
        <v>71.842927164421695</v>
      </c>
      <c r="AP33" s="17">
        <v>100</v>
      </c>
      <c r="AQ33" s="8">
        <v>38.6</v>
      </c>
      <c r="AR33" s="8">
        <v>59.7</v>
      </c>
      <c r="AS33" s="8">
        <v>41.7</v>
      </c>
      <c r="AT33" s="24" t="s">
        <v>78</v>
      </c>
    </row>
    <row r="34" spans="1:46">
      <c r="A34" s="22" t="s">
        <v>107</v>
      </c>
      <c r="B34">
        <v>0.43443392004665699</v>
      </c>
      <c r="C34">
        <v>0.19541422131363401</v>
      </c>
      <c r="D34">
        <v>1.3846798854299999E-3</v>
      </c>
      <c r="E34">
        <v>2.1457877959926899E-3</v>
      </c>
      <c r="F34">
        <v>0.1729311817766</v>
      </c>
      <c r="G34">
        <v>6.2558049274999999E-2</v>
      </c>
      <c r="H34" s="17">
        <v>70</v>
      </c>
      <c r="I34" s="8">
        <v>5.4</v>
      </c>
      <c r="J34" s="8">
        <v>56.7</v>
      </c>
      <c r="K34" s="8">
        <v>61</v>
      </c>
      <c r="L34" s="8">
        <v>80</v>
      </c>
      <c r="M34" s="8">
        <v>69</v>
      </c>
      <c r="N34" s="17">
        <v>99.010999999999996</v>
      </c>
      <c r="O34" s="23">
        <v>1.29</v>
      </c>
      <c r="P34" s="8">
        <v>-0.8</v>
      </c>
      <c r="Q34" s="13">
        <v>6877.74</v>
      </c>
      <c r="R34" s="8">
        <v>1445730</v>
      </c>
      <c r="S34" s="8">
        <v>11.4</v>
      </c>
      <c r="T34" s="8">
        <v>71.8</v>
      </c>
      <c r="U34" s="17">
        <v>0.61399999999999999</v>
      </c>
      <c r="V34" s="17">
        <v>3</v>
      </c>
      <c r="W34" s="21">
        <v>3290519</v>
      </c>
      <c r="X34" s="8">
        <v>45</v>
      </c>
      <c r="Y34" s="8">
        <v>71.3</v>
      </c>
      <c r="Z34" s="8">
        <v>5.2</v>
      </c>
      <c r="AA34" s="8">
        <v>25.2</v>
      </c>
      <c r="AB34" s="8">
        <v>192068.6</v>
      </c>
      <c r="AC34" s="8">
        <f>13.22*1000</f>
        <v>13220</v>
      </c>
      <c r="AD34" s="8">
        <v>2116.1999999999998</v>
      </c>
      <c r="AE34" s="8">
        <v>38.9</v>
      </c>
      <c r="AF34" s="8">
        <v>13.9</v>
      </c>
      <c r="AG34" s="8"/>
      <c r="AH34" s="8">
        <v>0.13100000000000001</v>
      </c>
      <c r="AI34" s="8">
        <v>42</v>
      </c>
      <c r="AJ34" s="8">
        <v>10</v>
      </c>
      <c r="AK34" s="8">
        <v>4</v>
      </c>
      <c r="AL34" s="8">
        <v>3116650</v>
      </c>
      <c r="AM34" s="8">
        <v>28.6</v>
      </c>
      <c r="AN34" s="17">
        <v>18.48</v>
      </c>
      <c r="AO34" s="8">
        <v>63.584159875280797</v>
      </c>
      <c r="AP34">
        <v>99.699996948242202</v>
      </c>
      <c r="AQ34" s="8">
        <v>58</v>
      </c>
      <c r="AR34" s="8">
        <v>58.8</v>
      </c>
      <c r="AS34" s="8">
        <v>49.8</v>
      </c>
      <c r="AT34" s="8">
        <v>1.5409999999999999</v>
      </c>
    </row>
    <row r="35" spans="1:46">
      <c r="A35" s="22" t="s">
        <v>108</v>
      </c>
      <c r="B35">
        <v>1.9056699999999999E-3</v>
      </c>
      <c r="C35" s="8">
        <v>0</v>
      </c>
      <c r="D35" s="8">
        <v>0</v>
      </c>
      <c r="E35" s="8">
        <v>0</v>
      </c>
      <c r="F35" s="8">
        <v>0</v>
      </c>
      <c r="G35">
        <v>1.9056699999999999E-3</v>
      </c>
      <c r="H35" s="17">
        <v>43</v>
      </c>
      <c r="I35" s="8">
        <v>4.8</v>
      </c>
      <c r="J35" s="8">
        <v>54.1</v>
      </c>
      <c r="K35" s="29">
        <v>20</v>
      </c>
      <c r="L35" s="8">
        <v>33</v>
      </c>
      <c r="M35" s="8">
        <v>28</v>
      </c>
      <c r="N35" s="17">
        <v>47.215000000000003</v>
      </c>
      <c r="O35" s="23">
        <v>70.84</v>
      </c>
      <c r="P35" s="8">
        <v>2.7</v>
      </c>
      <c r="Q35" s="13">
        <v>22100.68</v>
      </c>
      <c r="R35" s="8">
        <v>576815.69999999995</v>
      </c>
      <c r="S35" s="8">
        <v>2.1</v>
      </c>
      <c r="T35" s="8">
        <v>59.3</v>
      </c>
      <c r="U35" s="17">
        <v>0.54300000000000004</v>
      </c>
      <c r="V35" s="17">
        <v>4</v>
      </c>
      <c r="W35" s="21">
        <v>8015643</v>
      </c>
      <c r="X35" s="8">
        <v>25</v>
      </c>
      <c r="Y35" s="8">
        <v>34.799999999999997</v>
      </c>
      <c r="Z35" s="8">
        <v>1.5</v>
      </c>
      <c r="AA35" s="8">
        <v>59.3</v>
      </c>
      <c r="AB35" s="8">
        <v>52924.62</v>
      </c>
      <c r="AC35" s="8">
        <f>831.31</f>
        <v>831.31</v>
      </c>
      <c r="AD35" s="8">
        <v>137.37</v>
      </c>
      <c r="AE35" s="8">
        <v>18</v>
      </c>
      <c r="AF35" s="8">
        <v>9.1</v>
      </c>
      <c r="AG35" s="8"/>
      <c r="AH35" s="8">
        <v>0.20100000000000001</v>
      </c>
      <c r="AI35" s="8">
        <v>42</v>
      </c>
      <c r="AJ35" s="8">
        <v>27.5</v>
      </c>
      <c r="AK35" s="8">
        <v>58</v>
      </c>
      <c r="AL35" s="8">
        <v>551468</v>
      </c>
      <c r="AM35" s="8">
        <v>26.1</v>
      </c>
      <c r="AN35" s="17">
        <v>45.893999999999998</v>
      </c>
      <c r="AO35" s="8">
        <v>53.361833809347999</v>
      </c>
      <c r="AP35">
        <v>18.957239151001001</v>
      </c>
      <c r="AQ35" s="8">
        <v>49.6</v>
      </c>
      <c r="AR35" s="8">
        <v>16.7</v>
      </c>
      <c r="AS35" s="8">
        <v>27.6</v>
      </c>
      <c r="AT35" s="8">
        <v>2.786</v>
      </c>
    </row>
    <row r="36" spans="1:46">
      <c r="A36" s="4" t="s">
        <v>109</v>
      </c>
      <c r="B36">
        <v>2.074865E-3</v>
      </c>
      <c r="C36" s="8">
        <v>0</v>
      </c>
      <c r="D36" s="8">
        <v>0</v>
      </c>
      <c r="E36" s="8">
        <v>0</v>
      </c>
      <c r="F36" s="8">
        <v>0</v>
      </c>
      <c r="G36">
        <v>2.074865E-3</v>
      </c>
      <c r="H36" s="17">
        <v>44</v>
      </c>
      <c r="I36" s="8">
        <v>1.8</v>
      </c>
      <c r="J36" s="8">
        <v>44.9</v>
      </c>
      <c r="K36" s="24" t="s">
        <v>78</v>
      </c>
      <c r="L36" s="8">
        <v>17</v>
      </c>
      <c r="M36" s="8">
        <v>5</v>
      </c>
      <c r="N36" s="17">
        <v>62.207000000000001</v>
      </c>
      <c r="O36" s="23">
        <v>92.350000000000009</v>
      </c>
      <c r="P36" s="8">
        <v>2.7</v>
      </c>
      <c r="Q36" s="13">
        <v>12551.21</v>
      </c>
      <c r="R36" s="8">
        <v>-620189.01</v>
      </c>
      <c r="S36" s="8">
        <v>3.1</v>
      </c>
      <c r="T36" s="8">
        <v>61.7</v>
      </c>
      <c r="U36" s="18" t="s">
        <v>78</v>
      </c>
      <c r="V36" s="17">
        <v>6</v>
      </c>
      <c r="W36" s="21">
        <v>5271390</v>
      </c>
      <c r="X36" s="8">
        <v>24</v>
      </c>
      <c r="Y36" s="8">
        <v>39.200000000000003</v>
      </c>
      <c r="Z36" s="8">
        <v>8.5</v>
      </c>
      <c r="AA36" s="8">
        <v>67.599999999999994</v>
      </c>
      <c r="AB36" s="8">
        <v>9721.4500000000007</v>
      </c>
      <c r="AC36" s="8">
        <f>307.87*1000</f>
        <v>307870</v>
      </c>
      <c r="AD36" s="8">
        <v>7.9</v>
      </c>
      <c r="AE36" s="8">
        <v>20.7</v>
      </c>
      <c r="AF36" s="8">
        <v>10.7</v>
      </c>
      <c r="AG36" s="8"/>
      <c r="AH36" s="24" t="s">
        <v>78</v>
      </c>
      <c r="AI36" s="8">
        <v>19</v>
      </c>
      <c r="AJ36" s="8">
        <v>30</v>
      </c>
      <c r="AK36" s="8">
        <v>11</v>
      </c>
      <c r="AL36" s="8">
        <v>575239</v>
      </c>
      <c r="AM36" s="8">
        <v>30.7</v>
      </c>
      <c r="AN36" s="17">
        <v>37.442999999999998</v>
      </c>
      <c r="AO36" s="8">
        <v>51.230355185590398</v>
      </c>
      <c r="AP36">
        <v>11.7355556488037</v>
      </c>
      <c r="AQ36" s="8">
        <v>35.5</v>
      </c>
      <c r="AR36" s="8">
        <v>2.7</v>
      </c>
      <c r="AS36" s="8">
        <v>29.4</v>
      </c>
      <c r="AT36" s="8">
        <v>2.4700000000000002</v>
      </c>
    </row>
    <row r="37" spans="1:46">
      <c r="A37" s="4" t="s">
        <v>110</v>
      </c>
      <c r="B37">
        <v>7.3911500000000004E-4</v>
      </c>
      <c r="C37" s="8">
        <v>0</v>
      </c>
      <c r="D37" s="8">
        <v>0</v>
      </c>
      <c r="E37" s="8">
        <v>0</v>
      </c>
      <c r="F37" s="8">
        <v>0</v>
      </c>
      <c r="G37">
        <v>7.3911500000000004E-4</v>
      </c>
      <c r="H37" s="17">
        <v>69</v>
      </c>
      <c r="I37" s="8">
        <v>15.5</v>
      </c>
      <c r="J37" s="18" t="s">
        <v>78</v>
      </c>
      <c r="K37" s="24" t="s">
        <v>78</v>
      </c>
      <c r="L37" s="24" t="s">
        <v>78</v>
      </c>
      <c r="M37" s="24" t="s">
        <v>78</v>
      </c>
      <c r="N37" s="17">
        <v>88.77</v>
      </c>
      <c r="O37" s="23">
        <v>15.84</v>
      </c>
      <c r="P37" s="8">
        <v>0.9</v>
      </c>
      <c r="Q37" s="13">
        <v>587.91999999999996</v>
      </c>
      <c r="R37" s="8">
        <v>-657437.06000000006</v>
      </c>
      <c r="S37" s="8">
        <v>6.3</v>
      </c>
      <c r="T37" s="8">
        <v>74.099999999999994</v>
      </c>
      <c r="U37" s="18" t="s">
        <v>78</v>
      </c>
      <c r="V37" s="18" t="s">
        <v>78</v>
      </c>
      <c r="W37" s="21">
        <v>234338</v>
      </c>
      <c r="X37" s="18" t="s">
        <v>78</v>
      </c>
      <c r="Y37" s="18" t="s">
        <v>78</v>
      </c>
      <c r="Z37" s="8">
        <v>3.5</v>
      </c>
      <c r="AA37" s="8">
        <v>149</v>
      </c>
      <c r="AB37" s="8">
        <v>3949.07</v>
      </c>
      <c r="AC37" s="8">
        <f>3.71*1000</f>
        <v>3710</v>
      </c>
      <c r="AD37" s="8">
        <v>89.28</v>
      </c>
      <c r="AE37" s="24" t="s">
        <v>78</v>
      </c>
      <c r="AF37" s="8">
        <v>12.6</v>
      </c>
      <c r="AG37" s="8"/>
      <c r="AH37" s="24" t="s">
        <v>78</v>
      </c>
      <c r="AI37" s="8">
        <v>58</v>
      </c>
      <c r="AJ37" s="8">
        <v>22</v>
      </c>
      <c r="AK37" s="8">
        <v>0</v>
      </c>
      <c r="AL37" s="8" t="s">
        <v>78</v>
      </c>
      <c r="AM37" s="8">
        <v>28</v>
      </c>
      <c r="AN37" s="17">
        <v>36.463999999999999</v>
      </c>
      <c r="AO37" s="8">
        <v>67.945826423438405</v>
      </c>
      <c r="AP37">
        <v>94.1617431640625</v>
      </c>
      <c r="AQ37" s="8">
        <v>37.9</v>
      </c>
      <c r="AR37" s="8">
        <v>24.1</v>
      </c>
      <c r="AS37" s="8">
        <v>51.4</v>
      </c>
      <c r="AT37" s="24" t="s">
        <v>78</v>
      </c>
    </row>
    <row r="38" spans="1:46">
      <c r="A38" s="22" t="s">
        <v>111</v>
      </c>
      <c r="B38">
        <v>3.78845415E-2</v>
      </c>
      <c r="C38" s="31">
        <v>0</v>
      </c>
      <c r="D38" s="31">
        <v>0</v>
      </c>
      <c r="E38" s="31">
        <v>0</v>
      </c>
      <c r="F38" s="8">
        <v>0</v>
      </c>
      <c r="G38">
        <v>3.78845415E-2</v>
      </c>
      <c r="H38" s="17">
        <v>61</v>
      </c>
      <c r="I38" s="8">
        <v>0.6</v>
      </c>
      <c r="J38" s="8">
        <v>50.8</v>
      </c>
      <c r="K38" s="8">
        <v>30</v>
      </c>
      <c r="L38" s="8">
        <v>39</v>
      </c>
      <c r="M38" s="8">
        <v>43</v>
      </c>
      <c r="N38" s="17">
        <v>71.22</v>
      </c>
      <c r="O38" s="23">
        <v>26.240000000000002</v>
      </c>
      <c r="P38" s="8">
        <v>1.2</v>
      </c>
      <c r="Q38" s="35">
        <v>16589.02</v>
      </c>
      <c r="R38" s="8">
        <v>-12703980.550000001</v>
      </c>
      <c r="S38" s="8">
        <v>5.0999999999999996</v>
      </c>
      <c r="T38" s="8">
        <v>69.599999999999994</v>
      </c>
      <c r="U38" s="17">
        <v>0.47200000000000003</v>
      </c>
      <c r="V38" s="17">
        <v>5</v>
      </c>
      <c r="W38" s="21">
        <v>9345426</v>
      </c>
      <c r="X38" s="8">
        <v>31</v>
      </c>
      <c r="Y38" s="8">
        <v>55</v>
      </c>
      <c r="Z38" s="8">
        <v>3.8</v>
      </c>
      <c r="AA38" s="8">
        <v>37.200000000000003</v>
      </c>
      <c r="AB38" s="34">
        <v>79360.289999999994</v>
      </c>
      <c r="AC38" s="34">
        <f>1.9*1000</f>
        <v>1900</v>
      </c>
      <c r="AD38" s="34">
        <v>3483.46</v>
      </c>
      <c r="AE38" s="8">
        <v>34.700000000000003</v>
      </c>
      <c r="AF38" s="8">
        <v>11.5</v>
      </c>
      <c r="AG38" s="8">
        <v>33</v>
      </c>
      <c r="AH38" s="8">
        <v>0.14799999999999999</v>
      </c>
      <c r="AI38" s="8">
        <v>23</v>
      </c>
      <c r="AJ38" s="8">
        <v>20</v>
      </c>
      <c r="AK38" s="8">
        <v>21</v>
      </c>
      <c r="AL38" s="8">
        <v>43473587</v>
      </c>
      <c r="AM38" s="8">
        <v>25.9</v>
      </c>
      <c r="AN38" s="17">
        <v>23.318000000000001</v>
      </c>
      <c r="AO38" s="8">
        <v>65.168477216274994</v>
      </c>
      <c r="AP38">
        <v>86.400001525878906</v>
      </c>
      <c r="AQ38" s="8">
        <v>37.5</v>
      </c>
      <c r="AR38" s="8">
        <v>13.7</v>
      </c>
      <c r="AS38" s="8">
        <v>23.3</v>
      </c>
      <c r="AT38" s="8">
        <v>1.8819999999999999</v>
      </c>
    </row>
    <row r="39" spans="1:46">
      <c r="A39" s="22" t="s">
        <v>112</v>
      </c>
      <c r="B39">
        <v>0.28547580641065801</v>
      </c>
      <c r="C39" s="8">
        <v>0</v>
      </c>
      <c r="D39">
        <v>8.7479904098999806E-2</v>
      </c>
      <c r="E39">
        <v>0.15026510231165799</v>
      </c>
      <c r="F39" s="8">
        <v>0</v>
      </c>
      <c r="G39">
        <v>4.7730799999999997E-2</v>
      </c>
      <c r="H39" s="17">
        <v>44</v>
      </c>
      <c r="I39" s="8">
        <v>3.9</v>
      </c>
      <c r="J39" s="8">
        <v>47</v>
      </c>
      <c r="K39" s="8">
        <v>28</v>
      </c>
      <c r="L39" s="8">
        <v>34</v>
      </c>
      <c r="M39" s="8">
        <v>26</v>
      </c>
      <c r="N39" s="17">
        <v>65.72</v>
      </c>
      <c r="O39" s="23">
        <v>40.369999999999997</v>
      </c>
      <c r="P39" s="8">
        <v>2.6</v>
      </c>
      <c r="Q39" s="13">
        <v>27198.63</v>
      </c>
      <c r="R39" s="8">
        <v>-1578525.66</v>
      </c>
      <c r="S39" s="8">
        <v>6.2</v>
      </c>
      <c r="T39" s="8">
        <v>60.3</v>
      </c>
      <c r="U39" s="17">
        <v>0.46900000000000003</v>
      </c>
      <c r="V39" s="17">
        <v>4</v>
      </c>
      <c r="W39" s="21">
        <v>11809503</v>
      </c>
      <c r="X39" s="8">
        <v>31</v>
      </c>
      <c r="Y39" s="8">
        <v>40.1</v>
      </c>
      <c r="Z39" s="8">
        <v>2.8</v>
      </c>
      <c r="AA39" s="8">
        <v>43.7</v>
      </c>
      <c r="AB39" s="8">
        <v>110570.9</v>
      </c>
      <c r="AC39" s="8">
        <f>1.61*1000</f>
        <v>1610</v>
      </c>
      <c r="AD39" s="8">
        <v>849.98</v>
      </c>
      <c r="AE39" s="8">
        <v>19</v>
      </c>
      <c r="AF39" s="8">
        <v>13.1</v>
      </c>
      <c r="AG39" s="8"/>
      <c r="AH39" s="8">
        <v>8.1000000000000003E-2</v>
      </c>
      <c r="AI39" s="8">
        <v>27</v>
      </c>
      <c r="AJ39" s="8">
        <v>33</v>
      </c>
      <c r="AK39" s="8">
        <v>9</v>
      </c>
      <c r="AL39" s="8">
        <v>91517</v>
      </c>
      <c r="AM39" s="8">
        <v>13.2</v>
      </c>
      <c r="AN39" s="17">
        <v>80.412000000000006</v>
      </c>
      <c r="AO39" s="8">
        <v>54.867848481180701</v>
      </c>
      <c r="AP39">
        <v>64.721366882324205</v>
      </c>
      <c r="AQ39" s="8">
        <v>33</v>
      </c>
      <c r="AR39" s="8">
        <v>15.4</v>
      </c>
      <c r="AS39" s="8">
        <v>35.4</v>
      </c>
      <c r="AT39" s="8">
        <v>2.7090000000000001</v>
      </c>
    </row>
    <row r="40" spans="1:46">
      <c r="A40" s="22" t="s">
        <v>113</v>
      </c>
      <c r="B40">
        <v>23.458860674513399</v>
      </c>
      <c r="C40">
        <v>1.1604315941373999</v>
      </c>
      <c r="D40">
        <v>6.6477726659214103</v>
      </c>
      <c r="E40">
        <v>10.744366071845899</v>
      </c>
      <c r="F40">
        <v>1.07946514493714</v>
      </c>
      <c r="G40">
        <v>3.8268251976715</v>
      </c>
      <c r="H40" s="17">
        <v>89</v>
      </c>
      <c r="I40" s="8">
        <v>7.5</v>
      </c>
      <c r="J40" s="8">
        <v>67.5</v>
      </c>
      <c r="K40" s="8">
        <v>100</v>
      </c>
      <c r="L40" s="8">
        <v>84</v>
      </c>
      <c r="M40" s="8">
        <v>79</v>
      </c>
      <c r="N40" s="17">
        <v>99.222000000000008</v>
      </c>
      <c r="O40" s="23">
        <v>0.3</v>
      </c>
      <c r="P40" s="8">
        <v>0.5</v>
      </c>
      <c r="Q40" s="13">
        <v>38246.11</v>
      </c>
      <c r="R40" s="8">
        <v>1889453.4</v>
      </c>
      <c r="S40" s="8">
        <v>13.8</v>
      </c>
      <c r="T40" s="8">
        <v>82.7</v>
      </c>
      <c r="U40" s="17">
        <v>0.74099999999999999</v>
      </c>
      <c r="V40" s="17">
        <v>3</v>
      </c>
      <c r="W40" s="21">
        <v>21017306</v>
      </c>
      <c r="X40" s="8">
        <v>74</v>
      </c>
      <c r="Y40" s="8">
        <v>80.8</v>
      </c>
      <c r="Z40" s="8">
        <v>4.2</v>
      </c>
      <c r="AA40" s="8">
        <v>98.7</v>
      </c>
      <c r="AB40" s="8">
        <v>1992049.9</v>
      </c>
      <c r="AC40" s="8">
        <f>59.18*1000</f>
        <v>59180</v>
      </c>
      <c r="AD40" s="8">
        <v>60177.31</v>
      </c>
      <c r="AE40" s="8">
        <v>81.400000000000006</v>
      </c>
      <c r="AF40" s="8">
        <v>16.399999999999999</v>
      </c>
      <c r="AG40" s="8"/>
      <c r="AH40" s="8">
        <v>0.115</v>
      </c>
      <c r="AI40" s="8">
        <v>74</v>
      </c>
      <c r="AJ40" s="8">
        <v>26.21</v>
      </c>
      <c r="AK40" s="8">
        <v>23</v>
      </c>
      <c r="AL40" s="8">
        <v>5471647</v>
      </c>
      <c r="AM40" s="8">
        <v>88</v>
      </c>
      <c r="AN40" s="17">
        <v>5.9240000000000004</v>
      </c>
      <c r="AO40" s="8">
        <v>65.745348212706602</v>
      </c>
      <c r="AP40" s="17">
        <v>100</v>
      </c>
      <c r="AQ40" s="8">
        <v>52.5</v>
      </c>
      <c r="AR40" s="8">
        <v>59.5</v>
      </c>
      <c r="AS40" s="8">
        <v>28.2</v>
      </c>
      <c r="AT40" s="8">
        <v>1.389</v>
      </c>
    </row>
    <row r="41" spans="1:46">
      <c r="A41" s="4" t="s">
        <v>114</v>
      </c>
      <c r="B41" s="18" t="s">
        <v>78</v>
      </c>
      <c r="C41" s="18" t="s">
        <v>78</v>
      </c>
      <c r="D41" s="18" t="s">
        <v>78</v>
      </c>
      <c r="E41" s="18" t="s">
        <v>78</v>
      </c>
      <c r="F41" s="18" t="s">
        <v>78</v>
      </c>
      <c r="G41" s="18" t="s">
        <v>78</v>
      </c>
      <c r="H41" s="18" t="s">
        <v>78</v>
      </c>
      <c r="I41" s="18" t="s">
        <v>78</v>
      </c>
      <c r="J41" s="8">
        <v>50.8</v>
      </c>
      <c r="K41" s="29">
        <v>27</v>
      </c>
      <c r="L41" s="24" t="s">
        <v>78</v>
      </c>
      <c r="M41" s="24" t="s">
        <v>78</v>
      </c>
      <c r="N41" s="18" t="s">
        <v>77</v>
      </c>
      <c r="O41" s="18" t="s">
        <v>77</v>
      </c>
      <c r="P41" s="18" t="s">
        <v>78</v>
      </c>
      <c r="Q41" s="36" t="s">
        <v>78</v>
      </c>
      <c r="R41" s="24" t="s">
        <v>78</v>
      </c>
      <c r="S41" s="24" t="s">
        <v>78</v>
      </c>
      <c r="T41" s="24" t="s">
        <v>78</v>
      </c>
      <c r="U41" s="24" t="s">
        <v>78</v>
      </c>
      <c r="V41" s="18" t="s">
        <v>78</v>
      </c>
      <c r="W41" s="18" t="s">
        <v>78</v>
      </c>
      <c r="X41" s="8">
        <v>25</v>
      </c>
      <c r="Y41" s="8">
        <v>53.7</v>
      </c>
      <c r="Z41" s="24" t="s">
        <v>78</v>
      </c>
      <c r="AA41" s="24" t="s">
        <v>78</v>
      </c>
      <c r="AB41" s="24" t="s">
        <v>78</v>
      </c>
      <c r="AC41" s="24" t="s">
        <v>78</v>
      </c>
      <c r="AD41" s="24" t="s">
        <v>78</v>
      </c>
      <c r="AE41" s="8">
        <v>40.4</v>
      </c>
      <c r="AF41" s="24" t="s">
        <v>78</v>
      </c>
      <c r="AG41" s="8"/>
      <c r="AH41" s="8">
        <v>0.30599999999999999</v>
      </c>
      <c r="AI41" s="24" t="s">
        <v>78</v>
      </c>
      <c r="AJ41" s="18" t="s">
        <v>78</v>
      </c>
      <c r="AK41" s="8">
        <v>0</v>
      </c>
      <c r="AL41" s="8" t="s">
        <v>78</v>
      </c>
      <c r="AM41" s="24" t="s">
        <v>78</v>
      </c>
      <c r="AN41" s="24" t="s">
        <v>78</v>
      </c>
      <c r="AO41" s="24" t="s">
        <v>78</v>
      </c>
      <c r="AP41" s="24" t="s">
        <v>78</v>
      </c>
      <c r="AQ41" s="24" t="s">
        <v>78</v>
      </c>
      <c r="AR41" s="24" t="s">
        <v>78</v>
      </c>
      <c r="AS41" s="24" t="s">
        <v>78</v>
      </c>
      <c r="AT41" s="24" t="s">
        <v>78</v>
      </c>
    </row>
    <row r="42" spans="1:46">
      <c r="A42" s="4" t="s">
        <v>115</v>
      </c>
      <c r="B42">
        <v>1.51385E-4</v>
      </c>
      <c r="C42" s="8">
        <v>0</v>
      </c>
      <c r="D42" s="8">
        <v>0</v>
      </c>
      <c r="E42" s="8">
        <v>0</v>
      </c>
      <c r="F42" s="8">
        <v>0</v>
      </c>
      <c r="G42">
        <v>1.51385E-4</v>
      </c>
      <c r="H42" s="18" t="s">
        <v>78</v>
      </c>
      <c r="I42" s="18" t="s">
        <v>78</v>
      </c>
      <c r="J42" s="18" t="s">
        <v>78</v>
      </c>
      <c r="K42" s="29">
        <v>85</v>
      </c>
      <c r="L42" s="24" t="s">
        <v>78</v>
      </c>
      <c r="M42" s="24" t="s">
        <v>78</v>
      </c>
      <c r="N42" s="18" t="s">
        <v>77</v>
      </c>
      <c r="O42" s="37" t="s">
        <v>77</v>
      </c>
      <c r="P42" s="8">
        <v>1.2</v>
      </c>
      <c r="Q42" s="13">
        <v>68.14</v>
      </c>
      <c r="R42" s="8">
        <v>1144447.03</v>
      </c>
      <c r="S42" s="24" t="s">
        <v>78</v>
      </c>
      <c r="T42" s="24" t="s">
        <v>78</v>
      </c>
      <c r="U42" s="24" t="s">
        <v>78</v>
      </c>
      <c r="V42" s="18" t="s">
        <v>78</v>
      </c>
      <c r="W42" s="18" t="s">
        <v>78</v>
      </c>
      <c r="X42" s="18" t="s">
        <v>78</v>
      </c>
      <c r="Y42" s="18" t="s">
        <v>78</v>
      </c>
      <c r="Z42" s="24" t="s">
        <v>78</v>
      </c>
      <c r="AA42" s="24" t="s">
        <v>78</v>
      </c>
      <c r="AB42" s="8">
        <v>5052.6400000000003</v>
      </c>
      <c r="AC42" s="24" t="s">
        <v>78</v>
      </c>
      <c r="AD42" s="8">
        <v>25893.09</v>
      </c>
      <c r="AE42" s="24" t="s">
        <v>78</v>
      </c>
      <c r="AF42" s="24" t="s">
        <v>78</v>
      </c>
      <c r="AG42" s="8"/>
      <c r="AH42" s="8">
        <v>0.35399999999999998</v>
      </c>
      <c r="AI42" s="24" t="s">
        <v>78</v>
      </c>
      <c r="AJ42" s="8">
        <v>0</v>
      </c>
      <c r="AK42" s="8">
        <v>0</v>
      </c>
      <c r="AL42" s="8" t="s">
        <v>78</v>
      </c>
      <c r="AM42" s="24" t="s">
        <v>78</v>
      </c>
      <c r="AN42" s="24" t="s">
        <v>78</v>
      </c>
      <c r="AO42" s="8">
        <v>75.390395679229798</v>
      </c>
      <c r="AP42" s="17">
        <v>100</v>
      </c>
      <c r="AQ42" s="24" t="s">
        <v>78</v>
      </c>
      <c r="AR42" s="24" t="s">
        <v>78</v>
      </c>
      <c r="AS42" s="24" t="s">
        <v>78</v>
      </c>
      <c r="AT42" s="24" t="s">
        <v>78</v>
      </c>
    </row>
    <row r="43" spans="1:46">
      <c r="A43" s="4" t="s">
        <v>116</v>
      </c>
      <c r="B43">
        <v>1.3357499999999999E-3</v>
      </c>
      <c r="C43" s="8">
        <v>0</v>
      </c>
      <c r="D43" s="8">
        <v>0</v>
      </c>
      <c r="E43" s="8">
        <v>0</v>
      </c>
      <c r="F43" s="8">
        <v>0</v>
      </c>
      <c r="G43">
        <v>1.3357499999999999E-3</v>
      </c>
      <c r="H43" s="17">
        <v>32</v>
      </c>
      <c r="I43" s="8">
        <v>6.6</v>
      </c>
      <c r="J43" s="18" t="s">
        <v>78</v>
      </c>
      <c r="K43" s="24" t="s">
        <v>78</v>
      </c>
      <c r="L43" s="8">
        <v>24</v>
      </c>
      <c r="M43" s="8">
        <v>15</v>
      </c>
      <c r="N43" s="17">
        <v>37.201999999999998</v>
      </c>
      <c r="O43" s="23">
        <v>85.79</v>
      </c>
      <c r="P43" s="8">
        <v>2.1</v>
      </c>
      <c r="Q43" s="13">
        <v>5457.15</v>
      </c>
      <c r="R43" s="8">
        <v>-65381.29</v>
      </c>
      <c r="S43" s="8">
        <v>4.2</v>
      </c>
      <c r="T43" s="8">
        <v>53.9</v>
      </c>
      <c r="U43" s="24" t="s">
        <v>78</v>
      </c>
      <c r="V43" s="29">
        <v>6</v>
      </c>
      <c r="W43" s="21">
        <v>2014514</v>
      </c>
      <c r="X43" s="18" t="s">
        <v>78</v>
      </c>
      <c r="Y43" s="18" t="s">
        <v>78</v>
      </c>
      <c r="Z43" s="8">
        <v>6.3</v>
      </c>
      <c r="AA43" s="8">
        <v>47.6</v>
      </c>
      <c r="AB43" s="8">
        <v>5021.01</v>
      </c>
      <c r="AC43" s="8">
        <f>515.48*1000</f>
        <v>515480</v>
      </c>
      <c r="AD43" s="8">
        <v>30.17</v>
      </c>
      <c r="AE43" s="24" t="s">
        <v>78</v>
      </c>
      <c r="AF43" s="8">
        <v>8</v>
      </c>
      <c r="AG43" s="8"/>
      <c r="AH43" s="24" t="s">
        <v>78</v>
      </c>
      <c r="AI43" s="8">
        <v>24</v>
      </c>
      <c r="AJ43" s="8">
        <v>30</v>
      </c>
      <c r="AK43" s="8">
        <v>1</v>
      </c>
      <c r="AL43" s="8" t="s">
        <v>78</v>
      </c>
      <c r="AM43" s="8">
        <v>19</v>
      </c>
      <c r="AN43" s="17">
        <v>61.733000000000004</v>
      </c>
      <c r="AO43" s="8">
        <v>49.317359440712202</v>
      </c>
      <c r="AP43">
        <v>15.465084075927701</v>
      </c>
      <c r="AQ43" s="8">
        <v>55.9</v>
      </c>
      <c r="AR43" s="8">
        <v>3.4</v>
      </c>
      <c r="AS43" s="31">
        <v>49.5</v>
      </c>
      <c r="AT43" s="8">
        <v>3.0209999999999999</v>
      </c>
    </row>
    <row r="44" spans="1:46">
      <c r="A44" s="4" t="s">
        <v>117</v>
      </c>
      <c r="B44">
        <v>0.29170199499999999</v>
      </c>
      <c r="C44" s="8">
        <v>0</v>
      </c>
      <c r="D44" s="8">
        <v>0</v>
      </c>
      <c r="E44">
        <v>0.29153279999999998</v>
      </c>
      <c r="F44" s="8">
        <v>0</v>
      </c>
      <c r="G44">
        <v>1.69195E-4</v>
      </c>
      <c r="H44" s="17">
        <v>28</v>
      </c>
      <c r="I44" s="8">
        <v>1.9</v>
      </c>
      <c r="J44" s="8">
        <v>42.3</v>
      </c>
      <c r="K44" s="24" t="s">
        <v>78</v>
      </c>
      <c r="L44" s="8">
        <v>77</v>
      </c>
      <c r="M44" s="8">
        <v>41</v>
      </c>
      <c r="N44" s="17">
        <v>46.188000000000002</v>
      </c>
      <c r="O44" s="23">
        <v>69.94</v>
      </c>
      <c r="P44" s="8">
        <v>3.2</v>
      </c>
      <c r="Q44" s="13">
        <v>17179.740000000002</v>
      </c>
      <c r="R44" s="8">
        <v>-221376.01</v>
      </c>
      <c r="S44" s="8">
        <v>2.6</v>
      </c>
      <c r="T44" s="8">
        <v>52.5</v>
      </c>
      <c r="U44" s="24" t="s">
        <v>78</v>
      </c>
      <c r="V44" s="29">
        <v>4</v>
      </c>
      <c r="W44" s="21">
        <v>5246099</v>
      </c>
      <c r="X44" s="8">
        <v>23</v>
      </c>
      <c r="Y44" s="8">
        <v>30.5</v>
      </c>
      <c r="Z44" s="8">
        <v>3.1</v>
      </c>
      <c r="AA44" s="8">
        <v>38.299999999999997</v>
      </c>
      <c r="AB44" s="8">
        <v>26904.18</v>
      </c>
      <c r="AC44" s="8">
        <f>754.59*1000</f>
        <v>754590</v>
      </c>
      <c r="AD44" s="8">
        <v>562.16999999999996</v>
      </c>
      <c r="AE44" s="8">
        <v>11.7</v>
      </c>
      <c r="AF44" s="8">
        <v>8</v>
      </c>
      <c r="AG44" s="8"/>
      <c r="AH44" s="24" t="s">
        <v>78</v>
      </c>
      <c r="AI44" s="8">
        <v>20</v>
      </c>
      <c r="AJ44" s="8">
        <v>35</v>
      </c>
      <c r="AK44" s="8">
        <v>4</v>
      </c>
      <c r="AL44" s="8">
        <v>67654</v>
      </c>
      <c r="AM44" s="8">
        <v>24.3</v>
      </c>
      <c r="AN44" s="17">
        <v>69.608000000000004</v>
      </c>
      <c r="AO44" s="8">
        <v>50.320255137737803</v>
      </c>
      <c r="AP44">
        <v>11.080117225646999</v>
      </c>
      <c r="AQ44" s="8">
        <v>42.3</v>
      </c>
      <c r="AR44" s="8">
        <v>5.0999999999999996</v>
      </c>
      <c r="AS44" s="8">
        <v>18.5</v>
      </c>
      <c r="AT44" s="8">
        <v>2.5910000000000002</v>
      </c>
    </row>
    <row r="45" spans="1:46">
      <c r="A45" s="4" t="s">
        <v>118</v>
      </c>
      <c r="B45" s="18" t="s">
        <v>78</v>
      </c>
      <c r="C45" s="18" t="s">
        <v>78</v>
      </c>
      <c r="D45" s="18" t="s">
        <v>78</v>
      </c>
      <c r="E45" s="18" t="s">
        <v>78</v>
      </c>
      <c r="F45" s="18" t="s">
        <v>78</v>
      </c>
      <c r="G45" s="18" t="s">
        <v>78</v>
      </c>
      <c r="H45" s="18" t="s">
        <v>78</v>
      </c>
      <c r="I45" s="8">
        <v>7.4</v>
      </c>
      <c r="J45" s="18" t="s">
        <v>78</v>
      </c>
      <c r="K45" s="24" t="s">
        <v>78</v>
      </c>
      <c r="L45" s="24" t="s">
        <v>78</v>
      </c>
      <c r="M45" s="24" t="s">
        <v>78</v>
      </c>
      <c r="N45" s="18" t="s">
        <v>77</v>
      </c>
      <c r="O45" s="18" t="s">
        <v>77</v>
      </c>
      <c r="P45" s="8">
        <v>0.9</v>
      </c>
      <c r="Q45" s="13">
        <v>172.68</v>
      </c>
      <c r="R45" s="24" t="s">
        <v>78</v>
      </c>
      <c r="S45" s="24" t="s">
        <v>78</v>
      </c>
      <c r="T45" s="24" t="s">
        <v>78</v>
      </c>
      <c r="U45" s="24" t="s">
        <v>78</v>
      </c>
      <c r="V45" s="18" t="s">
        <v>78</v>
      </c>
      <c r="W45" s="21">
        <v>86796</v>
      </c>
      <c r="X45" s="18" t="s">
        <v>78</v>
      </c>
      <c r="Y45" s="18" t="s">
        <v>78</v>
      </c>
      <c r="Z45" s="24" t="s">
        <v>78</v>
      </c>
      <c r="AA45" s="24" t="s">
        <v>78</v>
      </c>
      <c r="AB45" s="24" t="s">
        <v>78</v>
      </c>
      <c r="AC45" s="24" t="s">
        <v>78</v>
      </c>
      <c r="AD45" s="24" t="s">
        <v>78</v>
      </c>
      <c r="AE45" s="24" t="s">
        <v>78</v>
      </c>
      <c r="AF45" s="24" t="s">
        <v>78</v>
      </c>
      <c r="AG45" s="8"/>
      <c r="AH45" s="24" t="s">
        <v>78</v>
      </c>
      <c r="AI45" s="24" t="s">
        <v>78</v>
      </c>
      <c r="AJ45" s="18" t="s">
        <v>78</v>
      </c>
      <c r="AK45" s="8">
        <v>0</v>
      </c>
      <c r="AL45" s="8" t="s">
        <v>78</v>
      </c>
      <c r="AM45" s="24" t="s">
        <v>78</v>
      </c>
      <c r="AN45" s="24" t="s">
        <v>78</v>
      </c>
      <c r="AO45" s="8">
        <v>68.510888417248907</v>
      </c>
      <c r="AP45" s="17">
        <v>100</v>
      </c>
      <c r="AQ45" s="24" t="s">
        <v>78</v>
      </c>
      <c r="AR45" s="24" t="s">
        <v>78</v>
      </c>
      <c r="AS45" s="24" t="s">
        <v>78</v>
      </c>
      <c r="AT45" s="24" t="s">
        <v>78</v>
      </c>
    </row>
    <row r="46" spans="1:46">
      <c r="A46" s="22" t="s">
        <v>119</v>
      </c>
      <c r="B46">
        <v>0.43901146863224</v>
      </c>
      <c r="C46">
        <v>2.6220411329043101E-2</v>
      </c>
      <c r="D46">
        <v>5.6462028666804297E-2</v>
      </c>
      <c r="E46">
        <v>1.9962209016393399E-2</v>
      </c>
      <c r="F46" s="8">
        <v>0</v>
      </c>
      <c r="G46">
        <v>0.33636681961999998</v>
      </c>
      <c r="H46" s="17">
        <v>80</v>
      </c>
      <c r="I46" s="8">
        <v>9.1</v>
      </c>
      <c r="J46" s="8">
        <v>76.3</v>
      </c>
      <c r="K46" s="8">
        <v>75</v>
      </c>
      <c r="L46" s="8">
        <v>88</v>
      </c>
      <c r="M46" s="8">
        <v>74</v>
      </c>
      <c r="N46" s="17">
        <v>100</v>
      </c>
      <c r="O46" s="23">
        <v>0.18</v>
      </c>
      <c r="P46" s="8">
        <v>1</v>
      </c>
      <c r="Q46" s="13">
        <v>19493.18</v>
      </c>
      <c r="R46" s="8">
        <v>-1451166</v>
      </c>
      <c r="S46" s="8">
        <v>10.9</v>
      </c>
      <c r="T46" s="8">
        <v>78.900000000000006</v>
      </c>
      <c r="U46" s="17">
        <v>0.308</v>
      </c>
      <c r="V46" s="17">
        <v>4</v>
      </c>
      <c r="W46" s="21">
        <v>8684417</v>
      </c>
      <c r="X46" s="8">
        <v>42</v>
      </c>
      <c r="Y46" s="8">
        <v>76.3</v>
      </c>
      <c r="Z46" s="8">
        <v>8.6999999999999993</v>
      </c>
      <c r="AA46" s="8">
        <v>36.9</v>
      </c>
      <c r="AB46" s="8">
        <v>559157.69999999995</v>
      </c>
      <c r="AC46" s="8">
        <f>17.28*1000</f>
        <v>17280</v>
      </c>
      <c r="AD46" s="8">
        <v>12719.19</v>
      </c>
      <c r="AE46" s="8">
        <v>71.8</v>
      </c>
      <c r="AF46" s="8">
        <v>16.7</v>
      </c>
      <c r="AG46" s="8"/>
      <c r="AH46" s="8">
        <v>0.16400000000000001</v>
      </c>
      <c r="AI46" s="8">
        <v>67</v>
      </c>
      <c r="AJ46" s="8">
        <v>27</v>
      </c>
      <c r="AK46" s="8">
        <v>33</v>
      </c>
      <c r="AL46" s="8">
        <v>5870304</v>
      </c>
      <c r="AM46" s="8">
        <v>48.4</v>
      </c>
      <c r="AN46" s="17">
        <v>19.364000000000001</v>
      </c>
      <c r="AO46" s="8">
        <v>68.861904015734297</v>
      </c>
      <c r="AP46" s="17">
        <v>100</v>
      </c>
      <c r="AQ46" s="8">
        <v>51.2</v>
      </c>
      <c r="AR46" s="8">
        <v>46.4</v>
      </c>
      <c r="AS46" s="8">
        <v>35.799999999999997</v>
      </c>
      <c r="AT46" s="8">
        <v>1.84</v>
      </c>
    </row>
    <row r="47" spans="1:46">
      <c r="A47" s="22" t="s">
        <v>120</v>
      </c>
      <c r="B47">
        <v>123.839248839411</v>
      </c>
      <c r="C47">
        <v>87.634713183355203</v>
      </c>
      <c r="D47">
        <v>6.3623124060148797</v>
      </c>
      <c r="E47">
        <v>8.2152476330513409</v>
      </c>
      <c r="F47">
        <v>3.5684974</v>
      </c>
      <c r="G47">
        <v>18.058478216990501</v>
      </c>
      <c r="H47" s="17">
        <v>82</v>
      </c>
      <c r="I47" s="8">
        <v>4.8</v>
      </c>
      <c r="J47" s="8">
        <v>57.6</v>
      </c>
      <c r="K47" s="8">
        <v>80</v>
      </c>
      <c r="L47" s="8">
        <v>72</v>
      </c>
      <c r="M47" s="8">
        <v>72</v>
      </c>
      <c r="N47" s="17">
        <v>94.260999999999996</v>
      </c>
      <c r="O47" s="23">
        <v>1.3</v>
      </c>
      <c r="P47" s="8">
        <v>0.1</v>
      </c>
      <c r="Q47" s="13">
        <v>1412360</v>
      </c>
      <c r="R47" s="8">
        <v>462807887.08999997</v>
      </c>
      <c r="S47" s="8">
        <v>7.6</v>
      </c>
      <c r="T47" s="8">
        <v>78.2</v>
      </c>
      <c r="U47" s="17">
        <v>0.308</v>
      </c>
      <c r="V47" s="17">
        <v>5</v>
      </c>
      <c r="W47" s="21">
        <v>791382586</v>
      </c>
      <c r="X47" s="8">
        <v>65</v>
      </c>
      <c r="Y47" s="8">
        <v>77.900000000000006</v>
      </c>
      <c r="Z47" s="8">
        <v>2.2000000000000002</v>
      </c>
      <c r="AA47" s="8">
        <v>84.1</v>
      </c>
      <c r="AB47" s="8">
        <v>27312548.289999999</v>
      </c>
      <c r="AC47" s="8">
        <f>13.63*1000</f>
        <v>13630</v>
      </c>
      <c r="AD47" s="8">
        <v>333979.03000000003</v>
      </c>
      <c r="AE47" s="8">
        <v>67.3</v>
      </c>
      <c r="AF47" s="8">
        <v>14.2</v>
      </c>
      <c r="AG47" s="8"/>
      <c r="AH47" s="8">
        <v>7.8E-2</v>
      </c>
      <c r="AI47" s="8">
        <v>45</v>
      </c>
      <c r="AJ47" s="8">
        <v>25</v>
      </c>
      <c r="AK47" s="8">
        <v>1105</v>
      </c>
      <c r="AL47" s="8">
        <v>183042724</v>
      </c>
      <c r="AM47" s="8">
        <v>20.6</v>
      </c>
      <c r="AN47" s="17">
        <v>48.63</v>
      </c>
      <c r="AO47" s="8">
        <v>69.182174514413006</v>
      </c>
      <c r="AP47" s="17">
        <v>100</v>
      </c>
      <c r="AQ47" s="8">
        <v>24.5</v>
      </c>
      <c r="AR47" s="8">
        <v>28.6</v>
      </c>
      <c r="AS47" s="8">
        <v>30.4</v>
      </c>
      <c r="AT47" s="8">
        <v>2.0099999999999998</v>
      </c>
    </row>
    <row r="48" spans="1:46">
      <c r="A48" s="22" t="s">
        <v>121</v>
      </c>
      <c r="B48">
        <v>5.0643434767019899</v>
      </c>
      <c r="C48">
        <v>2.2146832894587298</v>
      </c>
      <c r="D48">
        <v>0.37645205691349398</v>
      </c>
      <c r="E48">
        <v>1.9521872188717599</v>
      </c>
      <c r="F48" s="8">
        <v>0</v>
      </c>
      <c r="G48" s="38">
        <v>0.52102090999999995</v>
      </c>
      <c r="H48" s="17">
        <v>78</v>
      </c>
      <c r="I48" s="8">
        <v>14.3</v>
      </c>
      <c r="J48" s="8">
        <v>59.7</v>
      </c>
      <c r="K48" s="8">
        <v>55</v>
      </c>
      <c r="L48" s="8">
        <v>72</v>
      </c>
      <c r="M48" s="8">
        <v>56</v>
      </c>
      <c r="N48" s="17">
        <v>97.492000000000004</v>
      </c>
      <c r="O48" s="23">
        <v>13.88</v>
      </c>
      <c r="P48" s="8">
        <v>1.1000000000000001</v>
      </c>
      <c r="Q48" s="13">
        <v>51516.56</v>
      </c>
      <c r="R48" s="8">
        <v>-20047321.02</v>
      </c>
      <c r="S48" s="8">
        <v>8.9</v>
      </c>
      <c r="T48" s="8">
        <v>72.8</v>
      </c>
      <c r="U48" s="17">
        <v>0.47500000000000003</v>
      </c>
      <c r="V48" s="17">
        <v>5</v>
      </c>
      <c r="W48" s="21">
        <v>26137054</v>
      </c>
      <c r="X48" s="8">
        <v>36</v>
      </c>
      <c r="Y48" s="8">
        <v>64.3</v>
      </c>
      <c r="Z48" s="8">
        <v>7.1</v>
      </c>
      <c r="AA48" s="8">
        <v>60</v>
      </c>
      <c r="AB48" s="8">
        <v>866466.14</v>
      </c>
      <c r="AC48" s="8">
        <f>6.94*1000</f>
        <v>6940</v>
      </c>
      <c r="AD48" s="8">
        <v>9309.7800000000007</v>
      </c>
      <c r="AE48" s="8">
        <v>41.9</v>
      </c>
      <c r="AF48" s="8">
        <v>14.4</v>
      </c>
      <c r="AG48" s="8"/>
      <c r="AH48" s="8">
        <v>0.13100000000000001</v>
      </c>
      <c r="AI48" s="8">
        <v>39</v>
      </c>
      <c r="AJ48" s="8">
        <v>35</v>
      </c>
      <c r="AK48" s="8">
        <v>81</v>
      </c>
      <c r="AL48" s="8">
        <v>35741073</v>
      </c>
      <c r="AM48" s="8">
        <v>44</v>
      </c>
      <c r="AN48" s="17">
        <v>15.068</v>
      </c>
      <c r="AO48" s="8">
        <v>69.684319190399407</v>
      </c>
      <c r="AP48" s="17">
        <v>100</v>
      </c>
      <c r="AQ48" s="8">
        <v>49.6</v>
      </c>
      <c r="AR48" s="8">
        <v>60.3</v>
      </c>
      <c r="AS48" s="8">
        <v>30.2</v>
      </c>
      <c r="AT48" s="8">
        <v>2.7290000000000001</v>
      </c>
    </row>
    <row r="49" spans="1:46">
      <c r="A49" s="22" t="s">
        <v>122</v>
      </c>
      <c r="B49">
        <v>0.10092686565</v>
      </c>
      <c r="C49" s="8">
        <v>0</v>
      </c>
      <c r="D49" s="8">
        <v>0</v>
      </c>
      <c r="E49" s="8">
        <v>0</v>
      </c>
      <c r="F49" s="8">
        <v>0</v>
      </c>
      <c r="G49">
        <v>0.10092686565</v>
      </c>
      <c r="H49" s="17">
        <v>78</v>
      </c>
      <c r="I49" s="8">
        <v>18</v>
      </c>
      <c r="J49" s="8">
        <v>64.5</v>
      </c>
      <c r="K49" s="8">
        <v>30</v>
      </c>
      <c r="L49" s="8">
        <v>67</v>
      </c>
      <c r="M49" s="8">
        <v>63</v>
      </c>
      <c r="N49" s="17">
        <v>99.811000000000007</v>
      </c>
      <c r="O49" s="23">
        <v>0.32</v>
      </c>
      <c r="P49" s="8">
        <v>0.6</v>
      </c>
      <c r="Q49" s="13">
        <v>5153.96</v>
      </c>
      <c r="R49" s="8">
        <v>1462743</v>
      </c>
      <c r="S49" s="8">
        <v>8.8000000000000007</v>
      </c>
      <c r="T49" s="8">
        <v>77</v>
      </c>
      <c r="U49" s="17">
        <v>0.60499999999999998</v>
      </c>
      <c r="V49" s="17">
        <v>2</v>
      </c>
      <c r="W49" s="21">
        <v>2426145</v>
      </c>
      <c r="X49" s="8">
        <v>40</v>
      </c>
      <c r="Y49" s="8">
        <v>68.7</v>
      </c>
      <c r="Z49" s="8">
        <v>6.4</v>
      </c>
      <c r="AA49" s="8">
        <v>66.5</v>
      </c>
      <c r="AB49" s="8">
        <v>120187.71</v>
      </c>
      <c r="AC49" s="8">
        <f>13.81*1000</f>
        <v>13810</v>
      </c>
      <c r="AD49" s="8">
        <v>3563.15</v>
      </c>
      <c r="AE49" s="8">
        <v>34</v>
      </c>
      <c r="AF49" s="8">
        <v>16.5</v>
      </c>
      <c r="AG49" s="8"/>
      <c r="AH49" s="8">
        <v>0.125</v>
      </c>
      <c r="AI49" s="8">
        <v>58</v>
      </c>
      <c r="AJ49" s="8">
        <v>30</v>
      </c>
      <c r="AK49" s="8">
        <v>6</v>
      </c>
      <c r="AL49" s="8">
        <v>444825</v>
      </c>
      <c r="AM49" s="8">
        <v>51.4</v>
      </c>
      <c r="AN49" s="17">
        <v>14.753</v>
      </c>
      <c r="AO49" s="8">
        <v>68.921257977123204</v>
      </c>
      <c r="AP49">
        <v>99.900001525878906</v>
      </c>
      <c r="AQ49" s="8">
        <v>46.4</v>
      </c>
      <c r="AR49" s="8">
        <v>52.5</v>
      </c>
      <c r="AS49" s="8">
        <v>41.5</v>
      </c>
      <c r="AT49" s="8">
        <v>1.732</v>
      </c>
    </row>
    <row r="50" spans="1:46">
      <c r="A50" s="4" t="s">
        <v>123</v>
      </c>
      <c r="B50">
        <v>3.5619999999999999E-6</v>
      </c>
      <c r="C50" s="8">
        <v>0</v>
      </c>
      <c r="D50" s="8">
        <v>0</v>
      </c>
      <c r="E50" s="8">
        <v>0</v>
      </c>
      <c r="F50" s="8">
        <v>0</v>
      </c>
      <c r="G50">
        <v>3.5619999999999999E-6</v>
      </c>
      <c r="H50" s="17">
        <v>44</v>
      </c>
      <c r="I50" s="8">
        <v>9.4</v>
      </c>
      <c r="J50" s="18" t="s">
        <v>78</v>
      </c>
      <c r="K50" s="24" t="s">
        <v>78</v>
      </c>
      <c r="L50" s="24" t="s">
        <v>78</v>
      </c>
      <c r="M50" s="24" t="s">
        <v>78</v>
      </c>
      <c r="N50" s="17">
        <v>80.210000000000008</v>
      </c>
      <c r="O50" s="23">
        <v>38.72</v>
      </c>
      <c r="P50" s="8">
        <v>1.9</v>
      </c>
      <c r="Q50" s="13">
        <v>821.63</v>
      </c>
      <c r="R50" s="8">
        <v>-267542.26</v>
      </c>
      <c r="S50" s="8">
        <v>5.0999999999999996</v>
      </c>
      <c r="T50" s="8">
        <v>63.4</v>
      </c>
      <c r="U50" s="24" t="s">
        <v>78</v>
      </c>
      <c r="V50" s="18" t="s">
        <v>78</v>
      </c>
      <c r="W50" s="21">
        <v>219946</v>
      </c>
      <c r="X50" s="18" t="s">
        <v>78</v>
      </c>
      <c r="Y50" s="18" t="s">
        <v>78</v>
      </c>
      <c r="Z50" s="8">
        <v>8.4</v>
      </c>
      <c r="AA50" s="8">
        <v>38.200000000000003</v>
      </c>
      <c r="AB50" s="8">
        <v>2914.18</v>
      </c>
      <c r="AC50" s="8">
        <f>1.3*1000</f>
        <v>1300</v>
      </c>
      <c r="AD50" s="8">
        <v>4.09</v>
      </c>
      <c r="AE50" s="24" t="s">
        <v>78</v>
      </c>
      <c r="AF50" s="8">
        <v>11.9</v>
      </c>
      <c r="AG50" s="8"/>
      <c r="AH50" s="24" t="s">
        <v>78</v>
      </c>
      <c r="AI50" s="8">
        <v>20</v>
      </c>
      <c r="AJ50" s="8">
        <v>50</v>
      </c>
      <c r="AK50" s="8">
        <v>4</v>
      </c>
      <c r="AL50" s="8" t="s">
        <v>78</v>
      </c>
      <c r="AM50" s="8">
        <v>38.4</v>
      </c>
      <c r="AN50" s="17">
        <v>20.353000000000002</v>
      </c>
      <c r="AO50" s="8">
        <v>57.432857183716898</v>
      </c>
      <c r="AP50">
        <v>86.737136840820298</v>
      </c>
      <c r="AQ50" s="8">
        <v>49.1</v>
      </c>
      <c r="AR50" s="8">
        <v>15.5</v>
      </c>
      <c r="AS50" s="8">
        <v>41.2</v>
      </c>
      <c r="AT50" s="24" t="s">
        <v>78</v>
      </c>
    </row>
    <row r="51" spans="1:46">
      <c r="A51" s="4" t="s">
        <v>124</v>
      </c>
      <c r="B51">
        <v>0.196120797864553</v>
      </c>
      <c r="C51" s="8">
        <v>0</v>
      </c>
      <c r="D51">
        <v>8.0601894773400004E-2</v>
      </c>
      <c r="E51">
        <v>8.4654173091153903E-2</v>
      </c>
      <c r="F51" s="8">
        <v>0</v>
      </c>
      <c r="G51" s="38">
        <v>3.086473E-2</v>
      </c>
      <c r="H51" s="17">
        <v>45</v>
      </c>
      <c r="I51" s="8">
        <v>3.5</v>
      </c>
      <c r="J51" s="8">
        <v>55.8</v>
      </c>
      <c r="K51" s="24" t="s">
        <v>78</v>
      </c>
      <c r="L51" s="8">
        <v>50</v>
      </c>
      <c r="M51" s="8">
        <v>57</v>
      </c>
      <c r="N51" s="17">
        <v>70.909000000000006</v>
      </c>
      <c r="O51" s="23">
        <v>43.39</v>
      </c>
      <c r="P51" s="8">
        <v>2.5</v>
      </c>
      <c r="Q51" s="13">
        <v>27478.25</v>
      </c>
      <c r="R51" s="8">
        <v>571594.16</v>
      </c>
      <c r="S51" s="8">
        <v>5.2</v>
      </c>
      <c r="T51" s="8">
        <v>58.6</v>
      </c>
      <c r="U51" s="17">
        <v>0.61499999999999999</v>
      </c>
      <c r="V51" s="17">
        <v>4</v>
      </c>
      <c r="W51" s="21">
        <v>8875905</v>
      </c>
      <c r="X51" s="8">
        <v>31</v>
      </c>
      <c r="Y51" s="8">
        <v>47.9</v>
      </c>
      <c r="Z51" s="8">
        <v>4</v>
      </c>
      <c r="AA51" s="8">
        <v>55.1</v>
      </c>
      <c r="AB51" s="8">
        <v>160749.18</v>
      </c>
      <c r="AC51" s="8">
        <f>2.5*1000</f>
        <v>2500</v>
      </c>
      <c r="AD51" s="8">
        <v>1382.34</v>
      </c>
      <c r="AE51" s="8">
        <v>18.5</v>
      </c>
      <c r="AF51" s="8">
        <v>10.7</v>
      </c>
      <c r="AG51" s="8"/>
      <c r="AH51" s="24" t="s">
        <v>78</v>
      </c>
      <c r="AI51" s="8">
        <v>36</v>
      </c>
      <c r="AJ51" s="8">
        <v>25</v>
      </c>
      <c r="AK51" s="8">
        <v>6</v>
      </c>
      <c r="AL51" s="8">
        <v>3350508</v>
      </c>
      <c r="AM51" s="8">
        <v>18.2</v>
      </c>
      <c r="AN51" s="17">
        <v>28.254000000000001</v>
      </c>
      <c r="AO51" s="8">
        <v>55.798981223294099</v>
      </c>
      <c r="AP51">
        <v>69.679122924804702</v>
      </c>
      <c r="AQ51" s="8">
        <v>58.2</v>
      </c>
      <c r="AR51" s="8">
        <v>11</v>
      </c>
      <c r="AS51" s="8">
        <v>25.1</v>
      </c>
      <c r="AT51" s="8">
        <v>2.1440000000000001</v>
      </c>
    </row>
    <row r="52" spans="1:46">
      <c r="A52" s="22" t="s">
        <v>125</v>
      </c>
      <c r="B52">
        <v>0.14160011254729399</v>
      </c>
      <c r="C52" s="8">
        <v>0</v>
      </c>
      <c r="D52">
        <v>3.6886003266E-2</v>
      </c>
      <c r="E52">
        <v>3.0182015662294899E-2</v>
      </c>
      <c r="F52" s="8">
        <v>0</v>
      </c>
      <c r="G52">
        <v>7.4532093618999998E-2</v>
      </c>
      <c r="H52" s="17">
        <v>73</v>
      </c>
      <c r="I52" s="8">
        <v>8.6999999999999993</v>
      </c>
      <c r="J52" s="8">
        <v>60.3</v>
      </c>
      <c r="K52" s="8">
        <v>60</v>
      </c>
      <c r="L52" s="8">
        <v>66</v>
      </c>
      <c r="M52" s="8">
        <v>66</v>
      </c>
      <c r="N52" s="17">
        <v>98.685000000000002</v>
      </c>
      <c r="O52" s="23">
        <v>0.64</v>
      </c>
      <c r="P52" s="8">
        <v>-3.7</v>
      </c>
      <c r="Q52" s="13">
        <v>3899</v>
      </c>
      <c r="R52" s="8">
        <v>-1022653.45</v>
      </c>
      <c r="S52" s="8">
        <v>12.2</v>
      </c>
      <c r="T52" s="8">
        <v>77.599999999999994</v>
      </c>
      <c r="U52" s="17">
        <v>0.70300000000000007</v>
      </c>
      <c r="V52" s="17">
        <v>2</v>
      </c>
      <c r="W52" s="21">
        <v>1742284</v>
      </c>
      <c r="X52" s="8">
        <v>38</v>
      </c>
      <c r="Y52" s="8">
        <v>78.2</v>
      </c>
      <c r="Z52" s="8">
        <v>5.5</v>
      </c>
      <c r="AA52" s="8">
        <v>68.599999999999994</v>
      </c>
      <c r="AB52" s="8">
        <v>133790.35999999999</v>
      </c>
      <c r="AC52" s="8">
        <f>18.45*1000</f>
        <v>18450</v>
      </c>
      <c r="AD52" s="8">
        <v>4477.32</v>
      </c>
      <c r="AE52" s="8">
        <v>42</v>
      </c>
      <c r="AF52" s="8">
        <v>15.1</v>
      </c>
      <c r="AG52" s="8"/>
      <c r="AH52" s="8">
        <v>0.14699999999999999</v>
      </c>
      <c r="AI52" s="8">
        <v>47</v>
      </c>
      <c r="AJ52" s="8">
        <v>18</v>
      </c>
      <c r="AK52" s="8">
        <v>0</v>
      </c>
      <c r="AL52" s="8" t="s">
        <v>78</v>
      </c>
      <c r="AM52" s="8">
        <v>45.8</v>
      </c>
      <c r="AN52" s="17">
        <v>16.815999999999999</v>
      </c>
      <c r="AO52" s="8">
        <v>63.891549924873203</v>
      </c>
      <c r="AP52" s="17">
        <v>100</v>
      </c>
      <c r="AQ52" s="8">
        <v>65.599999999999994</v>
      </c>
      <c r="AR52" s="8">
        <v>55.3</v>
      </c>
      <c r="AS52" s="8">
        <v>56.6</v>
      </c>
      <c r="AT52" s="8">
        <v>1.44</v>
      </c>
    </row>
    <row r="53" spans="1:46">
      <c r="A53" s="27" t="s">
        <v>126</v>
      </c>
      <c r="B53">
        <v>0.13030409643152699</v>
      </c>
      <c r="C53" s="8">
        <v>0</v>
      </c>
      <c r="D53">
        <v>3.3532402251200001E-2</v>
      </c>
      <c r="E53">
        <v>8.8677049180327594E-2</v>
      </c>
      <c r="F53" s="8">
        <v>0</v>
      </c>
      <c r="G53">
        <v>8.0946449999999993E-3</v>
      </c>
      <c r="H53" s="17">
        <v>80</v>
      </c>
      <c r="I53" s="8">
        <v>2.8</v>
      </c>
      <c r="J53" s="28" t="s">
        <v>78</v>
      </c>
      <c r="K53" s="8">
        <v>15</v>
      </c>
      <c r="L53" s="24" t="s">
        <v>78</v>
      </c>
      <c r="M53" s="24" t="s">
        <v>78</v>
      </c>
      <c r="N53" s="17">
        <v>97.003</v>
      </c>
      <c r="O53" s="18" t="s">
        <v>77</v>
      </c>
      <c r="P53" s="8">
        <v>-0.4</v>
      </c>
      <c r="Q53" s="13">
        <v>11256.37</v>
      </c>
      <c r="R53" s="24" t="s">
        <v>78</v>
      </c>
      <c r="S53" s="26">
        <v>12.5</v>
      </c>
      <c r="T53" s="26">
        <v>73.7</v>
      </c>
      <c r="U53" s="24" t="s">
        <v>78</v>
      </c>
      <c r="V53" s="18" t="s">
        <v>78</v>
      </c>
      <c r="W53" s="21">
        <v>5134764</v>
      </c>
      <c r="X53" s="28" t="s">
        <v>78</v>
      </c>
      <c r="Y53" s="28" t="s">
        <v>78</v>
      </c>
      <c r="Z53" s="24" t="s">
        <v>78</v>
      </c>
      <c r="AA53" s="24" t="s">
        <v>78</v>
      </c>
      <c r="AB53" s="24" t="s">
        <v>78</v>
      </c>
      <c r="AC53" s="24" t="s">
        <v>78</v>
      </c>
      <c r="AD53" s="24" t="s">
        <v>78</v>
      </c>
      <c r="AE53" s="24" t="s">
        <v>78</v>
      </c>
      <c r="AF53" s="26">
        <v>14.4</v>
      </c>
      <c r="AG53" s="26"/>
      <c r="AH53" s="26">
        <v>0.03</v>
      </c>
      <c r="AI53" s="26">
        <v>46</v>
      </c>
      <c r="AJ53" s="8">
        <v>35</v>
      </c>
      <c r="AK53" s="8">
        <v>0</v>
      </c>
      <c r="AL53" s="26" t="s">
        <v>78</v>
      </c>
      <c r="AM53" s="8">
        <v>50.6</v>
      </c>
      <c r="AN53" s="17">
        <v>18.512</v>
      </c>
      <c r="AO53" s="8">
        <v>68.530252530288905</v>
      </c>
      <c r="AP53" s="17">
        <v>100</v>
      </c>
      <c r="AQ53" s="8">
        <v>35.1</v>
      </c>
      <c r="AR53" s="8">
        <v>28.6</v>
      </c>
      <c r="AS53" s="8">
        <v>61.1</v>
      </c>
      <c r="AT53" s="8">
        <v>2.0830000000000002</v>
      </c>
    </row>
    <row r="54" spans="1:46">
      <c r="A54" s="27" t="s">
        <v>127</v>
      </c>
      <c r="B54" s="28" t="s">
        <v>78</v>
      </c>
      <c r="C54" s="28" t="s">
        <v>78</v>
      </c>
      <c r="D54" s="28" t="s">
        <v>78</v>
      </c>
      <c r="E54" s="28" t="s">
        <v>78</v>
      </c>
      <c r="F54" s="28" t="s">
        <v>78</v>
      </c>
      <c r="G54" s="28" t="s">
        <v>78</v>
      </c>
      <c r="H54" s="18" t="s">
        <v>78</v>
      </c>
      <c r="I54" s="8"/>
      <c r="J54" s="28" t="s">
        <v>78</v>
      </c>
      <c r="K54" s="24" t="s">
        <v>78</v>
      </c>
      <c r="L54" s="24" t="s">
        <v>78</v>
      </c>
      <c r="M54" s="24" t="s">
        <v>78</v>
      </c>
      <c r="N54" s="18" t="s">
        <v>77</v>
      </c>
      <c r="O54" s="18" t="s">
        <v>77</v>
      </c>
      <c r="P54" s="8">
        <v>-1.7</v>
      </c>
      <c r="Q54" s="13">
        <v>152.37</v>
      </c>
      <c r="R54" s="8">
        <v>-635697.65</v>
      </c>
      <c r="S54" s="24" t="s">
        <v>78</v>
      </c>
      <c r="T54" s="24" t="s">
        <v>78</v>
      </c>
      <c r="U54" s="24" t="s">
        <v>78</v>
      </c>
      <c r="V54" s="18" t="s">
        <v>78</v>
      </c>
      <c r="W54" s="18" t="s">
        <v>78</v>
      </c>
      <c r="X54" s="28" t="s">
        <v>78</v>
      </c>
      <c r="Y54" s="28" t="s">
        <v>78</v>
      </c>
      <c r="Z54" s="24" t="s">
        <v>78</v>
      </c>
      <c r="AA54" s="24" t="s">
        <v>78</v>
      </c>
      <c r="AB54" s="8">
        <v>3478.92</v>
      </c>
      <c r="AC54" s="24" t="s">
        <v>78</v>
      </c>
      <c r="AD54" s="8">
        <v>153.88</v>
      </c>
      <c r="AE54" s="24" t="s">
        <v>78</v>
      </c>
      <c r="AF54" s="24" t="s">
        <v>78</v>
      </c>
      <c r="AG54" s="26"/>
      <c r="AH54" s="24" t="s">
        <v>78</v>
      </c>
      <c r="AI54" s="24" t="s">
        <v>78</v>
      </c>
      <c r="AJ54" s="8">
        <v>22</v>
      </c>
      <c r="AK54" s="8">
        <v>0</v>
      </c>
      <c r="AL54" s="8" t="s">
        <v>78</v>
      </c>
      <c r="AM54" s="24" t="s">
        <v>78</v>
      </c>
      <c r="AN54" s="24" t="s">
        <v>78</v>
      </c>
      <c r="AO54" s="8">
        <v>68.018997782891503</v>
      </c>
      <c r="AP54" s="17">
        <v>100</v>
      </c>
      <c r="AQ54" s="28" t="s">
        <v>78</v>
      </c>
      <c r="AR54" s="28" t="s">
        <v>78</v>
      </c>
      <c r="AS54" s="28" t="s">
        <v>78</v>
      </c>
      <c r="AT54" s="24" t="s">
        <v>78</v>
      </c>
    </row>
    <row r="55" spans="1:46">
      <c r="A55" s="4" t="s">
        <v>128</v>
      </c>
      <c r="B55">
        <v>4.584577179E-3</v>
      </c>
      <c r="C55" s="8">
        <v>0</v>
      </c>
      <c r="D55" s="8">
        <v>0</v>
      </c>
      <c r="E55" s="8">
        <v>0</v>
      </c>
      <c r="F55" s="8">
        <v>0</v>
      </c>
      <c r="G55">
        <v>4.584577179E-3</v>
      </c>
      <c r="H55" s="17">
        <v>79</v>
      </c>
      <c r="I55" s="8">
        <v>6.1</v>
      </c>
      <c r="J55" s="8">
        <v>60.8</v>
      </c>
      <c r="K55" s="8">
        <v>55</v>
      </c>
      <c r="L55" s="24" t="s">
        <v>78</v>
      </c>
      <c r="M55" s="24" t="s">
        <v>78</v>
      </c>
      <c r="N55" s="17">
        <v>99.765000000000001</v>
      </c>
      <c r="O55" s="23">
        <v>0.08</v>
      </c>
      <c r="P55" s="8">
        <v>0.5</v>
      </c>
      <c r="Q55" s="13">
        <v>1244.19</v>
      </c>
      <c r="R55" s="8">
        <v>802511.37</v>
      </c>
      <c r="S55" s="8">
        <v>12.4</v>
      </c>
      <c r="T55" s="8">
        <v>81.2</v>
      </c>
      <c r="U55" s="17">
        <v>0.63</v>
      </c>
      <c r="V55" s="18" t="s">
        <v>78</v>
      </c>
      <c r="W55" s="21">
        <v>655118</v>
      </c>
      <c r="X55" s="8">
        <v>46</v>
      </c>
      <c r="Y55" s="8">
        <v>74.900000000000006</v>
      </c>
      <c r="Z55" s="8">
        <v>3.8</v>
      </c>
      <c r="AA55" s="8">
        <v>87.5</v>
      </c>
      <c r="AB55" s="8">
        <v>39714.410000000003</v>
      </c>
      <c r="AC55" s="8">
        <f>30.24*1000</f>
        <v>30240</v>
      </c>
      <c r="AD55" s="17" t="s">
        <v>129</v>
      </c>
      <c r="AE55" s="8">
        <v>49.7</v>
      </c>
      <c r="AF55" s="8">
        <v>15.6</v>
      </c>
      <c r="AG55" s="8"/>
      <c r="AH55" s="8">
        <v>0.27100000000000002</v>
      </c>
      <c r="AI55" s="8">
        <v>53</v>
      </c>
      <c r="AJ55" s="8">
        <v>12.5</v>
      </c>
      <c r="AK55" s="8">
        <v>2</v>
      </c>
      <c r="AL55" s="8">
        <v>15171</v>
      </c>
      <c r="AM55" s="8">
        <v>68.3</v>
      </c>
      <c r="AN55" s="17">
        <v>16.594000000000001</v>
      </c>
      <c r="AO55" s="8">
        <v>69.537802968683195</v>
      </c>
      <c r="AP55" s="17">
        <v>100</v>
      </c>
      <c r="AQ55" s="8">
        <v>54.2</v>
      </c>
      <c r="AR55" s="8">
        <v>58.9</v>
      </c>
      <c r="AS55" s="8">
        <v>53.8</v>
      </c>
      <c r="AT55" s="8">
        <v>1.903</v>
      </c>
    </row>
    <row r="56" spans="1:46">
      <c r="A56" s="22" t="s">
        <v>130</v>
      </c>
      <c r="B56">
        <v>0.99731323445864295</v>
      </c>
      <c r="C56">
        <v>0.56180485309829697</v>
      </c>
      <c r="D56">
        <v>7.6450606515303396E-3</v>
      </c>
      <c r="E56">
        <v>3.6849056284152999E-3</v>
      </c>
      <c r="F56">
        <v>0.32326103802990003</v>
      </c>
      <c r="G56">
        <v>0.1009173770505</v>
      </c>
      <c r="H56" s="17">
        <v>78</v>
      </c>
      <c r="I56" s="8">
        <v>2.9</v>
      </c>
      <c r="J56" s="8">
        <v>61.7</v>
      </c>
      <c r="K56" s="8">
        <v>85</v>
      </c>
      <c r="L56" s="8">
        <v>72</v>
      </c>
      <c r="M56" s="8">
        <v>77</v>
      </c>
      <c r="N56" s="17">
        <v>99.881</v>
      </c>
      <c r="O56" s="23">
        <v>0.12</v>
      </c>
      <c r="P56" s="8">
        <v>-1.8</v>
      </c>
      <c r="Q56" s="13">
        <v>10505.77</v>
      </c>
      <c r="R56" s="8">
        <v>8541590.1699999999</v>
      </c>
      <c r="S56" s="8">
        <v>12.9</v>
      </c>
      <c r="T56" s="8">
        <v>77.7</v>
      </c>
      <c r="U56" s="17">
        <v>0.751</v>
      </c>
      <c r="V56" s="17">
        <v>2</v>
      </c>
      <c r="W56" s="21">
        <v>5266397</v>
      </c>
      <c r="X56" s="8">
        <v>57</v>
      </c>
      <c r="Y56" s="8">
        <v>83.8</v>
      </c>
      <c r="Z56" s="8">
        <v>8.6</v>
      </c>
      <c r="AA56" s="8">
        <v>41.2</v>
      </c>
      <c r="AB56" s="8">
        <v>473743.69</v>
      </c>
      <c r="AC56" s="8">
        <f>29.86*1000</f>
        <v>29860</v>
      </c>
      <c r="AD56" s="8">
        <v>7611.82</v>
      </c>
      <c r="AE56" s="8">
        <v>46.8</v>
      </c>
      <c r="AF56" s="8">
        <v>16.2</v>
      </c>
      <c r="AG56" s="8"/>
      <c r="AH56" s="8">
        <v>0.318</v>
      </c>
      <c r="AI56" s="8">
        <v>54</v>
      </c>
      <c r="AJ56" s="8">
        <v>19</v>
      </c>
      <c r="AK56" s="8">
        <v>0</v>
      </c>
      <c r="AL56" s="8" t="s">
        <v>78</v>
      </c>
      <c r="AM56" s="8">
        <v>53.3</v>
      </c>
      <c r="AN56" s="17">
        <v>15.269</v>
      </c>
      <c r="AO56" s="8">
        <v>63.5444681138611</v>
      </c>
      <c r="AP56" s="17">
        <v>100</v>
      </c>
      <c r="AQ56" s="8">
        <v>64.5</v>
      </c>
      <c r="AR56" s="8">
        <v>74.900000000000006</v>
      </c>
      <c r="AS56" s="8">
        <v>52.8</v>
      </c>
      <c r="AT56" s="8">
        <v>1.3180000000000001</v>
      </c>
    </row>
    <row r="57" spans="1:46">
      <c r="A57" s="22" t="s">
        <v>131</v>
      </c>
      <c r="B57">
        <v>0.545530959207989</v>
      </c>
      <c r="C57" s="8">
        <v>0</v>
      </c>
      <c r="D57">
        <v>0.12120525140409601</v>
      </c>
      <c r="E57">
        <v>0.21149670621839201</v>
      </c>
      <c r="F57" s="8">
        <v>0</v>
      </c>
      <c r="G57">
        <v>0.2128290015855</v>
      </c>
      <c r="H57" s="17">
        <v>85</v>
      </c>
      <c r="I57" s="8">
        <v>4.8</v>
      </c>
      <c r="J57" s="8">
        <v>66</v>
      </c>
      <c r="K57" s="8">
        <v>100</v>
      </c>
      <c r="L57" s="8">
        <v>94</v>
      </c>
      <c r="M57" s="8">
        <v>83</v>
      </c>
      <c r="N57" s="17">
        <v>100</v>
      </c>
      <c r="O57" s="23">
        <v>0.2</v>
      </c>
      <c r="P57" s="8">
        <v>0.4</v>
      </c>
      <c r="Q57" s="13">
        <v>5856.73</v>
      </c>
      <c r="R57" s="8">
        <v>26141789.670000002</v>
      </c>
      <c r="S57" s="8">
        <v>13</v>
      </c>
      <c r="T57" s="8">
        <v>81.400000000000006</v>
      </c>
      <c r="U57" s="17">
        <v>0.94800000000000006</v>
      </c>
      <c r="V57" s="17">
        <v>1</v>
      </c>
      <c r="W57" s="21">
        <v>3050671</v>
      </c>
      <c r="X57" s="8">
        <v>76</v>
      </c>
      <c r="Y57" s="8">
        <v>87.1</v>
      </c>
      <c r="Z57" s="8">
        <v>3.8</v>
      </c>
      <c r="AA57" s="8">
        <v>32.1</v>
      </c>
      <c r="AB57" s="8">
        <v>378644.91</v>
      </c>
      <c r="AC57" s="8">
        <f>66.39*1000</f>
        <v>66390</v>
      </c>
      <c r="AD57" s="8">
        <v>14707.99</v>
      </c>
      <c r="AE57" s="8">
        <v>81.400000000000006</v>
      </c>
      <c r="AF57" s="8">
        <v>18.7</v>
      </c>
      <c r="AG57" s="8"/>
      <c r="AH57" s="8">
        <v>0.495</v>
      </c>
      <c r="AI57" s="8">
        <v>88</v>
      </c>
      <c r="AJ57" s="8">
        <v>22</v>
      </c>
      <c r="AK57" s="8">
        <v>0</v>
      </c>
      <c r="AL57" s="8" t="s">
        <v>78</v>
      </c>
      <c r="AM57" s="8">
        <v>80.5</v>
      </c>
      <c r="AN57" s="17">
        <v>9.6449999999999996</v>
      </c>
      <c r="AO57" s="8">
        <v>63.5661192942108</v>
      </c>
      <c r="AP57" s="17">
        <v>100</v>
      </c>
      <c r="AQ57" s="8">
        <v>61.3</v>
      </c>
      <c r="AR57" s="8">
        <v>68.3</v>
      </c>
      <c r="AS57" s="8">
        <v>92.4</v>
      </c>
      <c r="AT57" s="8">
        <v>1.296</v>
      </c>
    </row>
    <row r="58" spans="1:46">
      <c r="A58" s="4" t="s">
        <v>132</v>
      </c>
      <c r="B58">
        <v>8.9050000000000003E-6</v>
      </c>
      <c r="C58" s="8">
        <v>0</v>
      </c>
      <c r="D58" s="8">
        <v>0</v>
      </c>
      <c r="E58" s="8">
        <v>0</v>
      </c>
      <c r="F58" s="8">
        <v>0</v>
      </c>
      <c r="G58">
        <v>8.9050000000000003E-6</v>
      </c>
      <c r="H58" s="17">
        <v>48</v>
      </c>
      <c r="I58" s="8"/>
      <c r="J58" s="18" t="s">
        <v>78</v>
      </c>
      <c r="K58" s="24" t="s">
        <v>78</v>
      </c>
      <c r="L58" s="24" t="s">
        <v>78</v>
      </c>
      <c r="M58" s="24" t="s">
        <v>78</v>
      </c>
      <c r="N58" s="17">
        <v>76.05</v>
      </c>
      <c r="O58" s="23">
        <v>31.34</v>
      </c>
      <c r="P58" s="8">
        <v>1.4</v>
      </c>
      <c r="Q58" s="13">
        <v>1105.56</v>
      </c>
      <c r="R58" s="8">
        <v>-323102.11</v>
      </c>
      <c r="S58" s="8">
        <v>4.0999999999999996</v>
      </c>
      <c r="T58" s="8">
        <v>62.3</v>
      </c>
      <c r="U58" s="24" t="s">
        <v>78</v>
      </c>
      <c r="V58" s="29">
        <v>4</v>
      </c>
      <c r="W58" s="21">
        <v>240525</v>
      </c>
      <c r="X58" s="18" t="s">
        <v>78</v>
      </c>
      <c r="Y58" s="18" t="s">
        <v>78</v>
      </c>
      <c r="Z58" s="8">
        <v>1.9</v>
      </c>
      <c r="AA58" s="8">
        <v>53.5</v>
      </c>
      <c r="AB58" s="8">
        <v>5967.44</v>
      </c>
      <c r="AC58" s="8">
        <f>3.87*1000</f>
        <v>3870</v>
      </c>
      <c r="AD58" s="8">
        <v>166.75</v>
      </c>
      <c r="AE58" s="24" t="s">
        <v>78</v>
      </c>
      <c r="AF58" s="8">
        <v>7.4</v>
      </c>
      <c r="AG58" s="8"/>
      <c r="AH58" s="24" t="s">
        <v>78</v>
      </c>
      <c r="AI58" s="8">
        <v>30</v>
      </c>
      <c r="AJ58" s="8">
        <v>25</v>
      </c>
      <c r="AK58" s="8">
        <v>2</v>
      </c>
      <c r="AL58" s="8" t="s">
        <v>78</v>
      </c>
      <c r="AM58" s="8">
        <v>19.600000000000001</v>
      </c>
      <c r="AN58" s="17">
        <v>47.422000000000004</v>
      </c>
      <c r="AO58" s="8">
        <v>64.733855995730707</v>
      </c>
      <c r="AP58">
        <v>61.767082214355497</v>
      </c>
      <c r="AQ58" s="8">
        <v>36.200000000000003</v>
      </c>
      <c r="AR58" s="8">
        <v>16.899999999999999</v>
      </c>
      <c r="AS58" s="8">
        <v>73.7</v>
      </c>
      <c r="AT58" s="8">
        <v>2.2130000000000001</v>
      </c>
    </row>
    <row r="59" spans="1:46">
      <c r="A59" s="4" t="s">
        <v>133</v>
      </c>
      <c r="B59">
        <v>1.8859009E-4</v>
      </c>
      <c r="C59" s="8">
        <v>0</v>
      </c>
      <c r="D59" s="8">
        <v>0</v>
      </c>
      <c r="E59" s="8">
        <v>0</v>
      </c>
      <c r="F59" s="8">
        <v>0</v>
      </c>
      <c r="G59">
        <v>1.8859009E-4</v>
      </c>
      <c r="H59" s="17" t="s">
        <v>85</v>
      </c>
      <c r="I59" s="8"/>
      <c r="J59" s="18" t="s">
        <v>78</v>
      </c>
      <c r="K59" s="24" t="s">
        <v>78</v>
      </c>
      <c r="L59" s="24" t="s">
        <v>78</v>
      </c>
      <c r="M59" s="24" t="s">
        <v>78</v>
      </c>
      <c r="N59" s="17">
        <v>95.421000000000006</v>
      </c>
      <c r="O59" s="18" t="s">
        <v>77</v>
      </c>
      <c r="P59" s="8">
        <v>0.6</v>
      </c>
      <c r="Q59" s="13">
        <v>72.41</v>
      </c>
      <c r="R59" s="8">
        <v>-196838.23</v>
      </c>
      <c r="S59" s="8">
        <v>8.1</v>
      </c>
      <c r="T59" s="8">
        <v>72.8</v>
      </c>
      <c r="U59" s="17">
        <v>0.56700000000000006</v>
      </c>
      <c r="V59" s="18" t="s">
        <v>78</v>
      </c>
      <c r="W59" s="18" t="s">
        <v>78</v>
      </c>
      <c r="X59" s="18" t="s">
        <v>78</v>
      </c>
      <c r="Y59" s="18" t="s">
        <v>78</v>
      </c>
      <c r="Z59" s="8">
        <v>4.7</v>
      </c>
      <c r="AA59" s="8">
        <v>98.3</v>
      </c>
      <c r="AB59" s="8">
        <v>865.36</v>
      </c>
      <c r="AC59" s="8">
        <f>8.84*1000</f>
        <v>8840</v>
      </c>
      <c r="AD59" s="8">
        <v>43.98</v>
      </c>
      <c r="AE59" s="24" t="s">
        <v>78</v>
      </c>
      <c r="AF59" s="8">
        <v>13.3</v>
      </c>
      <c r="AG59" s="8"/>
      <c r="AH59" s="24" t="s">
        <v>78</v>
      </c>
      <c r="AI59" s="8">
        <v>55</v>
      </c>
      <c r="AJ59" s="8">
        <v>25</v>
      </c>
      <c r="AK59" s="8">
        <v>0</v>
      </c>
      <c r="AL59" s="8" t="s">
        <v>78</v>
      </c>
      <c r="AM59" s="8">
        <v>44</v>
      </c>
      <c r="AN59" s="17">
        <v>18.358000000000001</v>
      </c>
      <c r="AO59" s="8">
        <v>70.819264629725495</v>
      </c>
      <c r="AP59" s="17">
        <v>100</v>
      </c>
      <c r="AQ59" s="8">
        <v>37.6</v>
      </c>
      <c r="AR59" s="8">
        <v>48.5</v>
      </c>
      <c r="AS59" s="8">
        <v>68.8</v>
      </c>
      <c r="AT59" s="24" t="s">
        <v>78</v>
      </c>
    </row>
    <row r="60" spans="1:46">
      <c r="A60" s="22" t="s">
        <v>134</v>
      </c>
      <c r="B60">
        <v>2.0672823925E-2</v>
      </c>
      <c r="C60" s="8">
        <v>0</v>
      </c>
      <c r="D60" s="8">
        <v>0</v>
      </c>
      <c r="E60" s="8">
        <v>0</v>
      </c>
      <c r="F60" s="8">
        <v>0</v>
      </c>
      <c r="G60">
        <v>2.0672823925E-2</v>
      </c>
      <c r="H60" s="17">
        <v>66</v>
      </c>
      <c r="I60" s="8">
        <v>23</v>
      </c>
      <c r="J60" s="8">
        <v>60.6</v>
      </c>
      <c r="K60" s="8">
        <v>40</v>
      </c>
      <c r="L60" s="8">
        <v>61</v>
      </c>
      <c r="M60" s="8">
        <v>30</v>
      </c>
      <c r="N60" s="17">
        <v>96.686999999999998</v>
      </c>
      <c r="O60" s="23">
        <v>1.53</v>
      </c>
      <c r="P60" s="8">
        <v>1.1000000000000001</v>
      </c>
      <c r="Q60" s="13">
        <v>11117.87</v>
      </c>
      <c r="R60" s="8">
        <v>-8032300</v>
      </c>
      <c r="S60" s="8">
        <v>9.3000000000000007</v>
      </c>
      <c r="T60" s="8">
        <v>72.599999999999994</v>
      </c>
      <c r="U60" s="17">
        <v>0.56800000000000006</v>
      </c>
      <c r="V60" s="17">
        <v>2</v>
      </c>
      <c r="W60" s="21">
        <v>5027108</v>
      </c>
      <c r="X60" s="8">
        <v>35</v>
      </c>
      <c r="Y60" s="8">
        <v>64.900000000000006</v>
      </c>
      <c r="Z60" s="8">
        <v>5.7</v>
      </c>
      <c r="AA60" s="8">
        <v>57.6</v>
      </c>
      <c r="AB60" s="8">
        <v>227499.67</v>
      </c>
      <c r="AC60" s="8">
        <f>11.41*1000</f>
        <v>11410</v>
      </c>
      <c r="AD60" s="8">
        <v>3255</v>
      </c>
      <c r="AE60" s="8">
        <v>36.1</v>
      </c>
      <c r="AF60" s="8">
        <v>14.5</v>
      </c>
      <c r="AG60" s="8"/>
      <c r="AH60" s="8">
        <v>9.1999999999999998E-2</v>
      </c>
      <c r="AI60" s="8">
        <v>30</v>
      </c>
      <c r="AJ60" s="8">
        <v>27</v>
      </c>
      <c r="AK60" s="8">
        <v>7</v>
      </c>
      <c r="AL60" s="8">
        <v>743942</v>
      </c>
      <c r="AM60" s="8">
        <v>33.5</v>
      </c>
      <c r="AN60" s="17">
        <v>12.718999999999999</v>
      </c>
      <c r="AO60" s="8">
        <v>65.472259600723106</v>
      </c>
      <c r="AP60" s="17">
        <v>100</v>
      </c>
      <c r="AQ60" s="8">
        <v>51.8</v>
      </c>
      <c r="AR60" s="8">
        <v>18.2</v>
      </c>
      <c r="AS60" s="8">
        <v>36.5</v>
      </c>
      <c r="AT60" s="8">
        <v>1.99</v>
      </c>
    </row>
    <row r="61" spans="1:46">
      <c r="A61" s="22" t="s">
        <v>135</v>
      </c>
      <c r="B61">
        <v>0.15013952992898399</v>
      </c>
      <c r="C61" s="8">
        <v>0</v>
      </c>
      <c r="D61">
        <v>1.3963200159999999E-5</v>
      </c>
      <c r="E61">
        <v>5.1498907103824702E-2</v>
      </c>
      <c r="F61" s="8">
        <v>0</v>
      </c>
      <c r="G61">
        <v>9.8626659625000002E-2</v>
      </c>
      <c r="H61" s="17">
        <v>39</v>
      </c>
      <c r="I61" s="8">
        <v>5.4</v>
      </c>
      <c r="J61" s="8">
        <v>53</v>
      </c>
      <c r="K61" s="8">
        <v>22</v>
      </c>
      <c r="L61" s="8">
        <v>40</v>
      </c>
      <c r="M61" s="8">
        <v>16</v>
      </c>
      <c r="N61" s="17">
        <v>45.951999999999998</v>
      </c>
      <c r="O61" s="23">
        <v>90.45</v>
      </c>
      <c r="P61" s="8">
        <v>3.2</v>
      </c>
      <c r="Q61" s="13">
        <v>95894.12</v>
      </c>
      <c r="R61" s="8">
        <v>160710.26999999999</v>
      </c>
      <c r="S61" s="8">
        <v>7</v>
      </c>
      <c r="T61" s="8">
        <v>59.2</v>
      </c>
      <c r="U61" s="17">
        <v>45.951999999999998</v>
      </c>
      <c r="V61" s="17">
        <v>4</v>
      </c>
      <c r="W61" s="21">
        <v>33381845</v>
      </c>
      <c r="X61" s="8">
        <v>18</v>
      </c>
      <c r="Y61" s="8">
        <v>29.2</v>
      </c>
      <c r="Z61" s="8">
        <v>9.8000000000000007</v>
      </c>
      <c r="AA61" s="8">
        <v>10.8</v>
      </c>
      <c r="AB61" s="8">
        <v>113107.03</v>
      </c>
      <c r="AC61" s="8">
        <f>703.91</f>
        <v>703.91</v>
      </c>
      <c r="AD61" s="8">
        <v>1870.03</v>
      </c>
      <c r="AE61" s="8">
        <v>12.5</v>
      </c>
      <c r="AF61" s="8">
        <v>9.8000000000000007</v>
      </c>
      <c r="AG61" s="8"/>
      <c r="AH61" s="8">
        <v>8.2000000000000003E-2</v>
      </c>
      <c r="AI61" s="8">
        <v>19</v>
      </c>
      <c r="AJ61" s="8">
        <v>30</v>
      </c>
      <c r="AK61" s="8">
        <v>28</v>
      </c>
      <c r="AL61" s="8">
        <v>38748786</v>
      </c>
      <c r="AM61" s="8">
        <v>25.1</v>
      </c>
      <c r="AN61" s="17">
        <v>45.951999999999998</v>
      </c>
      <c r="AO61" s="8">
        <v>50.512594784423598</v>
      </c>
      <c r="AP61">
        <v>19.100000381469702</v>
      </c>
      <c r="AQ61" s="8">
        <v>46.1</v>
      </c>
      <c r="AR61" s="8">
        <v>4.0999999999999996</v>
      </c>
      <c r="AS61" s="8">
        <v>35.1</v>
      </c>
      <c r="AT61" s="8">
        <v>3.1659999999999999</v>
      </c>
    </row>
    <row r="62" spans="1:46">
      <c r="A62" s="4" t="s">
        <v>136</v>
      </c>
      <c r="B62" s="38">
        <v>2.0672820000000001E-2</v>
      </c>
      <c r="C62" s="8">
        <v>0</v>
      </c>
      <c r="D62">
        <v>2.1455752880549999E-2</v>
      </c>
      <c r="E62">
        <v>0.70510735029056004</v>
      </c>
      <c r="F62" s="8">
        <v>0</v>
      </c>
      <c r="G62">
        <v>7.5504604500000001E-3</v>
      </c>
      <c r="H62" s="17">
        <v>40</v>
      </c>
      <c r="I62" s="8"/>
      <c r="J62" s="8"/>
      <c r="K62" s="8"/>
      <c r="L62" s="8">
        <v>17</v>
      </c>
      <c r="M62" s="8">
        <v>2</v>
      </c>
      <c r="N62" s="17">
        <v>73.784999999999997</v>
      </c>
      <c r="O62" s="23">
        <v>72.63</v>
      </c>
      <c r="P62" s="8">
        <v>2.2999999999999998</v>
      </c>
      <c r="Q62" s="13">
        <v>5835.81</v>
      </c>
      <c r="R62" s="8">
        <v>1391319.44</v>
      </c>
      <c r="S62" s="8">
        <v>6.2</v>
      </c>
      <c r="T62" s="8">
        <v>63.5</v>
      </c>
      <c r="U62" s="17">
        <v>73.784999999999997</v>
      </c>
      <c r="V62" s="17">
        <v>2</v>
      </c>
      <c r="W62" s="21">
        <v>2268090</v>
      </c>
      <c r="X62" s="18" t="s">
        <v>78</v>
      </c>
      <c r="Y62" s="18" t="s">
        <v>78</v>
      </c>
      <c r="Z62" s="8">
        <v>3.2</v>
      </c>
      <c r="AA62" s="8">
        <v>73.900000000000006</v>
      </c>
      <c r="AB62" s="8">
        <v>20736.3</v>
      </c>
      <c r="AC62" s="8">
        <f>2.84*1000</f>
        <v>2840</v>
      </c>
      <c r="AD62" s="8">
        <v>3690.81</v>
      </c>
      <c r="AE62" s="24" t="s">
        <v>78</v>
      </c>
      <c r="AF62" s="8">
        <v>12.3</v>
      </c>
      <c r="AG62" s="8"/>
      <c r="AH62" s="24" t="s">
        <v>78</v>
      </c>
      <c r="AI62" s="8">
        <v>21</v>
      </c>
      <c r="AJ62" s="8">
        <v>28</v>
      </c>
      <c r="AK62" s="8">
        <v>4</v>
      </c>
      <c r="AL62" s="8">
        <v>56209</v>
      </c>
      <c r="AM62" s="8">
        <v>16.7</v>
      </c>
      <c r="AN62" s="17">
        <v>73.784999999999997</v>
      </c>
      <c r="AO62" s="8">
        <v>55.921007312443201</v>
      </c>
      <c r="AP62">
        <v>49.517101287841797</v>
      </c>
      <c r="AQ62" s="8">
        <v>45.6</v>
      </c>
      <c r="AR62" s="8">
        <v>23.7</v>
      </c>
      <c r="AS62" s="8">
        <v>44.9</v>
      </c>
      <c r="AT62" s="8">
        <v>2.1840000000000002</v>
      </c>
    </row>
    <row r="63" spans="1:46">
      <c r="A63" s="22" t="s">
        <v>137</v>
      </c>
      <c r="B63">
        <v>1.40759063782089</v>
      </c>
      <c r="C63" s="8">
        <v>0</v>
      </c>
      <c r="D63">
        <v>1.27689942652798E-2</v>
      </c>
      <c r="E63">
        <v>1.1679189083106101</v>
      </c>
      <c r="F63" s="8">
        <v>0</v>
      </c>
      <c r="G63">
        <v>0.22690273524499999</v>
      </c>
      <c r="H63" s="17">
        <v>80</v>
      </c>
      <c r="I63" s="8">
        <v>6.4</v>
      </c>
      <c r="J63" s="8">
        <v>44.5</v>
      </c>
      <c r="K63" s="8">
        <v>20</v>
      </c>
      <c r="L63" s="8">
        <v>59</v>
      </c>
      <c r="M63" s="8">
        <v>59</v>
      </c>
      <c r="N63" s="17">
        <v>95.36</v>
      </c>
      <c r="O63" s="23">
        <v>12.43</v>
      </c>
      <c r="P63" s="8">
        <v>1.2</v>
      </c>
      <c r="Q63" s="13">
        <v>17797.740000000002</v>
      </c>
      <c r="R63" s="8">
        <v>757676.58</v>
      </c>
      <c r="S63" s="8">
        <v>8.8000000000000007</v>
      </c>
      <c r="T63" s="8">
        <v>73.7</v>
      </c>
      <c r="U63" s="17">
        <v>0.58699999999999997</v>
      </c>
      <c r="V63" s="17">
        <v>5</v>
      </c>
      <c r="W63" s="21">
        <v>8527976</v>
      </c>
      <c r="X63" s="8">
        <v>33</v>
      </c>
      <c r="Y63" s="8">
        <v>69.099999999999994</v>
      </c>
      <c r="Z63" s="8">
        <v>2.4</v>
      </c>
      <c r="AA63" s="8">
        <v>56.2</v>
      </c>
      <c r="AB63" s="8">
        <v>208600.95</v>
      </c>
      <c r="AC63" s="8">
        <f>6.59*1000</f>
        <v>6590</v>
      </c>
      <c r="AD63" s="8">
        <v>638.21</v>
      </c>
      <c r="AE63" s="8">
        <v>28.8</v>
      </c>
      <c r="AF63" s="8">
        <v>14.6</v>
      </c>
      <c r="AG63" s="8"/>
      <c r="AH63" s="8">
        <v>9.6000000000000002E-2</v>
      </c>
      <c r="AI63" s="8">
        <v>36</v>
      </c>
      <c r="AJ63" s="8">
        <v>25</v>
      </c>
      <c r="AK63" s="8">
        <v>5</v>
      </c>
      <c r="AL63" s="8">
        <v>82219</v>
      </c>
      <c r="AM63" s="8">
        <v>44.1</v>
      </c>
      <c r="AN63" s="17">
        <v>13.671000000000001</v>
      </c>
      <c r="AO63" s="8">
        <v>66.260283540542304</v>
      </c>
      <c r="AP63">
        <v>98.849998474121094</v>
      </c>
      <c r="AQ63" s="8">
        <v>49.2</v>
      </c>
      <c r="AR63" s="8">
        <v>38.5</v>
      </c>
      <c r="AS63" s="8">
        <v>43.2</v>
      </c>
      <c r="AT63" s="8">
        <v>1.988</v>
      </c>
    </row>
    <row r="64" spans="1:46">
      <c r="A64" s="22" t="s">
        <v>138</v>
      </c>
      <c r="B64">
        <v>4.1707490221462704</v>
      </c>
      <c r="C64" s="8">
        <v>0</v>
      </c>
      <c r="D64">
        <v>2.4653708340390001</v>
      </c>
      <c r="E64">
        <v>1.51740254310727</v>
      </c>
      <c r="F64" s="8">
        <v>0</v>
      </c>
      <c r="G64">
        <v>0.187975645</v>
      </c>
      <c r="H64" s="17">
        <v>70</v>
      </c>
      <c r="I64" s="8">
        <v>9.3000000000000007</v>
      </c>
      <c r="J64" s="8">
        <v>41.5</v>
      </c>
      <c r="K64" s="8">
        <v>31</v>
      </c>
      <c r="L64" s="8">
        <v>85</v>
      </c>
      <c r="M64" s="8">
        <v>42</v>
      </c>
      <c r="N64" s="17">
        <v>99.44</v>
      </c>
      <c r="O64" s="23">
        <v>22.35</v>
      </c>
      <c r="P64" s="8">
        <v>1.7</v>
      </c>
      <c r="Q64" s="13">
        <v>109262.18</v>
      </c>
      <c r="R64" s="8">
        <v>-35699505</v>
      </c>
      <c r="S64" s="8">
        <v>9.6</v>
      </c>
      <c r="T64" s="8">
        <v>70.2</v>
      </c>
      <c r="U64" s="17">
        <v>0.39</v>
      </c>
      <c r="V64" s="17">
        <v>5</v>
      </c>
      <c r="W64" s="21">
        <v>30178752</v>
      </c>
      <c r="X64" s="8">
        <v>40</v>
      </c>
      <c r="Y64" s="8">
        <v>73.099999999999994</v>
      </c>
      <c r="Z64" s="8">
        <v>12</v>
      </c>
      <c r="AA64" s="8">
        <v>85.6</v>
      </c>
      <c r="AB64" s="8">
        <v>1388329.42</v>
      </c>
      <c r="AC64" s="8">
        <f>4.44*1000</f>
        <v>4440</v>
      </c>
      <c r="AD64" s="8">
        <v>5122.3</v>
      </c>
      <c r="AE64" s="8">
        <v>29.1</v>
      </c>
      <c r="AF64" s="8">
        <v>13.8</v>
      </c>
      <c r="AG64" s="8"/>
      <c r="AH64" s="8">
        <v>3.4000000000000002E-2</v>
      </c>
      <c r="AI64" s="8">
        <v>33</v>
      </c>
      <c r="AJ64" s="8">
        <v>22.5</v>
      </c>
      <c r="AK64" s="8">
        <v>9</v>
      </c>
      <c r="AL64" s="8">
        <v>321592</v>
      </c>
      <c r="AM64" s="8">
        <v>34.6</v>
      </c>
      <c r="AN64" s="17">
        <v>91.278000000000006</v>
      </c>
      <c r="AO64" s="8">
        <v>62.174485768417</v>
      </c>
      <c r="AP64">
        <v>100</v>
      </c>
      <c r="AQ64" s="8">
        <v>43.7</v>
      </c>
      <c r="AR64" s="8">
        <v>19.8</v>
      </c>
      <c r="AS64" s="8">
        <v>28.5</v>
      </c>
      <c r="AT64" s="8">
        <v>2.3420000000000001</v>
      </c>
    </row>
    <row r="65" spans="1:46">
      <c r="A65" s="22" t="s">
        <v>139</v>
      </c>
      <c r="B65">
        <v>3.7846249999999998E-2</v>
      </c>
      <c r="C65" s="8">
        <v>0</v>
      </c>
      <c r="D65" s="8">
        <v>0</v>
      </c>
      <c r="E65" s="8">
        <v>0</v>
      </c>
      <c r="F65" s="8">
        <v>0</v>
      </c>
      <c r="G65">
        <v>3.7846249999999998E-2</v>
      </c>
      <c r="H65" s="17">
        <v>76</v>
      </c>
      <c r="I65" s="8">
        <v>5.9</v>
      </c>
      <c r="J65" s="8">
        <v>61.2</v>
      </c>
      <c r="K65" s="8">
        <v>16</v>
      </c>
      <c r="L65" s="8">
        <v>63</v>
      </c>
      <c r="M65" s="8">
        <v>41</v>
      </c>
      <c r="N65" s="17">
        <v>97.947000000000003</v>
      </c>
      <c r="O65" s="23">
        <v>6.08</v>
      </c>
      <c r="P65" s="8">
        <v>0.3</v>
      </c>
      <c r="Q65" s="13">
        <v>6314.17</v>
      </c>
      <c r="R65" s="8">
        <v>-7262999.8499999996</v>
      </c>
      <c r="S65" s="8">
        <v>7.2</v>
      </c>
      <c r="T65" s="8">
        <v>70.7</v>
      </c>
      <c r="U65" s="17">
        <v>0.51600000000000001</v>
      </c>
      <c r="V65" s="17">
        <v>3</v>
      </c>
      <c r="W65" s="21">
        <v>2657508</v>
      </c>
      <c r="X65" s="8">
        <v>28</v>
      </c>
      <c r="Y65" s="8">
        <v>61</v>
      </c>
      <c r="Z65" s="8">
        <v>2.7</v>
      </c>
      <c r="AA65" s="8">
        <v>81.3</v>
      </c>
      <c r="AB65" s="8">
        <v>63027.3</v>
      </c>
      <c r="AC65" s="8">
        <f>5.08*1000</f>
        <v>5080</v>
      </c>
      <c r="AD65" s="8">
        <v>830.5</v>
      </c>
      <c r="AE65" s="8">
        <v>37.1</v>
      </c>
      <c r="AF65" s="8">
        <v>12.7</v>
      </c>
      <c r="AG65" s="8"/>
      <c r="AH65" s="8">
        <v>0.22900000000000001</v>
      </c>
      <c r="AI65" s="8">
        <v>34</v>
      </c>
      <c r="AJ65" s="8">
        <v>30</v>
      </c>
      <c r="AK65" s="8">
        <v>9</v>
      </c>
      <c r="AL65" s="8">
        <v>250568</v>
      </c>
      <c r="AM65" s="8">
        <v>36.700000000000003</v>
      </c>
      <c r="AN65" s="17">
        <v>22.86</v>
      </c>
      <c r="AO65" s="8">
        <v>66.087857187824099</v>
      </c>
      <c r="AP65" s="17">
        <v>100</v>
      </c>
      <c r="AQ65" s="8">
        <v>33</v>
      </c>
      <c r="AR65" s="8">
        <v>52.1</v>
      </c>
      <c r="AS65" s="8">
        <v>50.2</v>
      </c>
      <c r="AT65" s="8">
        <v>2.2309999999999999</v>
      </c>
    </row>
    <row r="66" spans="1:46">
      <c r="A66" s="4" t="s">
        <v>140</v>
      </c>
      <c r="B66">
        <v>0.53858106471510103</v>
      </c>
      <c r="C66" s="8">
        <v>0</v>
      </c>
      <c r="D66">
        <v>0.20767515471510101</v>
      </c>
      <c r="E66">
        <v>0.32691647000000001</v>
      </c>
      <c r="F66" s="8">
        <v>0</v>
      </c>
      <c r="G66">
        <v>3.9894400000000003E-3</v>
      </c>
      <c r="H66" s="17">
        <v>43</v>
      </c>
      <c r="I66" s="8">
        <v>9.1999999999999993</v>
      </c>
      <c r="J66" s="18" t="s">
        <v>78</v>
      </c>
      <c r="K66" s="24" t="s">
        <v>78</v>
      </c>
      <c r="L66" s="24" t="s">
        <v>78</v>
      </c>
      <c r="M66" s="24" t="s">
        <v>78</v>
      </c>
      <c r="N66" s="17">
        <v>64.665999999999997</v>
      </c>
      <c r="O66" s="18" t="s">
        <v>77</v>
      </c>
      <c r="P66" s="8">
        <v>2.4</v>
      </c>
      <c r="Q66" s="13">
        <v>1634.47</v>
      </c>
      <c r="R66" s="8">
        <v>-296425.14</v>
      </c>
      <c r="S66" s="8">
        <v>5.9</v>
      </c>
      <c r="T66" s="8">
        <v>60.6</v>
      </c>
      <c r="U66" s="24" t="s">
        <v>78</v>
      </c>
      <c r="V66" s="18" t="s">
        <v>78</v>
      </c>
      <c r="W66" s="21">
        <v>549783</v>
      </c>
      <c r="X66" s="18" t="s">
        <v>78</v>
      </c>
      <c r="Y66" s="18" t="s">
        <v>78</v>
      </c>
      <c r="Z66" s="8">
        <v>5.7</v>
      </c>
      <c r="AA66" s="8">
        <v>26.5</v>
      </c>
      <c r="AB66" s="8">
        <v>26282.45</v>
      </c>
      <c r="AC66" s="8">
        <f>10.09*1000</f>
        <v>10090</v>
      </c>
      <c r="AD66" s="8">
        <v>491.09</v>
      </c>
      <c r="AE66" s="18" t="s">
        <v>78</v>
      </c>
      <c r="AF66" s="8">
        <v>9.6999999999999993</v>
      </c>
      <c r="AG66" s="8"/>
      <c r="AH66" s="24" t="s">
        <v>78</v>
      </c>
      <c r="AI66" s="8">
        <v>17</v>
      </c>
      <c r="AJ66" s="8">
        <v>35</v>
      </c>
      <c r="AK66" s="8">
        <v>0</v>
      </c>
      <c r="AL66" s="8" t="s">
        <v>78</v>
      </c>
      <c r="AM66" s="8">
        <v>22.9</v>
      </c>
      <c r="AN66" s="17">
        <v>59.02</v>
      </c>
      <c r="AO66" s="8">
        <v>58.085624933655701</v>
      </c>
      <c r="AP66">
        <v>66.747726440429702</v>
      </c>
      <c r="AQ66" s="8">
        <v>44.1</v>
      </c>
      <c r="AR66" s="8">
        <v>46.5</v>
      </c>
      <c r="AS66" s="8">
        <v>53.6</v>
      </c>
      <c r="AT66" s="8">
        <v>1.863</v>
      </c>
    </row>
    <row r="67" spans="1:46">
      <c r="A67" s="4" t="s">
        <v>141</v>
      </c>
      <c r="B67">
        <v>1.15765E-4</v>
      </c>
      <c r="C67" s="8">
        <v>0</v>
      </c>
      <c r="D67" s="8">
        <v>0</v>
      </c>
      <c r="E67" s="8">
        <v>0</v>
      </c>
      <c r="F67" s="8">
        <v>0</v>
      </c>
      <c r="G67">
        <v>1.15765E-4</v>
      </c>
      <c r="H67" s="17">
        <v>50</v>
      </c>
      <c r="I67" s="8">
        <v>8</v>
      </c>
      <c r="J67" s="18" t="s">
        <v>78</v>
      </c>
      <c r="K67" s="24" t="s">
        <v>78</v>
      </c>
      <c r="L67" s="8">
        <v>15</v>
      </c>
      <c r="M67" s="8">
        <v>3</v>
      </c>
      <c r="N67" s="17">
        <v>51.85</v>
      </c>
      <c r="O67" s="18" t="s">
        <v>77</v>
      </c>
      <c r="P67" s="8">
        <v>1.8</v>
      </c>
      <c r="Q67" s="13">
        <v>3620.31</v>
      </c>
      <c r="R67" s="8">
        <v>-402025.66</v>
      </c>
      <c r="S67" s="8">
        <v>4.9000000000000004</v>
      </c>
      <c r="T67" s="8">
        <v>66.5</v>
      </c>
      <c r="U67" s="24" t="s">
        <v>78</v>
      </c>
      <c r="V67" s="29">
        <v>5</v>
      </c>
      <c r="W67" s="21">
        <v>1675046</v>
      </c>
      <c r="X67" s="18" t="s">
        <v>78</v>
      </c>
      <c r="Y67" s="18" t="s">
        <v>78</v>
      </c>
      <c r="Z67" s="8">
        <v>6.4</v>
      </c>
      <c r="AA67" s="8">
        <v>149.6</v>
      </c>
      <c r="AB67" s="8">
        <v>5224.33</v>
      </c>
      <c r="AC67" s="8">
        <f>699.44</f>
        <v>699.44</v>
      </c>
      <c r="AD67" s="8">
        <v>70.47</v>
      </c>
      <c r="AE67" s="18" t="s">
        <v>78</v>
      </c>
      <c r="AF67" s="8">
        <v>9.6999999999999993</v>
      </c>
      <c r="AG67" s="8"/>
      <c r="AH67" s="24" t="s">
        <v>78</v>
      </c>
      <c r="AI67" s="8">
        <v>22</v>
      </c>
      <c r="AJ67" s="8">
        <v>30</v>
      </c>
      <c r="AK67" s="8">
        <v>44</v>
      </c>
      <c r="AL67" s="8">
        <v>1468591</v>
      </c>
      <c r="AM67" s="8">
        <v>19.3</v>
      </c>
      <c r="AN67" s="17">
        <v>52.076999999999998</v>
      </c>
      <c r="AO67" s="8">
        <v>56.210707806399</v>
      </c>
      <c r="AP67">
        <v>52.171096801757798</v>
      </c>
      <c r="AQ67" s="8">
        <v>30.6</v>
      </c>
      <c r="AR67" s="8">
        <v>15.3</v>
      </c>
      <c r="AS67" s="8">
        <v>40.4</v>
      </c>
      <c r="AT67" s="8">
        <v>2.4940000000000002</v>
      </c>
    </row>
    <row r="68" spans="1:46">
      <c r="A68" s="4" t="s">
        <v>142</v>
      </c>
      <c r="B68">
        <v>1.9648881609499999E-2</v>
      </c>
      <c r="C68" s="8">
        <v>0</v>
      </c>
      <c r="D68" s="8">
        <v>0</v>
      </c>
      <c r="E68" s="8">
        <v>0</v>
      </c>
      <c r="F68" s="8">
        <v>0</v>
      </c>
      <c r="G68">
        <v>1.9648881609499999E-2</v>
      </c>
      <c r="H68" s="17">
        <v>78</v>
      </c>
      <c r="I68" s="8">
        <v>6.3</v>
      </c>
      <c r="J68" s="8">
        <v>63.1</v>
      </c>
      <c r="K68" s="8">
        <v>83</v>
      </c>
      <c r="L68" s="24" t="s">
        <v>78</v>
      </c>
      <c r="M68" s="24" t="s">
        <v>78</v>
      </c>
      <c r="N68" s="17">
        <v>99.591000000000008</v>
      </c>
      <c r="O68" s="23">
        <v>0.03</v>
      </c>
      <c r="P68" s="8">
        <v>0.1</v>
      </c>
      <c r="Q68" s="13">
        <v>1330.93</v>
      </c>
      <c r="R68" s="8">
        <f>-1-178003.04</f>
        <v>-178004.04</v>
      </c>
      <c r="S68" s="8">
        <v>13.5</v>
      </c>
      <c r="T68" s="8">
        <v>77.099999999999994</v>
      </c>
      <c r="U68" s="17">
        <v>0.67900000000000005</v>
      </c>
      <c r="V68" s="17">
        <v>2</v>
      </c>
      <c r="W68" s="21">
        <v>704674</v>
      </c>
      <c r="X68" s="8">
        <v>52</v>
      </c>
      <c r="Y68" s="8">
        <v>75.8</v>
      </c>
      <c r="Z68" s="8">
        <v>9.5</v>
      </c>
      <c r="AA68" s="8">
        <v>19.399999999999999</v>
      </c>
      <c r="AB68" s="8">
        <v>56083.24</v>
      </c>
      <c r="AC68" s="8">
        <f>31.22*1000</f>
        <v>31220</v>
      </c>
      <c r="AD68" s="8">
        <v>7142.84</v>
      </c>
      <c r="AE68" s="8">
        <v>42.6</v>
      </c>
      <c r="AF68" s="8">
        <v>15.9</v>
      </c>
      <c r="AG68" s="8"/>
      <c r="AH68" s="8">
        <v>0.34</v>
      </c>
      <c r="AI68" s="8">
        <v>74</v>
      </c>
      <c r="AJ68" s="8">
        <v>20</v>
      </c>
      <c r="AK68" s="8">
        <v>0</v>
      </c>
      <c r="AL68" s="8" t="s">
        <v>78</v>
      </c>
      <c r="AM68" s="8">
        <v>74.599999999999994</v>
      </c>
      <c r="AN68" s="17">
        <v>6.3970000000000002</v>
      </c>
      <c r="AO68" s="8">
        <v>63.159243501735901</v>
      </c>
      <c r="AP68" s="17">
        <v>100</v>
      </c>
      <c r="AQ68" s="8">
        <v>65</v>
      </c>
      <c r="AR68" s="8">
        <v>66.7</v>
      </c>
      <c r="AS68" s="8">
        <v>52</v>
      </c>
      <c r="AT68" s="8">
        <v>1.6619999999999999</v>
      </c>
    </row>
    <row r="69" spans="1:46">
      <c r="A69" s="4" t="s">
        <v>143</v>
      </c>
      <c r="B69">
        <v>6.27655632562209E-3</v>
      </c>
      <c r="C69">
        <v>2.5873484006220899E-3</v>
      </c>
      <c r="D69" s="8">
        <v>0</v>
      </c>
      <c r="E69" s="8">
        <v>0</v>
      </c>
      <c r="F69" s="8">
        <v>0</v>
      </c>
      <c r="G69" s="38">
        <v>3.6892100000000001E-3</v>
      </c>
      <c r="H69" s="17">
        <v>58</v>
      </c>
      <c r="I69" s="8">
        <v>25.8</v>
      </c>
      <c r="J69" s="8">
        <v>52.6</v>
      </c>
      <c r="K69" s="24" t="s">
        <v>78</v>
      </c>
      <c r="L69" s="24" t="s">
        <v>78</v>
      </c>
      <c r="M69" s="24" t="s">
        <v>78</v>
      </c>
      <c r="N69" s="17">
        <v>70.753</v>
      </c>
      <c r="O69" s="23">
        <v>49.44</v>
      </c>
      <c r="P69" s="8">
        <v>1</v>
      </c>
      <c r="Q69" s="13">
        <v>1192.27</v>
      </c>
      <c r="R69" s="8">
        <v>-41643.96</v>
      </c>
      <c r="S69" s="8">
        <v>5.6</v>
      </c>
      <c r="T69" s="8">
        <v>57.1</v>
      </c>
      <c r="U69" s="24" t="s">
        <v>78</v>
      </c>
      <c r="V69" s="29">
        <v>5</v>
      </c>
      <c r="W69" s="21">
        <v>383457</v>
      </c>
      <c r="X69" s="8">
        <v>24</v>
      </c>
      <c r="Y69" s="8">
        <v>53.7</v>
      </c>
      <c r="Z69" s="8">
        <v>4.2</v>
      </c>
      <c r="AA69" s="8">
        <v>44.1</v>
      </c>
      <c r="AB69" s="8">
        <v>11600.88</v>
      </c>
      <c r="AC69" s="8">
        <f>4.19*1000</f>
        <v>4190</v>
      </c>
      <c r="AD69" s="8">
        <v>121.48</v>
      </c>
      <c r="AE69" s="8">
        <v>26.3</v>
      </c>
      <c r="AF69" s="8">
        <v>13.7</v>
      </c>
      <c r="AG69" s="8"/>
      <c r="AH69" s="24" t="s">
        <v>78</v>
      </c>
      <c r="AI69" s="8">
        <v>32</v>
      </c>
      <c r="AJ69" s="18" t="s">
        <v>78</v>
      </c>
      <c r="AK69" s="8">
        <v>0</v>
      </c>
      <c r="AL69" s="8" t="s">
        <v>78</v>
      </c>
      <c r="AM69" s="8">
        <v>16.899999999999999</v>
      </c>
      <c r="AN69" s="17">
        <v>16.724</v>
      </c>
      <c r="AO69" s="8">
        <v>60.977412014550403</v>
      </c>
      <c r="AP69">
        <v>79.730499267578097</v>
      </c>
      <c r="AQ69" s="8">
        <v>37</v>
      </c>
      <c r="AR69" s="8">
        <v>14.6</v>
      </c>
      <c r="AS69" s="8">
        <v>67.900000000000006</v>
      </c>
      <c r="AT69" s="8">
        <v>2.0329999999999999</v>
      </c>
    </row>
    <row r="70" spans="1:46">
      <c r="A70" s="25" t="s">
        <v>144</v>
      </c>
      <c r="B70">
        <v>0.12662108550000001</v>
      </c>
      <c r="C70" s="8">
        <v>0</v>
      </c>
      <c r="D70" s="8">
        <v>0</v>
      </c>
      <c r="E70" s="8">
        <v>0</v>
      </c>
      <c r="F70" s="8">
        <v>0</v>
      </c>
      <c r="G70">
        <v>0.12662108550000001</v>
      </c>
      <c r="H70" s="17">
        <v>38</v>
      </c>
      <c r="I70" s="8">
        <v>3.7</v>
      </c>
      <c r="J70" s="8">
        <v>46.9</v>
      </c>
      <c r="K70" s="8">
        <v>16</v>
      </c>
      <c r="L70" s="26">
        <v>42</v>
      </c>
      <c r="M70" s="26">
        <v>35</v>
      </c>
      <c r="N70" s="17">
        <v>49.616</v>
      </c>
      <c r="O70" s="23">
        <v>26.560000000000002</v>
      </c>
      <c r="P70" s="8">
        <v>2.6</v>
      </c>
      <c r="Q70" s="13">
        <v>120283.03</v>
      </c>
      <c r="R70" s="8">
        <v>-11363400.67</v>
      </c>
      <c r="S70" s="26">
        <v>3.2</v>
      </c>
      <c r="T70" s="26">
        <v>65</v>
      </c>
      <c r="U70" s="17">
        <v>0.33600000000000002</v>
      </c>
      <c r="V70" s="17">
        <v>4</v>
      </c>
      <c r="W70" s="21">
        <v>56664127</v>
      </c>
      <c r="X70" s="8">
        <v>28</v>
      </c>
      <c r="Y70" s="8">
        <v>43.4</v>
      </c>
      <c r="Z70" s="8">
        <v>28.6</v>
      </c>
      <c r="AA70" s="8">
        <v>40.4</v>
      </c>
      <c r="AB70" s="8">
        <v>306447.09000000003</v>
      </c>
      <c r="AC70" s="8">
        <f>1.23*1000</f>
        <v>1230</v>
      </c>
      <c r="AD70" s="8">
        <v>4259.45</v>
      </c>
      <c r="AE70" s="8">
        <v>23</v>
      </c>
      <c r="AF70" s="26">
        <v>9.6999999999999993</v>
      </c>
      <c r="AG70" s="26"/>
      <c r="AH70" s="26">
        <v>7.0000000000000001E-3</v>
      </c>
      <c r="AI70" s="26">
        <v>39</v>
      </c>
      <c r="AJ70" s="8">
        <v>30</v>
      </c>
      <c r="AK70" s="8">
        <v>61</v>
      </c>
      <c r="AL70" s="26">
        <v>9956626</v>
      </c>
      <c r="AM70" s="8">
        <v>33.700000000000003</v>
      </c>
      <c r="AN70" s="17">
        <v>39.792999999999999</v>
      </c>
      <c r="AO70" s="8">
        <v>56.900577143777497</v>
      </c>
      <c r="AP70">
        <v>51.093982696533203</v>
      </c>
      <c r="AQ70" s="8">
        <v>45.6</v>
      </c>
      <c r="AR70" s="8">
        <v>5</v>
      </c>
      <c r="AS70" s="8">
        <v>19.899999999999999</v>
      </c>
      <c r="AT70" s="8">
        <v>2.806</v>
      </c>
    </row>
    <row r="71" spans="1:46">
      <c r="A71" s="27" t="s">
        <v>145</v>
      </c>
      <c r="B71">
        <v>1.380275E-3</v>
      </c>
      <c r="C71" s="8">
        <v>0</v>
      </c>
      <c r="D71" s="8">
        <v>0</v>
      </c>
      <c r="E71" s="8">
        <v>0</v>
      </c>
      <c r="F71" s="8">
        <v>0</v>
      </c>
      <c r="G71">
        <v>1.380275E-3</v>
      </c>
      <c r="H71" s="18" t="s">
        <v>78</v>
      </c>
      <c r="I71" s="18" t="s">
        <v>78</v>
      </c>
      <c r="J71" s="28" t="s">
        <v>78</v>
      </c>
      <c r="K71" s="24" t="s">
        <v>78</v>
      </c>
      <c r="L71" s="24" t="s">
        <v>78</v>
      </c>
      <c r="M71" s="24" t="s">
        <v>78</v>
      </c>
      <c r="N71" s="18" t="s">
        <v>77</v>
      </c>
      <c r="O71" s="18" t="s">
        <v>77</v>
      </c>
      <c r="P71" s="8">
        <v>0.9</v>
      </c>
      <c r="Q71" s="13">
        <v>52.89</v>
      </c>
      <c r="R71" s="8">
        <v>-130430.09</v>
      </c>
      <c r="S71" s="24" t="s">
        <v>78</v>
      </c>
      <c r="T71" s="24" t="s">
        <v>78</v>
      </c>
      <c r="U71" s="24" t="s">
        <v>78</v>
      </c>
      <c r="V71" s="18" t="s">
        <v>78</v>
      </c>
      <c r="W71" s="18" t="s">
        <v>78</v>
      </c>
      <c r="X71" s="28" t="s">
        <v>78</v>
      </c>
      <c r="Y71" s="28" t="s">
        <v>78</v>
      </c>
      <c r="Z71" s="24" t="s">
        <v>78</v>
      </c>
      <c r="AA71" s="24" t="s">
        <v>78</v>
      </c>
      <c r="AB71" s="24" t="s">
        <v>78</v>
      </c>
      <c r="AC71" s="24" t="s">
        <v>78</v>
      </c>
      <c r="AD71" s="24" t="s">
        <v>78</v>
      </c>
      <c r="AE71" s="24" t="s">
        <v>78</v>
      </c>
      <c r="AF71" s="24" t="s">
        <v>78</v>
      </c>
      <c r="AG71" s="26"/>
      <c r="AH71" s="24" t="s">
        <v>78</v>
      </c>
      <c r="AI71" s="24" t="s">
        <v>78</v>
      </c>
      <c r="AJ71" s="8">
        <v>18</v>
      </c>
      <c r="AK71" s="8">
        <v>0</v>
      </c>
      <c r="AL71" s="8" t="s">
        <v>78</v>
      </c>
      <c r="AM71" s="24" t="s">
        <v>78</v>
      </c>
      <c r="AN71" s="24" t="s">
        <v>78</v>
      </c>
      <c r="AO71" s="8">
        <v>61.429233198143301</v>
      </c>
      <c r="AP71" s="17">
        <v>100</v>
      </c>
      <c r="AQ71" s="24" t="s">
        <v>78</v>
      </c>
      <c r="AR71" s="24" t="s">
        <v>78</v>
      </c>
      <c r="AS71" s="24" t="s">
        <v>78</v>
      </c>
      <c r="AT71" s="24" t="s">
        <v>78</v>
      </c>
    </row>
    <row r="72" spans="1:46">
      <c r="A72" s="27" t="s">
        <v>146</v>
      </c>
      <c r="B72">
        <v>5.9716930000000001E-3</v>
      </c>
      <c r="C72" s="8">
        <v>0</v>
      </c>
      <c r="D72" s="8">
        <v>0</v>
      </c>
      <c r="E72" s="8">
        <v>0</v>
      </c>
      <c r="F72" s="8">
        <v>0</v>
      </c>
      <c r="G72">
        <v>5.9716930000000001E-3</v>
      </c>
      <c r="H72" s="17">
        <v>61</v>
      </c>
      <c r="I72" s="8">
        <v>5.2</v>
      </c>
      <c r="J72" s="28" t="s">
        <v>78</v>
      </c>
      <c r="K72" s="26">
        <v>35</v>
      </c>
      <c r="L72" s="24" t="s">
        <v>78</v>
      </c>
      <c r="M72" s="24" t="s">
        <v>78</v>
      </c>
      <c r="N72" s="17">
        <v>94.301000000000002</v>
      </c>
      <c r="O72" s="23">
        <v>9.5400000000000009</v>
      </c>
      <c r="P72" s="8">
        <v>0.5</v>
      </c>
      <c r="Q72" s="13">
        <v>924.61</v>
      </c>
      <c r="R72" s="8">
        <v>-1172474.94</v>
      </c>
      <c r="S72" s="26">
        <v>10.9</v>
      </c>
      <c r="T72" s="26">
        <v>67.099999999999994</v>
      </c>
      <c r="U72" s="24" t="s">
        <v>78</v>
      </c>
      <c r="V72" s="29">
        <v>4</v>
      </c>
      <c r="W72" s="21">
        <v>372185</v>
      </c>
      <c r="X72" s="28" t="s">
        <v>78</v>
      </c>
      <c r="Y72" s="28" t="s">
        <v>78</v>
      </c>
      <c r="Z72" s="8">
        <v>3.5</v>
      </c>
      <c r="AA72" s="8">
        <v>91.1</v>
      </c>
      <c r="AB72" s="8">
        <v>10522.59</v>
      </c>
      <c r="AC72" s="8">
        <f>5.87*1000</f>
        <v>5870</v>
      </c>
      <c r="AD72" s="8">
        <v>409.89</v>
      </c>
      <c r="AE72" s="24" t="s">
        <v>78</v>
      </c>
      <c r="AF72" s="26">
        <v>14.7</v>
      </c>
      <c r="AG72" s="26"/>
      <c r="AH72" s="24" t="s">
        <v>78</v>
      </c>
      <c r="AI72" s="26">
        <v>55</v>
      </c>
      <c r="AJ72" s="8">
        <v>20</v>
      </c>
      <c r="AK72" s="8">
        <v>2</v>
      </c>
      <c r="AL72" s="8" t="s">
        <v>78</v>
      </c>
      <c r="AM72" s="8">
        <v>30.3</v>
      </c>
      <c r="AN72" s="17">
        <v>10.132</v>
      </c>
      <c r="AO72" s="8">
        <v>65.3688935707453</v>
      </c>
      <c r="AP72" s="17">
        <v>100</v>
      </c>
      <c r="AQ72" s="8">
        <v>21</v>
      </c>
      <c r="AR72" s="8">
        <v>34</v>
      </c>
      <c r="AS72" s="8">
        <v>40</v>
      </c>
      <c r="AT72" s="24" t="s">
        <v>78</v>
      </c>
    </row>
    <row r="73" spans="1:46">
      <c r="A73" s="22" t="s">
        <v>147</v>
      </c>
      <c r="B73">
        <v>0.53704027065517301</v>
      </c>
      <c r="C73" s="8">
        <v>0</v>
      </c>
      <c r="D73" s="8">
        <v>0</v>
      </c>
      <c r="E73" s="8">
        <v>0</v>
      </c>
      <c r="F73">
        <v>0.233922437284173</v>
      </c>
      <c r="G73">
        <v>0.30311783337100001</v>
      </c>
      <c r="H73" s="17">
        <v>83</v>
      </c>
      <c r="I73" s="8">
        <v>7.5</v>
      </c>
      <c r="J73" s="8">
        <v>68.5</v>
      </c>
      <c r="K73" s="8">
        <v>96</v>
      </c>
      <c r="L73" s="8">
        <v>82</v>
      </c>
      <c r="M73" s="8">
        <v>76</v>
      </c>
      <c r="N73" s="17">
        <v>100</v>
      </c>
      <c r="O73" s="23">
        <v>0.12</v>
      </c>
      <c r="P73" s="8">
        <v>0.2</v>
      </c>
      <c r="Q73" s="13">
        <v>5541.02</v>
      </c>
      <c r="R73" s="8">
        <v>626195.64</v>
      </c>
      <c r="S73" s="8">
        <v>12.9</v>
      </c>
      <c r="T73" s="8">
        <v>82</v>
      </c>
      <c r="U73" s="17">
        <v>0.85599999999999998</v>
      </c>
      <c r="V73" s="17">
        <v>1</v>
      </c>
      <c r="W73" s="21">
        <v>2819540</v>
      </c>
      <c r="X73" s="8">
        <v>76</v>
      </c>
      <c r="Y73" s="8">
        <v>83.4</v>
      </c>
      <c r="Z73" s="8">
        <v>2.5</v>
      </c>
      <c r="AA73" s="8">
        <v>67.400000000000006</v>
      </c>
      <c r="AB73" s="8">
        <v>304830.11</v>
      </c>
      <c r="AC73" s="8">
        <f>51.18*1000</f>
        <v>51180</v>
      </c>
      <c r="AD73" s="8">
        <v>16396.919999999998</v>
      </c>
      <c r="AE73" s="8">
        <v>82.8</v>
      </c>
      <c r="AF73" s="8">
        <v>19.100000000000001</v>
      </c>
      <c r="AG73" s="8"/>
      <c r="AH73" s="8">
        <v>0.23599999999999999</v>
      </c>
      <c r="AI73" s="8">
        <v>88</v>
      </c>
      <c r="AJ73" s="8">
        <v>20</v>
      </c>
      <c r="AK73" s="8">
        <v>0</v>
      </c>
      <c r="AL73" s="8" t="s">
        <v>78</v>
      </c>
      <c r="AM73" s="8">
        <v>93.5</v>
      </c>
      <c r="AN73" s="17">
        <v>5.5419999999999998</v>
      </c>
      <c r="AO73" s="8">
        <v>61.6798488870649</v>
      </c>
      <c r="AP73" s="17">
        <v>100</v>
      </c>
      <c r="AQ73" s="8">
        <v>62</v>
      </c>
      <c r="AR73" s="8">
        <v>69.599999999999994</v>
      </c>
      <c r="AS73" s="8">
        <v>83.6</v>
      </c>
      <c r="AT73" s="8">
        <v>1.4390000000000001</v>
      </c>
    </row>
    <row r="74" spans="1:46">
      <c r="A74" s="22" t="s">
        <v>148</v>
      </c>
      <c r="B74">
        <v>5.1045867086367496</v>
      </c>
      <c r="C74" s="8">
        <v>0</v>
      </c>
      <c r="D74">
        <v>6.5202670170439402E-4</v>
      </c>
      <c r="E74">
        <v>3.1185724423782899E-2</v>
      </c>
      <c r="F74">
        <v>3.9398392443902601</v>
      </c>
      <c r="G74">
        <v>1.132909713121</v>
      </c>
      <c r="H74" s="17">
        <v>84</v>
      </c>
      <c r="I74" s="8">
        <v>8.1</v>
      </c>
      <c r="J74" s="8">
        <v>62.2</v>
      </c>
      <c r="K74" s="8">
        <v>92</v>
      </c>
      <c r="L74" s="8">
        <v>88</v>
      </c>
      <c r="M74" s="8">
        <v>69</v>
      </c>
      <c r="N74" s="17">
        <v>100</v>
      </c>
      <c r="O74" s="23">
        <v>0.2</v>
      </c>
      <c r="P74" s="8">
        <v>0.3</v>
      </c>
      <c r="Q74" s="13">
        <v>67749.63</v>
      </c>
      <c r="R74" s="8">
        <v>-36853229.770000003</v>
      </c>
      <c r="S74" s="8">
        <v>11.6</v>
      </c>
      <c r="T74" s="8">
        <v>82.5</v>
      </c>
      <c r="U74" s="17">
        <v>0.78200000000000003</v>
      </c>
      <c r="V74" s="17">
        <v>2</v>
      </c>
      <c r="W74" s="21">
        <v>31132290</v>
      </c>
      <c r="X74" s="8">
        <v>77</v>
      </c>
      <c r="Y74" s="8">
        <v>89.7</v>
      </c>
      <c r="Z74" s="8">
        <v>4.5999999999999996</v>
      </c>
      <c r="AA74" s="8">
        <v>112.5</v>
      </c>
      <c r="AB74" s="8">
        <v>3424151.72</v>
      </c>
      <c r="AC74" s="8">
        <f>42.65*1000</f>
        <v>42650</v>
      </c>
      <c r="AD74" s="8">
        <v>88427.62</v>
      </c>
      <c r="AE74" s="8">
        <v>80.3</v>
      </c>
      <c r="AF74" s="8">
        <v>15.8</v>
      </c>
      <c r="AG74" s="8"/>
      <c r="AH74" s="8">
        <v>0.19600000000000001</v>
      </c>
      <c r="AI74" s="8">
        <v>71</v>
      </c>
      <c r="AJ74" s="8">
        <v>25.83</v>
      </c>
      <c r="AK74" s="8">
        <v>0</v>
      </c>
      <c r="AL74" s="8" t="s">
        <v>78</v>
      </c>
      <c r="AM74" s="8">
        <v>82</v>
      </c>
      <c r="AN74" s="17">
        <v>11.194000000000001</v>
      </c>
      <c r="AO74" s="8">
        <v>61.3033694085631</v>
      </c>
      <c r="AP74" s="17">
        <v>100</v>
      </c>
      <c r="AQ74" s="8">
        <v>64</v>
      </c>
      <c r="AR74" s="8">
        <v>63.8</v>
      </c>
      <c r="AS74" s="8">
        <v>49.5</v>
      </c>
      <c r="AT74" s="8">
        <v>1.895</v>
      </c>
    </row>
    <row r="75" spans="1:46">
      <c r="A75" s="4" t="s">
        <v>149</v>
      </c>
      <c r="B75">
        <v>1.9599905000000002E-3</v>
      </c>
      <c r="C75" s="8">
        <v>0</v>
      </c>
      <c r="D75" s="8">
        <v>0</v>
      </c>
      <c r="E75" s="8">
        <v>0</v>
      </c>
      <c r="F75" s="8">
        <v>0</v>
      </c>
      <c r="G75">
        <v>1.9599905000000002E-3</v>
      </c>
      <c r="H75" s="18" t="s">
        <v>78</v>
      </c>
      <c r="I75" s="8">
        <v>14.4</v>
      </c>
      <c r="J75" s="18" t="s">
        <v>78</v>
      </c>
      <c r="K75" s="24" t="s">
        <v>78</v>
      </c>
      <c r="L75" s="24" t="s">
        <v>78</v>
      </c>
      <c r="M75" s="24" t="s">
        <v>78</v>
      </c>
      <c r="N75" s="18" t="s">
        <v>77</v>
      </c>
      <c r="O75" s="18" t="s">
        <v>77</v>
      </c>
      <c r="P75" s="8">
        <v>0.7</v>
      </c>
      <c r="Q75" s="13">
        <v>304.02999999999997</v>
      </c>
      <c r="R75" s="8">
        <v>-670140.01</v>
      </c>
      <c r="S75" s="24" t="s">
        <v>78</v>
      </c>
      <c r="T75" s="24" t="s">
        <v>78</v>
      </c>
      <c r="U75" s="24" t="s">
        <v>78</v>
      </c>
      <c r="V75" s="18" t="s">
        <v>78</v>
      </c>
      <c r="W75" s="21">
        <v>130097</v>
      </c>
      <c r="X75" s="18" t="s">
        <v>78</v>
      </c>
      <c r="Y75" s="18" t="s">
        <v>78</v>
      </c>
      <c r="Z75" s="24" t="s">
        <v>78</v>
      </c>
      <c r="AA75" s="24" t="s">
        <v>78</v>
      </c>
      <c r="AB75" s="24" t="s">
        <v>78</v>
      </c>
      <c r="AC75" s="24" t="s">
        <v>78</v>
      </c>
      <c r="AD75" s="8">
        <v>21.34</v>
      </c>
      <c r="AE75" s="24" t="s">
        <v>78</v>
      </c>
      <c r="AF75" s="24" t="s">
        <v>78</v>
      </c>
      <c r="AG75" s="8"/>
      <c r="AH75" s="24" t="s">
        <v>78</v>
      </c>
      <c r="AI75" s="24" t="s">
        <v>78</v>
      </c>
      <c r="AJ75" s="8">
        <v>25</v>
      </c>
      <c r="AK75" s="8">
        <v>0</v>
      </c>
      <c r="AL75" s="8" t="s">
        <v>78</v>
      </c>
      <c r="AM75" s="24" t="s">
        <v>78</v>
      </c>
      <c r="AN75" s="24" t="s">
        <v>78</v>
      </c>
      <c r="AO75" s="8">
        <v>68.6631670350489</v>
      </c>
      <c r="AP75" s="17">
        <v>100</v>
      </c>
      <c r="AQ75" s="24" t="s">
        <v>78</v>
      </c>
      <c r="AR75" s="24" t="s">
        <v>78</v>
      </c>
      <c r="AS75" s="24" t="s">
        <v>78</v>
      </c>
      <c r="AT75" s="24" t="s">
        <v>78</v>
      </c>
    </row>
    <row r="76" spans="1:46">
      <c r="A76" s="4" t="s">
        <v>150</v>
      </c>
      <c r="B76">
        <v>0.45971292354605398</v>
      </c>
      <c r="C76" s="8">
        <v>0</v>
      </c>
      <c r="D76">
        <v>1.71561637776E-2</v>
      </c>
      <c r="E76">
        <v>0.43365533957845398</v>
      </c>
      <c r="F76" s="8">
        <v>0</v>
      </c>
      <c r="G76" s="38">
        <v>8.9014200000000002E-3</v>
      </c>
      <c r="H76" s="17">
        <v>49</v>
      </c>
      <c r="I76" s="8">
        <v>22.3</v>
      </c>
      <c r="J76" s="8">
        <v>43.7</v>
      </c>
      <c r="K76" s="8">
        <v>25</v>
      </c>
      <c r="L76" s="24" t="s">
        <v>78</v>
      </c>
      <c r="M76" s="24" t="s">
        <v>78</v>
      </c>
      <c r="N76" s="17">
        <v>85.341999999999999</v>
      </c>
      <c r="O76" s="23">
        <v>14.200000000000001</v>
      </c>
      <c r="P76" s="8">
        <v>2.1</v>
      </c>
      <c r="Q76" s="13">
        <v>2341.1799999999998</v>
      </c>
      <c r="R76" s="8">
        <v>340696.88</v>
      </c>
      <c r="S76" s="8">
        <v>9.4</v>
      </c>
      <c r="T76" s="8">
        <v>65.8</v>
      </c>
      <c r="U76" s="24" t="s">
        <v>78</v>
      </c>
      <c r="V76" s="17">
        <v>3</v>
      </c>
      <c r="W76" s="21">
        <v>718398</v>
      </c>
      <c r="X76" s="8">
        <v>29</v>
      </c>
      <c r="Y76" s="8">
        <v>46.2</v>
      </c>
      <c r="Z76" s="8">
        <v>3.2</v>
      </c>
      <c r="AA76" s="8">
        <v>52.4</v>
      </c>
      <c r="AB76" s="8">
        <v>35529</v>
      </c>
      <c r="AC76" s="8">
        <f>9.85*1000</f>
        <v>9850</v>
      </c>
      <c r="AD76" s="8">
        <v>1634.82</v>
      </c>
      <c r="AE76" s="8">
        <v>15.7</v>
      </c>
      <c r="AF76" s="8">
        <v>13</v>
      </c>
      <c r="AG76" s="8"/>
      <c r="AH76" s="8">
        <v>0.2</v>
      </c>
      <c r="AI76" s="8">
        <v>31</v>
      </c>
      <c r="AJ76" s="8">
        <v>30</v>
      </c>
      <c r="AK76" s="8">
        <v>0</v>
      </c>
      <c r="AL76" s="8" t="s">
        <v>78</v>
      </c>
      <c r="AM76" s="8">
        <v>25.7</v>
      </c>
      <c r="AN76" s="17">
        <v>47.536999999999999</v>
      </c>
      <c r="AO76" s="8">
        <v>59.678969442319399</v>
      </c>
      <c r="AP76">
        <v>91.571563720703097</v>
      </c>
      <c r="AQ76" s="8">
        <v>53.3</v>
      </c>
      <c r="AR76" s="8">
        <v>30.5</v>
      </c>
      <c r="AS76" s="8">
        <v>56.3</v>
      </c>
      <c r="AT76" s="8">
        <v>1.9730000000000001</v>
      </c>
    </row>
    <row r="77" spans="1:46">
      <c r="A77" s="4" t="s">
        <v>151</v>
      </c>
      <c r="B77">
        <v>2.7605499999999999E-5</v>
      </c>
      <c r="C77" s="8">
        <v>0</v>
      </c>
      <c r="D77" s="8">
        <v>0</v>
      </c>
      <c r="E77" s="8">
        <v>0</v>
      </c>
      <c r="F77" s="8">
        <v>0</v>
      </c>
      <c r="G77" s="38">
        <v>2.7606E-5</v>
      </c>
      <c r="H77" s="17">
        <v>48</v>
      </c>
      <c r="I77" s="8">
        <v>11.2</v>
      </c>
      <c r="J77" s="8">
        <v>52.1</v>
      </c>
      <c r="K77" s="24" t="s">
        <v>78</v>
      </c>
      <c r="L77" s="24" t="s">
        <v>78</v>
      </c>
      <c r="M77" s="24" t="s">
        <v>78</v>
      </c>
      <c r="N77" s="17">
        <v>80.94</v>
      </c>
      <c r="O77" s="23">
        <v>28.87</v>
      </c>
      <c r="P77" s="8">
        <v>2.5</v>
      </c>
      <c r="Q77" s="13">
        <v>2639.92</v>
      </c>
      <c r="R77" s="8">
        <v>-590781.63</v>
      </c>
      <c r="S77" s="8">
        <v>4.5999999999999996</v>
      </c>
      <c r="T77" s="8">
        <v>62.1</v>
      </c>
      <c r="U77" s="17">
        <v>0.49299999999999999</v>
      </c>
      <c r="V77" s="18" t="s">
        <v>78</v>
      </c>
      <c r="W77" s="21">
        <v>856112</v>
      </c>
      <c r="X77" s="8">
        <v>30</v>
      </c>
      <c r="Y77" s="8">
        <v>47.4</v>
      </c>
      <c r="Z77" s="8">
        <v>11.1</v>
      </c>
      <c r="AA77" s="8">
        <v>73.099999999999994</v>
      </c>
      <c r="AB77" s="8">
        <v>6022.45</v>
      </c>
      <c r="AC77" s="8">
        <v>882.47</v>
      </c>
      <c r="AD77" s="8">
        <v>251.82</v>
      </c>
      <c r="AE77" s="8">
        <v>18.8</v>
      </c>
      <c r="AF77" s="8">
        <v>9.4</v>
      </c>
      <c r="AG77" s="8"/>
      <c r="AH77" s="24" t="s">
        <v>78</v>
      </c>
      <c r="AI77" s="8">
        <v>37</v>
      </c>
      <c r="AJ77" s="8">
        <v>27</v>
      </c>
      <c r="AK77" s="8">
        <v>9</v>
      </c>
      <c r="AL77" s="8">
        <v>15844</v>
      </c>
      <c r="AM77" s="8">
        <v>20.7</v>
      </c>
      <c r="AN77" s="17">
        <v>35.408999999999999</v>
      </c>
      <c r="AO77" s="8">
        <v>54.061256884926799</v>
      </c>
      <c r="AP77">
        <v>62.273067474365199</v>
      </c>
      <c r="AQ77" s="8">
        <v>34.6</v>
      </c>
      <c r="AR77" s="8">
        <v>14.5</v>
      </c>
      <c r="AS77" s="8">
        <v>46.5</v>
      </c>
      <c r="AT77" s="8">
        <v>1.792</v>
      </c>
    </row>
    <row r="78" spans="1:46">
      <c r="A78" s="22" t="s">
        <v>152</v>
      </c>
      <c r="B78">
        <v>8.07945307948328E-2</v>
      </c>
      <c r="C78">
        <v>2.5950204129554798E-4</v>
      </c>
      <c r="D78">
        <v>2.9965052569999899E-4</v>
      </c>
      <c r="E78">
        <v>7.3438782783726301E-4</v>
      </c>
      <c r="F78">
        <v>0</v>
      </c>
      <c r="G78" s="38">
        <v>7.9500989999999994E-2</v>
      </c>
      <c r="H78" s="17">
        <v>65</v>
      </c>
      <c r="I78" s="8">
        <v>10.7</v>
      </c>
      <c r="J78" s="8">
        <v>62.9</v>
      </c>
      <c r="K78" s="8">
        <v>45</v>
      </c>
      <c r="L78" s="8">
        <v>28</v>
      </c>
      <c r="M78" s="8">
        <v>25</v>
      </c>
      <c r="N78" s="17">
        <v>97.347999999999999</v>
      </c>
      <c r="O78" s="23">
        <v>7.58</v>
      </c>
      <c r="P78" s="8">
        <v>-0.4</v>
      </c>
      <c r="Q78" s="13">
        <v>3708.61</v>
      </c>
      <c r="R78" s="8">
        <v>-3064983.35</v>
      </c>
      <c r="S78" s="8">
        <v>12.8</v>
      </c>
      <c r="T78" s="8">
        <v>71.7</v>
      </c>
      <c r="U78" s="17">
        <v>0.56500000000000006</v>
      </c>
      <c r="V78" s="17">
        <v>3</v>
      </c>
      <c r="W78" s="21">
        <v>1724354</v>
      </c>
      <c r="X78" s="8">
        <v>33</v>
      </c>
      <c r="Y78" s="8">
        <v>67.599999999999994</v>
      </c>
      <c r="Z78" s="8">
        <v>6</v>
      </c>
      <c r="AA78" s="8">
        <v>41</v>
      </c>
      <c r="AB78" s="8">
        <v>63096.68</v>
      </c>
      <c r="AC78" s="8">
        <f>7.27*1000</f>
        <v>7270</v>
      </c>
      <c r="AD78" s="8">
        <v>1177.8399999999999</v>
      </c>
      <c r="AE78" s="8">
        <v>29.4</v>
      </c>
      <c r="AF78" s="8">
        <v>15.6</v>
      </c>
      <c r="AG78" s="8"/>
      <c r="AH78" s="8">
        <v>7.3999999999999996E-2</v>
      </c>
      <c r="AI78" s="8">
        <v>55</v>
      </c>
      <c r="AJ78" s="8">
        <v>15</v>
      </c>
      <c r="AK78" s="8">
        <v>3</v>
      </c>
      <c r="AL78" s="8">
        <v>442368</v>
      </c>
      <c r="AM78" s="8">
        <v>27.9</v>
      </c>
      <c r="AN78" s="17">
        <v>21.709</v>
      </c>
      <c r="AO78" s="8">
        <v>64.348945444094994</v>
      </c>
      <c r="AP78" s="17">
        <v>100</v>
      </c>
      <c r="AQ78" s="8">
        <v>35.700000000000003</v>
      </c>
      <c r="AR78" s="8">
        <v>43.1</v>
      </c>
      <c r="AS78" s="8">
        <v>43.6</v>
      </c>
      <c r="AT78" s="8">
        <v>2.0649999999999999</v>
      </c>
    </row>
    <row r="79" spans="1:46">
      <c r="A79" s="22" t="s">
        <v>153</v>
      </c>
      <c r="B79">
        <v>4.4780071178468104</v>
      </c>
      <c r="C79">
        <v>1.1795020713601601</v>
      </c>
      <c r="D79">
        <v>0.191815374031481</v>
      </c>
      <c r="E79">
        <v>8.1568276346365404E-2</v>
      </c>
      <c r="F79">
        <v>0.70942305699929997</v>
      </c>
      <c r="G79">
        <v>2.3156983391094998</v>
      </c>
      <c r="H79" s="17">
        <v>86</v>
      </c>
      <c r="I79" s="8">
        <v>3.5</v>
      </c>
      <c r="J79" s="8">
        <v>66.7</v>
      </c>
      <c r="K79" s="8">
        <v>100</v>
      </c>
      <c r="L79" s="8">
        <v>92</v>
      </c>
      <c r="M79" s="8">
        <v>83</v>
      </c>
      <c r="N79" s="17">
        <v>100</v>
      </c>
      <c r="O79" s="23">
        <v>0.31</v>
      </c>
      <c r="P79" s="8">
        <v>0</v>
      </c>
      <c r="Q79" s="13">
        <v>83196.08</v>
      </c>
      <c r="R79" s="8">
        <v>228572712.49000001</v>
      </c>
      <c r="S79" s="8">
        <v>14.1</v>
      </c>
      <c r="T79" s="8">
        <v>80.599999999999994</v>
      </c>
      <c r="U79" s="17">
        <v>0.84199999999999997</v>
      </c>
      <c r="V79" s="17">
        <v>1</v>
      </c>
      <c r="W79" s="21">
        <v>43967641</v>
      </c>
      <c r="X79" s="8">
        <v>87</v>
      </c>
      <c r="Y79" s="8">
        <v>90.2</v>
      </c>
      <c r="Z79" s="8">
        <v>7.2</v>
      </c>
      <c r="AA79" s="8">
        <v>68.3</v>
      </c>
      <c r="AB79" s="8">
        <v>4815479.1399999997</v>
      </c>
      <c r="AC79" s="8">
        <f>49.43*1000</f>
        <v>49430</v>
      </c>
      <c r="AD79" s="8">
        <v>73654.320000000007</v>
      </c>
      <c r="AE79" s="8">
        <v>69.900000000000006</v>
      </c>
      <c r="AF79" s="8">
        <v>17</v>
      </c>
      <c r="AG79" s="8"/>
      <c r="AH79" s="8">
        <v>0.47</v>
      </c>
      <c r="AI79" s="8">
        <v>80</v>
      </c>
      <c r="AJ79" s="8">
        <v>29.83</v>
      </c>
      <c r="AK79" s="8">
        <v>43</v>
      </c>
      <c r="AL79" s="8">
        <v>10006897</v>
      </c>
      <c r="AM79" s="8">
        <v>75.2</v>
      </c>
      <c r="AN79" s="17">
        <v>11.281000000000001</v>
      </c>
      <c r="AO79" s="8">
        <v>63.956450054532503</v>
      </c>
      <c r="AP79" s="17">
        <v>100</v>
      </c>
      <c r="AQ79" s="8">
        <v>66.8</v>
      </c>
      <c r="AR79" s="8">
        <v>69</v>
      </c>
      <c r="AS79" s="8">
        <v>47.2</v>
      </c>
      <c r="AT79" s="8">
        <v>1.462</v>
      </c>
    </row>
    <row r="80" spans="1:46">
      <c r="A80" s="22" t="s">
        <v>154</v>
      </c>
      <c r="B80">
        <v>0.55393648349332902</v>
      </c>
      <c r="C80" s="8">
        <v>0</v>
      </c>
      <c r="D80">
        <v>5.5396622781329598E-2</v>
      </c>
      <c r="E80">
        <v>0.43333210771199998</v>
      </c>
      <c r="F80" s="8">
        <v>0</v>
      </c>
      <c r="G80" s="38">
        <v>6.5207749999999995E-2</v>
      </c>
      <c r="H80" s="17">
        <v>45</v>
      </c>
      <c r="I80" s="8">
        <v>4.7</v>
      </c>
      <c r="J80" s="8">
        <v>54.6</v>
      </c>
      <c r="K80" s="8">
        <v>16</v>
      </c>
      <c r="L80" s="8">
        <v>76</v>
      </c>
      <c r="M80" s="8">
        <v>42</v>
      </c>
      <c r="N80" s="17">
        <v>85.790999999999997</v>
      </c>
      <c r="O80" s="23">
        <v>23.09</v>
      </c>
      <c r="P80" s="8">
        <v>2</v>
      </c>
      <c r="Q80" s="13">
        <v>32833.03</v>
      </c>
      <c r="R80" s="8">
        <v>-2065721.38</v>
      </c>
      <c r="S80" s="8">
        <v>8.3000000000000007</v>
      </c>
      <c r="T80" s="8">
        <v>63.8</v>
      </c>
      <c r="U80" s="17">
        <v>0.56300000000000006</v>
      </c>
      <c r="V80" s="17">
        <v>2</v>
      </c>
      <c r="W80" s="21">
        <v>14094672</v>
      </c>
      <c r="X80" s="8">
        <v>33</v>
      </c>
      <c r="Y80" s="8">
        <v>46.6</v>
      </c>
      <c r="Z80" s="8">
        <v>20.9</v>
      </c>
      <c r="AA80" s="8">
        <v>87.8</v>
      </c>
      <c r="AB80" s="8">
        <v>196050.13</v>
      </c>
      <c r="AC80" s="8">
        <f>2.13*1000</f>
        <v>2130</v>
      </c>
      <c r="AD80" s="8">
        <v>2613.8000000000002</v>
      </c>
      <c r="AE80" s="8">
        <v>26.5</v>
      </c>
      <c r="AF80" s="8">
        <v>12</v>
      </c>
      <c r="AG80" s="8"/>
      <c r="AH80" s="8">
        <v>3.5999999999999997E-2</v>
      </c>
      <c r="AI80" s="8">
        <v>43</v>
      </c>
      <c r="AJ80" s="8">
        <v>25</v>
      </c>
      <c r="AK80" s="8">
        <v>23</v>
      </c>
      <c r="AL80" s="8">
        <v>9584667</v>
      </c>
      <c r="AM80" s="8">
        <v>15.3</v>
      </c>
      <c r="AN80" s="17">
        <v>40.093000000000004</v>
      </c>
      <c r="AO80" s="8">
        <v>59.2683560151916</v>
      </c>
      <c r="AP80">
        <v>85.873550415039105</v>
      </c>
      <c r="AQ80" s="8">
        <v>34.700000000000003</v>
      </c>
      <c r="AR80" s="8">
        <v>13.6</v>
      </c>
      <c r="AS80" s="8">
        <v>23.8</v>
      </c>
      <c r="AT80" s="8">
        <v>1.7589999999999999</v>
      </c>
    </row>
    <row r="81" spans="1:46">
      <c r="A81" s="4" t="s">
        <v>155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18" t="s">
        <v>78</v>
      </c>
      <c r="I81" s="8"/>
      <c r="J81" s="8" t="s">
        <v>78</v>
      </c>
      <c r="K81" s="24" t="s">
        <v>78</v>
      </c>
      <c r="L81" s="24" t="s">
        <v>78</v>
      </c>
      <c r="M81" s="24" t="s">
        <v>78</v>
      </c>
      <c r="N81" s="18" t="s">
        <v>77</v>
      </c>
      <c r="O81" s="18" t="s">
        <v>77</v>
      </c>
      <c r="P81" s="8">
        <v>-0.1</v>
      </c>
      <c r="Q81" s="13">
        <v>32.67</v>
      </c>
      <c r="R81" s="24" t="s">
        <v>78</v>
      </c>
      <c r="S81" s="24" t="s">
        <v>78</v>
      </c>
      <c r="T81" s="24" t="s">
        <v>78</v>
      </c>
      <c r="U81" s="24" t="s">
        <v>78</v>
      </c>
      <c r="V81" s="18" t="s">
        <v>78</v>
      </c>
      <c r="W81" s="39"/>
      <c r="X81" s="18" t="s">
        <v>78</v>
      </c>
      <c r="Y81" s="18" t="s">
        <v>78</v>
      </c>
      <c r="Z81" s="24" t="s">
        <v>78</v>
      </c>
      <c r="AA81" s="24" t="s">
        <v>78</v>
      </c>
      <c r="AB81" s="24" t="s">
        <v>78</v>
      </c>
      <c r="AC81" s="24" t="s">
        <v>78</v>
      </c>
      <c r="AD81" s="24" t="s">
        <v>78</v>
      </c>
      <c r="AE81" s="24" t="s">
        <v>78</v>
      </c>
      <c r="AF81" s="24" t="s">
        <v>78</v>
      </c>
      <c r="AG81" s="8"/>
      <c r="AH81" s="24" t="s">
        <v>78</v>
      </c>
      <c r="AI81" s="24" t="s">
        <v>78</v>
      </c>
      <c r="AJ81" s="8">
        <v>12.5</v>
      </c>
      <c r="AK81" s="8">
        <v>0</v>
      </c>
      <c r="AL81" s="8" t="s">
        <v>78</v>
      </c>
      <c r="AM81" s="24" t="s">
        <v>78</v>
      </c>
      <c r="AN81" s="24" t="s">
        <v>78</v>
      </c>
      <c r="AO81" s="8">
        <v>62.466520760954403</v>
      </c>
      <c r="AP81">
        <v>100</v>
      </c>
      <c r="AQ81" s="24" t="s">
        <v>78</v>
      </c>
      <c r="AR81" s="24" t="s">
        <v>78</v>
      </c>
      <c r="AS81" s="24" t="s">
        <v>78</v>
      </c>
      <c r="AT81" s="24" t="s">
        <v>78</v>
      </c>
    </row>
    <row r="82" spans="1:46">
      <c r="A82" s="22" t="s">
        <v>156</v>
      </c>
      <c r="B82">
        <v>0.29174446270769799</v>
      </c>
      <c r="C82">
        <v>0.133967886618888</v>
      </c>
      <c r="D82">
        <v>5.84568603737E-4</v>
      </c>
      <c r="E82">
        <v>7.2452436810730098E-3</v>
      </c>
      <c r="F82" s="8">
        <v>0</v>
      </c>
      <c r="G82" s="38">
        <v>0.14994676000000001</v>
      </c>
      <c r="H82" s="17">
        <v>78</v>
      </c>
      <c r="I82" s="8">
        <v>14.8</v>
      </c>
      <c r="J82" s="8">
        <v>58.1</v>
      </c>
      <c r="K82" s="8">
        <v>43</v>
      </c>
      <c r="L82" s="8">
        <v>83</v>
      </c>
      <c r="M82" s="8">
        <v>65</v>
      </c>
      <c r="N82" s="17">
        <v>100</v>
      </c>
      <c r="O82" s="23">
        <v>0.6</v>
      </c>
      <c r="P82" s="8">
        <v>-0.5</v>
      </c>
      <c r="Q82" s="13">
        <v>10641.22</v>
      </c>
      <c r="R82" s="8">
        <v>-16011319.35</v>
      </c>
      <c r="S82" s="8">
        <v>11.4</v>
      </c>
      <c r="T82" s="8">
        <v>80.099999999999994</v>
      </c>
      <c r="U82" s="17">
        <v>0.56500000000000006</v>
      </c>
      <c r="V82" s="17">
        <v>4</v>
      </c>
      <c r="W82" s="21">
        <v>4619069</v>
      </c>
      <c r="X82" s="8">
        <v>45</v>
      </c>
      <c r="Y82" s="8">
        <v>77.7</v>
      </c>
      <c r="Z82" s="8">
        <v>3.2</v>
      </c>
      <c r="AA82" s="8">
        <v>169.8</v>
      </c>
      <c r="AB82" s="8">
        <v>333749.21000000002</v>
      </c>
      <c r="AC82" s="8">
        <f>21.37*1000</f>
        <v>21370</v>
      </c>
      <c r="AD82" s="8">
        <v>5988.25</v>
      </c>
      <c r="AE82" s="8">
        <v>40.9</v>
      </c>
      <c r="AF82" s="8">
        <v>20</v>
      </c>
      <c r="AG82" s="8"/>
      <c r="AH82" s="8">
        <v>0.19900000000000001</v>
      </c>
      <c r="AI82" s="8">
        <v>49</v>
      </c>
      <c r="AJ82" s="8">
        <v>22</v>
      </c>
      <c r="AK82" s="8">
        <v>1</v>
      </c>
      <c r="AL82" s="8" t="s">
        <v>78</v>
      </c>
      <c r="AM82" s="8">
        <v>62</v>
      </c>
      <c r="AN82" s="17">
        <v>15.387</v>
      </c>
      <c r="AO82" s="8">
        <v>63.431632116254399</v>
      </c>
      <c r="AP82">
        <v>100</v>
      </c>
      <c r="AQ82" s="8">
        <v>53.9</v>
      </c>
      <c r="AR82" s="8">
        <v>59.9</v>
      </c>
      <c r="AS82" s="8">
        <v>50.8</v>
      </c>
      <c r="AT82" s="8">
        <v>1.8380000000000001</v>
      </c>
    </row>
    <row r="83" spans="1:46">
      <c r="A83" s="4" t="s">
        <v>157</v>
      </c>
      <c r="B83">
        <v>3.5620000000000001E-3</v>
      </c>
      <c r="C83" s="8">
        <v>0</v>
      </c>
      <c r="D83" s="8">
        <v>0</v>
      </c>
      <c r="E83" s="8">
        <v>0</v>
      </c>
      <c r="F83" s="8">
        <v>0</v>
      </c>
      <c r="G83">
        <v>3.5620000000000001E-3</v>
      </c>
      <c r="H83" s="18" t="s">
        <v>78</v>
      </c>
      <c r="I83" s="18" t="s">
        <v>78</v>
      </c>
      <c r="J83" s="18" t="s">
        <v>78</v>
      </c>
      <c r="K83" s="24" t="s">
        <v>78</v>
      </c>
      <c r="L83" s="24" t="s">
        <v>78</v>
      </c>
      <c r="M83" s="24" t="s">
        <v>78</v>
      </c>
      <c r="N83" s="18" t="s">
        <v>77</v>
      </c>
      <c r="O83" s="18" t="s">
        <v>77</v>
      </c>
      <c r="P83" s="8">
        <v>0.5</v>
      </c>
      <c r="Q83" s="13">
        <v>56.65</v>
      </c>
      <c r="R83" s="24" t="s">
        <v>78</v>
      </c>
      <c r="S83" s="24" t="s">
        <v>78</v>
      </c>
      <c r="T83" s="24" t="s">
        <v>78</v>
      </c>
      <c r="U83" s="24" t="s">
        <v>78</v>
      </c>
      <c r="V83" s="18" t="s">
        <v>78</v>
      </c>
      <c r="W83" s="39"/>
      <c r="X83" s="18" t="s">
        <v>78</v>
      </c>
      <c r="Y83" s="18" t="s">
        <v>78</v>
      </c>
      <c r="Z83" s="24" t="s">
        <v>78</v>
      </c>
      <c r="AA83" s="24" t="s">
        <v>78</v>
      </c>
      <c r="AB83" s="24" t="s">
        <v>78</v>
      </c>
      <c r="AC83" s="24" t="s">
        <v>78</v>
      </c>
      <c r="AD83" s="24" t="s">
        <v>78</v>
      </c>
      <c r="AE83" s="24" t="s">
        <v>78</v>
      </c>
      <c r="AF83" s="24" t="s">
        <v>78</v>
      </c>
      <c r="AG83" s="8"/>
      <c r="AH83" s="24" t="s">
        <v>78</v>
      </c>
      <c r="AI83" s="8"/>
      <c r="AJ83" s="8">
        <v>26.5</v>
      </c>
      <c r="AK83" s="8">
        <v>0</v>
      </c>
      <c r="AL83" s="8" t="s">
        <v>78</v>
      </c>
      <c r="AM83" s="24" t="s">
        <v>78</v>
      </c>
      <c r="AN83" s="24" t="s">
        <v>78</v>
      </c>
      <c r="AO83" s="8">
        <v>69.653112387319297</v>
      </c>
      <c r="AP83">
        <v>100</v>
      </c>
      <c r="AQ83" s="24" t="s">
        <v>78</v>
      </c>
      <c r="AR83" s="24" t="s">
        <v>78</v>
      </c>
      <c r="AS83" s="24" t="s">
        <v>78</v>
      </c>
      <c r="AT83" s="24" t="s">
        <v>78</v>
      </c>
    </row>
    <row r="84" spans="1:46">
      <c r="A84" s="4" t="s">
        <v>158</v>
      </c>
      <c r="B84">
        <v>3.7401000000000003E-5</v>
      </c>
      <c r="C84" s="8">
        <v>0</v>
      </c>
      <c r="D84" s="8">
        <v>0</v>
      </c>
      <c r="E84" s="8">
        <v>0</v>
      </c>
      <c r="F84" s="8">
        <v>0</v>
      </c>
      <c r="G84" s="38">
        <v>3.7401000000000003E-5</v>
      </c>
      <c r="H84" s="17">
        <v>70</v>
      </c>
      <c r="I84" s="18" t="s">
        <v>78</v>
      </c>
      <c r="J84" s="18" t="s">
        <v>78</v>
      </c>
      <c r="K84" s="24" t="s">
        <v>78</v>
      </c>
      <c r="L84" s="24" t="s">
        <v>78</v>
      </c>
      <c r="M84" s="24" t="s">
        <v>78</v>
      </c>
      <c r="N84" s="17">
        <v>95.629000000000005</v>
      </c>
      <c r="O84" s="18" t="s">
        <v>77</v>
      </c>
      <c r="P84" s="8">
        <v>0.8</v>
      </c>
      <c r="Q84" s="13">
        <v>124.61</v>
      </c>
      <c r="R84" s="8">
        <v>-256537.23</v>
      </c>
      <c r="S84" s="8">
        <v>9</v>
      </c>
      <c r="T84" s="8">
        <v>74.900000000000006</v>
      </c>
      <c r="U84" s="17">
        <v>0.69200000000000006</v>
      </c>
      <c r="V84" s="18" t="s">
        <v>78</v>
      </c>
      <c r="W84" s="39"/>
      <c r="X84" s="18" t="s">
        <v>78</v>
      </c>
      <c r="Y84" s="18" t="s">
        <v>78</v>
      </c>
      <c r="Z84" s="8">
        <v>3.5</v>
      </c>
      <c r="AA84" s="8">
        <v>66.3</v>
      </c>
      <c r="AB84" s="8">
        <v>1873.87</v>
      </c>
      <c r="AC84" s="8">
        <f>11.16*1000</f>
        <v>11160</v>
      </c>
      <c r="AD84" s="8">
        <v>144.22999999999999</v>
      </c>
      <c r="AE84" s="24" t="s">
        <v>78</v>
      </c>
      <c r="AF84" s="8">
        <v>18.7</v>
      </c>
      <c r="AG84" s="8"/>
      <c r="AH84" s="24" t="s">
        <v>78</v>
      </c>
      <c r="AI84" s="8">
        <v>53</v>
      </c>
      <c r="AJ84" s="8">
        <v>28</v>
      </c>
      <c r="AK84" s="8">
        <v>0</v>
      </c>
      <c r="AL84" s="8" t="s">
        <v>78</v>
      </c>
      <c r="AM84" s="8">
        <v>43.5</v>
      </c>
      <c r="AN84" s="17">
        <v>21.426000000000002</v>
      </c>
      <c r="AO84" s="8">
        <v>66.084583901773499</v>
      </c>
      <c r="AP84">
        <v>93.586448669433594</v>
      </c>
      <c r="AQ84" s="8">
        <v>33.1</v>
      </c>
      <c r="AR84" s="8">
        <v>51.1</v>
      </c>
      <c r="AS84" s="8">
        <v>65.7</v>
      </c>
      <c r="AT84" s="24" t="s">
        <v>78</v>
      </c>
    </row>
    <row r="85" spans="1:46">
      <c r="A85" s="4" t="s">
        <v>159</v>
      </c>
      <c r="B85">
        <v>6.1410660999999995E-4</v>
      </c>
      <c r="C85" s="8">
        <v>0</v>
      </c>
      <c r="D85" s="8">
        <v>0</v>
      </c>
      <c r="E85" s="8">
        <v>0</v>
      </c>
      <c r="F85" s="8">
        <v>0</v>
      </c>
      <c r="G85" s="38">
        <v>6.1410999999999996E-4</v>
      </c>
      <c r="H85" s="18" t="s">
        <v>78</v>
      </c>
      <c r="I85" s="8">
        <v>7</v>
      </c>
      <c r="J85" s="18" t="s">
        <v>78</v>
      </c>
      <c r="K85" s="24" t="s">
        <v>78</v>
      </c>
      <c r="L85" s="24" t="s">
        <v>78</v>
      </c>
      <c r="M85" s="24" t="s">
        <v>78</v>
      </c>
      <c r="N85" s="18" t="s">
        <v>77</v>
      </c>
      <c r="O85" s="18" t="s">
        <v>77</v>
      </c>
      <c r="P85" s="8">
        <v>0.8</v>
      </c>
      <c r="Q85" s="13">
        <v>170.53</v>
      </c>
      <c r="R85" s="24" t="s">
        <v>78</v>
      </c>
      <c r="S85" s="24" t="s">
        <v>78</v>
      </c>
      <c r="T85" s="24" t="s">
        <v>78</v>
      </c>
      <c r="U85" s="24" t="s">
        <v>78</v>
      </c>
      <c r="V85" s="18" t="s">
        <v>78</v>
      </c>
      <c r="W85" s="21">
        <v>76154</v>
      </c>
      <c r="X85" s="18" t="s">
        <v>78</v>
      </c>
      <c r="Y85" s="18" t="s">
        <v>78</v>
      </c>
      <c r="Z85" s="24" t="s">
        <v>78</v>
      </c>
      <c r="AA85" s="24" t="s">
        <v>78</v>
      </c>
      <c r="AB85" s="24" t="s">
        <v>78</v>
      </c>
      <c r="AC85" s="24" t="s">
        <v>78</v>
      </c>
      <c r="AD85" s="24" t="s">
        <v>78</v>
      </c>
      <c r="AE85" s="24" t="s">
        <v>78</v>
      </c>
      <c r="AF85" s="24" t="s">
        <v>78</v>
      </c>
      <c r="AG85" s="8"/>
      <c r="AH85" s="24" t="s">
        <v>78</v>
      </c>
      <c r="AI85" s="24" t="s">
        <v>78</v>
      </c>
      <c r="AJ85" s="8">
        <v>21</v>
      </c>
      <c r="AK85" s="8">
        <v>0</v>
      </c>
      <c r="AL85" s="8" t="s">
        <v>78</v>
      </c>
      <c r="AM85" s="24" t="s">
        <v>78</v>
      </c>
      <c r="AN85" s="24" t="s">
        <v>78</v>
      </c>
      <c r="AO85" s="8">
        <v>62.244772303470299</v>
      </c>
      <c r="AP85">
        <v>100</v>
      </c>
      <c r="AQ85" s="24" t="s">
        <v>78</v>
      </c>
      <c r="AR85" s="24" t="s">
        <v>78</v>
      </c>
      <c r="AS85" s="24" t="s">
        <v>78</v>
      </c>
      <c r="AT85" s="24" t="s">
        <v>78</v>
      </c>
    </row>
    <row r="86" spans="1:46">
      <c r="A86" s="22" t="s">
        <v>160</v>
      </c>
      <c r="B86">
        <v>9.2653777148744607E-2</v>
      </c>
      <c r="C86" s="8">
        <v>0</v>
      </c>
      <c r="D86" s="8">
        <v>0</v>
      </c>
      <c r="E86">
        <v>1.9152519999744599E-2</v>
      </c>
      <c r="F86" s="8">
        <v>0</v>
      </c>
      <c r="G86" s="38">
        <v>7.3501259999999999E-2</v>
      </c>
      <c r="H86" s="17">
        <v>57</v>
      </c>
      <c r="I86" s="8">
        <v>3.6</v>
      </c>
      <c r="J86" s="8">
        <v>63.5</v>
      </c>
      <c r="K86" s="8">
        <v>43</v>
      </c>
      <c r="L86" s="8">
        <v>52</v>
      </c>
      <c r="M86" s="8">
        <v>13</v>
      </c>
      <c r="N86" s="17">
        <v>94.006</v>
      </c>
      <c r="O86" s="23">
        <v>19.510000000000002</v>
      </c>
      <c r="P86" s="8">
        <v>1.5</v>
      </c>
      <c r="Q86" s="13">
        <v>17109.75</v>
      </c>
      <c r="R86" s="8">
        <v>-12070301.98</v>
      </c>
      <c r="S86" s="8">
        <v>5.7</v>
      </c>
      <c r="T86" s="8">
        <v>69.2</v>
      </c>
      <c r="U86" s="17">
        <v>0.38800000000000001</v>
      </c>
      <c r="V86" s="17">
        <v>5</v>
      </c>
      <c r="W86" s="21">
        <v>6670627</v>
      </c>
      <c r="X86" s="8">
        <v>32</v>
      </c>
      <c r="Y86" s="8">
        <v>55.9</v>
      </c>
      <c r="Z86" s="8">
        <v>5.6</v>
      </c>
      <c r="AA86" s="8">
        <v>30</v>
      </c>
      <c r="AB86" s="8">
        <v>167792.34</v>
      </c>
      <c r="AC86" s="8">
        <f>5.01*1000</f>
        <v>5010</v>
      </c>
      <c r="AD86" s="8">
        <v>3492.19</v>
      </c>
      <c r="AE86" s="8">
        <v>28.4</v>
      </c>
      <c r="AF86" s="8">
        <v>10.6</v>
      </c>
      <c r="AG86" s="8"/>
      <c r="AH86" s="8">
        <v>0.26</v>
      </c>
      <c r="AI86" s="8">
        <v>25</v>
      </c>
      <c r="AJ86" s="8">
        <v>25</v>
      </c>
      <c r="AK86" s="8">
        <v>19</v>
      </c>
      <c r="AL86" s="8">
        <v>9131078</v>
      </c>
      <c r="AM86" s="8">
        <v>29.1</v>
      </c>
      <c r="AN86" s="17">
        <v>22.055</v>
      </c>
      <c r="AO86" s="8">
        <v>62.169854093340902</v>
      </c>
      <c r="AP86">
        <v>97.055267333984403</v>
      </c>
      <c r="AQ86" s="8">
        <v>29</v>
      </c>
      <c r="AR86" s="8">
        <v>20.6</v>
      </c>
      <c r="AS86" s="8">
        <v>26.7</v>
      </c>
      <c r="AT86" s="8">
        <v>2.1389999999999998</v>
      </c>
    </row>
    <row r="87" spans="1:46">
      <c r="A87" s="4" t="s">
        <v>161</v>
      </c>
      <c r="B87">
        <v>1.1674455E-2</v>
      </c>
      <c r="C87" s="8">
        <v>0</v>
      </c>
      <c r="D87" s="8">
        <v>0</v>
      </c>
      <c r="E87" s="8">
        <v>0</v>
      </c>
      <c r="F87" s="8">
        <v>0</v>
      </c>
      <c r="G87" s="38">
        <v>1.1674459999999999E-2</v>
      </c>
      <c r="H87" s="17">
        <v>37</v>
      </c>
      <c r="I87" s="8">
        <v>6.3</v>
      </c>
      <c r="J87" s="8">
        <v>50.9</v>
      </c>
      <c r="K87" s="24" t="s">
        <v>78</v>
      </c>
      <c r="L87" s="8">
        <v>11</v>
      </c>
      <c r="M87" s="8">
        <v>27</v>
      </c>
      <c r="N87" s="17">
        <v>63.962000000000003</v>
      </c>
      <c r="O87" s="23">
        <v>72.69</v>
      </c>
      <c r="P87" s="8">
        <v>2.4</v>
      </c>
      <c r="Q87" s="13">
        <v>13531.91</v>
      </c>
      <c r="R87" s="8">
        <v>4912760</v>
      </c>
      <c r="S87" s="8">
        <v>2.2000000000000002</v>
      </c>
      <c r="T87" s="8">
        <v>58.9</v>
      </c>
      <c r="U87" s="17">
        <v>0.55500000000000005</v>
      </c>
      <c r="V87" s="17">
        <v>4</v>
      </c>
      <c r="W87" s="21">
        <v>4889568</v>
      </c>
      <c r="X87" s="8">
        <v>35</v>
      </c>
      <c r="Y87" s="8">
        <v>41.7</v>
      </c>
      <c r="Z87" s="8">
        <v>12.2</v>
      </c>
      <c r="AA87" s="8">
        <v>37.200000000000003</v>
      </c>
      <c r="AB87" s="8">
        <v>39251.58</v>
      </c>
      <c r="AC87" s="8">
        <f>1.45*1000</f>
        <v>1450</v>
      </c>
      <c r="AD87" s="8">
        <v>197.61</v>
      </c>
      <c r="AE87" s="8">
        <v>25.7</v>
      </c>
      <c r="AF87" s="8">
        <v>9.8000000000000007</v>
      </c>
      <c r="AG87" s="8"/>
      <c r="AH87" s="24" t="s">
        <v>78</v>
      </c>
      <c r="AI87" s="8">
        <v>25</v>
      </c>
      <c r="AJ87" s="8">
        <v>35</v>
      </c>
      <c r="AK87" s="8">
        <v>2</v>
      </c>
      <c r="AL87" s="8">
        <v>11779</v>
      </c>
      <c r="AM87" s="8">
        <v>21</v>
      </c>
      <c r="AN87" s="17">
        <v>27.147000000000002</v>
      </c>
      <c r="AO87" s="8">
        <v>54.810789403946501</v>
      </c>
      <c r="AP87">
        <v>44.668678283691399</v>
      </c>
      <c r="AQ87" s="8">
        <v>38.700000000000003</v>
      </c>
      <c r="AR87" s="8">
        <v>18.899999999999999</v>
      </c>
      <c r="AS87" s="29">
        <v>30</v>
      </c>
      <c r="AT87" s="8">
        <v>2.3319999999999999</v>
      </c>
    </row>
    <row r="88" spans="1:46">
      <c r="A88" s="4" t="s">
        <v>162</v>
      </c>
      <c r="B88">
        <v>1.7810000000000001E-5</v>
      </c>
      <c r="C88" s="8">
        <v>0</v>
      </c>
      <c r="D88" s="8">
        <v>0</v>
      </c>
      <c r="E88" s="8">
        <v>0</v>
      </c>
      <c r="F88" s="8">
        <v>0</v>
      </c>
      <c r="G88" s="38">
        <v>1.7810000000000001E-5</v>
      </c>
      <c r="H88" s="17">
        <v>37</v>
      </c>
      <c r="I88" s="8">
        <v>6.8</v>
      </c>
      <c r="J88" s="18" t="s">
        <v>78</v>
      </c>
      <c r="K88" s="24" t="s">
        <v>78</v>
      </c>
      <c r="L88" s="24" t="s">
        <v>78</v>
      </c>
      <c r="M88" s="24" t="s">
        <v>78</v>
      </c>
      <c r="N88" s="17">
        <v>59.017000000000003</v>
      </c>
      <c r="O88" s="23">
        <v>84.22</v>
      </c>
      <c r="P88" s="8">
        <v>2.2000000000000002</v>
      </c>
      <c r="Q88" s="13">
        <v>2060.7199999999998</v>
      </c>
      <c r="R88" s="8">
        <v>-206849.94</v>
      </c>
      <c r="S88" s="8">
        <v>3.6</v>
      </c>
      <c r="T88" s="8">
        <v>59.7</v>
      </c>
      <c r="U88" s="24" t="s">
        <v>78</v>
      </c>
      <c r="V88" s="18" t="s">
        <v>78</v>
      </c>
      <c r="W88" s="21">
        <v>867488</v>
      </c>
      <c r="X88" s="18" t="s">
        <v>78</v>
      </c>
      <c r="Y88" s="18" t="s">
        <v>78</v>
      </c>
      <c r="Z88" s="8">
        <v>4</v>
      </c>
      <c r="AA88" s="8">
        <v>80.3</v>
      </c>
      <c r="AB88" s="8">
        <v>4146.0600000000004</v>
      </c>
      <c r="AC88" s="8">
        <v>873.77</v>
      </c>
      <c r="AD88" s="8">
        <v>23.82</v>
      </c>
      <c r="AE88" s="18" t="s">
        <v>78</v>
      </c>
      <c r="AF88" s="8">
        <v>10.6</v>
      </c>
      <c r="AG88" s="8"/>
      <c r="AH88" s="24" t="s">
        <v>78</v>
      </c>
      <c r="AI88" s="8">
        <v>21</v>
      </c>
      <c r="AJ88" s="8">
        <v>25</v>
      </c>
      <c r="AK88" s="8">
        <v>1</v>
      </c>
      <c r="AL88" s="8">
        <v>302043</v>
      </c>
      <c r="AM88" s="8">
        <v>19.399999999999999</v>
      </c>
      <c r="AN88" s="17">
        <v>32.238</v>
      </c>
      <c r="AO88" s="8">
        <v>56.626103193979198</v>
      </c>
      <c r="AP88">
        <v>33.3354682922363</v>
      </c>
      <c r="AQ88" s="8">
        <v>51.2</v>
      </c>
      <c r="AR88" s="8">
        <v>14.3</v>
      </c>
      <c r="AS88" s="8">
        <v>40.5</v>
      </c>
      <c r="AT88" s="8">
        <v>2.1560000000000001</v>
      </c>
    </row>
    <row r="89" spans="1:46">
      <c r="A89" s="4" t="s">
        <v>163</v>
      </c>
      <c r="B89">
        <v>8.4063200000000001E-4</v>
      </c>
      <c r="C89" s="8">
        <v>0</v>
      </c>
      <c r="D89" s="8">
        <v>0</v>
      </c>
      <c r="E89" s="8">
        <v>0</v>
      </c>
      <c r="F89" s="8">
        <v>0</v>
      </c>
      <c r="G89" s="38">
        <v>8.4062999999999998E-4</v>
      </c>
      <c r="H89" s="17">
        <v>74</v>
      </c>
      <c r="I89" s="8">
        <v>16.399999999999999</v>
      </c>
      <c r="J89" s="18" t="s">
        <v>78</v>
      </c>
      <c r="K89" s="24" t="s">
        <v>78</v>
      </c>
      <c r="L89" s="24" t="s">
        <v>78</v>
      </c>
      <c r="M89" s="24" t="s">
        <v>78</v>
      </c>
      <c r="N89" s="17">
        <v>95.555000000000007</v>
      </c>
      <c r="O89" s="23">
        <v>4.58</v>
      </c>
      <c r="P89" s="8">
        <v>0.9</v>
      </c>
      <c r="Q89" s="13">
        <v>804.57</v>
      </c>
      <c r="R89" s="8">
        <v>-1970918.94</v>
      </c>
      <c r="S89" s="8">
        <v>8.6</v>
      </c>
      <c r="T89" s="8">
        <v>65.7</v>
      </c>
      <c r="U89" s="17">
        <v>0.57400000000000007</v>
      </c>
      <c r="V89" s="18" t="s">
        <v>78</v>
      </c>
      <c r="W89" s="21">
        <v>299349</v>
      </c>
      <c r="X89" s="18" t="s">
        <v>78</v>
      </c>
      <c r="Y89" s="18" t="s">
        <v>78</v>
      </c>
      <c r="Z89" s="8">
        <v>7.6</v>
      </c>
      <c r="AA89" s="8">
        <v>20.9</v>
      </c>
      <c r="AB89" s="8">
        <v>19379.53</v>
      </c>
      <c r="AC89" s="8">
        <f>21.16*1000</f>
        <v>21160</v>
      </c>
      <c r="AD89" s="8">
        <v>1161.68</v>
      </c>
      <c r="AE89" s="18" t="s">
        <v>78</v>
      </c>
      <c r="AF89" s="8">
        <v>12.5</v>
      </c>
      <c r="AG89" s="8"/>
      <c r="AH89" s="24" t="s">
        <v>78</v>
      </c>
      <c r="AI89" s="8">
        <v>39</v>
      </c>
      <c r="AJ89" s="8">
        <v>25</v>
      </c>
      <c r="AK89" s="8">
        <v>0</v>
      </c>
      <c r="AL89" s="8" t="s">
        <v>78</v>
      </c>
      <c r="AM89" s="8">
        <v>32.1</v>
      </c>
      <c r="AN89" s="17">
        <v>21.459</v>
      </c>
      <c r="AO89" s="8">
        <v>65.122668466392497</v>
      </c>
      <c r="AP89">
        <v>92.540542602539105</v>
      </c>
      <c r="AQ89" s="8">
        <v>40.200000000000003</v>
      </c>
      <c r="AR89" s="8">
        <v>33.700000000000003</v>
      </c>
      <c r="AS89" s="29">
        <v>40</v>
      </c>
      <c r="AT89" s="8">
        <v>2.14</v>
      </c>
    </row>
    <row r="90" spans="1:46">
      <c r="A90" s="4" t="s">
        <v>164</v>
      </c>
      <c r="B90">
        <v>1.5761849999999999E-3</v>
      </c>
      <c r="C90" s="8">
        <v>0</v>
      </c>
      <c r="D90" s="8">
        <v>0</v>
      </c>
      <c r="E90" s="8">
        <v>0</v>
      </c>
      <c r="F90" s="8">
        <v>0</v>
      </c>
      <c r="G90" s="38">
        <v>1.5761900000000001E-3</v>
      </c>
      <c r="H90" s="17">
        <v>47</v>
      </c>
      <c r="I90" s="8">
        <v>15.7</v>
      </c>
      <c r="J90" s="8">
        <v>48.9</v>
      </c>
      <c r="K90" s="24" t="s">
        <v>78</v>
      </c>
      <c r="L90" s="8">
        <v>20</v>
      </c>
      <c r="M90" s="8">
        <v>6</v>
      </c>
      <c r="N90" s="17">
        <v>66.695000000000007</v>
      </c>
      <c r="O90" s="23">
        <v>45.99</v>
      </c>
      <c r="P90" s="8">
        <v>1.2</v>
      </c>
      <c r="Q90" s="13">
        <v>11447.57</v>
      </c>
      <c r="R90" s="8">
        <v>-3980565.58</v>
      </c>
      <c r="S90" s="8">
        <v>5.6</v>
      </c>
      <c r="T90" s="8">
        <v>63.2</v>
      </c>
      <c r="U90" s="17">
        <v>0.48099999999999998</v>
      </c>
      <c r="V90" s="17">
        <v>5</v>
      </c>
      <c r="W90" s="21">
        <v>5009561</v>
      </c>
      <c r="X90" s="8">
        <v>19</v>
      </c>
      <c r="Y90" s="8">
        <v>26.9</v>
      </c>
      <c r="Z90" s="8">
        <v>21.2</v>
      </c>
      <c r="AA90" s="8">
        <v>22.1</v>
      </c>
      <c r="AB90" s="8">
        <v>36095.64</v>
      </c>
      <c r="AC90" s="8">
        <f>1.79*1000</f>
        <v>1790</v>
      </c>
      <c r="AD90" s="8">
        <v>51.3</v>
      </c>
      <c r="AE90" s="8">
        <v>13.3</v>
      </c>
      <c r="AF90" s="8">
        <v>9.6999999999999993</v>
      </c>
      <c r="AG90" s="8"/>
      <c r="AH90" s="24" t="s">
        <v>78</v>
      </c>
      <c r="AI90" s="8">
        <v>20</v>
      </c>
      <c r="AJ90" s="8">
        <v>30</v>
      </c>
      <c r="AK90" s="8">
        <v>7</v>
      </c>
      <c r="AL90" s="8">
        <v>52793</v>
      </c>
      <c r="AM90" s="8">
        <v>28.2</v>
      </c>
      <c r="AN90" s="17">
        <v>15.27</v>
      </c>
      <c r="AO90" s="8">
        <v>63.1520980568014</v>
      </c>
      <c r="AP90">
        <v>46.925533294677699</v>
      </c>
      <c r="AQ90" s="8">
        <v>26.9</v>
      </c>
      <c r="AR90" s="8">
        <v>9.4</v>
      </c>
      <c r="AS90" s="8">
        <v>27.9</v>
      </c>
      <c r="AT90" s="8">
        <v>2.254</v>
      </c>
    </row>
    <row r="91" spans="1:46">
      <c r="A91" s="22" t="s">
        <v>165</v>
      </c>
      <c r="B91">
        <v>5.7134310804999998E-2</v>
      </c>
      <c r="C91" s="8">
        <v>0</v>
      </c>
      <c r="D91" s="8">
        <v>0</v>
      </c>
      <c r="E91" s="8">
        <v>0</v>
      </c>
      <c r="F91" s="8">
        <v>0</v>
      </c>
      <c r="G91" s="38">
        <v>5.7134310000000001E-2</v>
      </c>
      <c r="H91" s="17">
        <v>63</v>
      </c>
      <c r="I91" s="8">
        <v>8.5</v>
      </c>
      <c r="J91" s="8">
        <v>62.2</v>
      </c>
      <c r="K91" s="8">
        <v>37</v>
      </c>
      <c r="L91" s="8">
        <v>47</v>
      </c>
      <c r="M91" s="8">
        <v>21</v>
      </c>
      <c r="N91" s="17">
        <v>95.689000000000007</v>
      </c>
      <c r="O91" s="23">
        <v>29.51</v>
      </c>
      <c r="P91" s="8">
        <v>1.5</v>
      </c>
      <c r="Q91" s="13">
        <v>10278.34</v>
      </c>
      <c r="R91" s="8">
        <v>-6553512.6799999997</v>
      </c>
      <c r="S91" s="8">
        <v>7.1</v>
      </c>
      <c r="T91" s="8">
        <v>70.099999999999994</v>
      </c>
      <c r="U91" s="17">
        <v>0.47300000000000003</v>
      </c>
      <c r="V91" s="17">
        <v>5</v>
      </c>
      <c r="W91" s="21">
        <v>4313580</v>
      </c>
      <c r="X91" s="8">
        <v>31</v>
      </c>
      <c r="Y91" s="8">
        <v>57.4</v>
      </c>
      <c r="Z91" s="8">
        <v>8.5</v>
      </c>
      <c r="AA91" s="29">
        <v>50.23</v>
      </c>
      <c r="AB91" s="8">
        <v>62919.57</v>
      </c>
      <c r="AC91" s="8">
        <f>3.08*1000</f>
        <v>3080</v>
      </c>
      <c r="AD91" s="8">
        <v>875.94</v>
      </c>
      <c r="AE91" s="8">
        <v>33.5</v>
      </c>
      <c r="AF91" s="8">
        <v>10.1</v>
      </c>
      <c r="AG91" s="8"/>
      <c r="AH91" s="8">
        <v>0.24299999999999999</v>
      </c>
      <c r="AI91" s="8">
        <v>23</v>
      </c>
      <c r="AJ91" s="8">
        <v>25</v>
      </c>
      <c r="AK91" s="8">
        <v>40</v>
      </c>
      <c r="AL91" s="8">
        <v>3763507</v>
      </c>
      <c r="AM91" s="8">
        <v>31.3</v>
      </c>
      <c r="AN91" s="17">
        <v>18.844000000000001</v>
      </c>
      <c r="AO91" s="8">
        <v>65.228664477176807</v>
      </c>
      <c r="AP91">
        <v>93.206710815429702</v>
      </c>
      <c r="AQ91" s="8">
        <v>40.9</v>
      </c>
      <c r="AR91" s="8">
        <v>28.4</v>
      </c>
      <c r="AS91" s="8">
        <v>35</v>
      </c>
      <c r="AT91" s="8">
        <v>2.2690000000000001</v>
      </c>
    </row>
    <row r="92" spans="1:46">
      <c r="A92" s="4" t="s">
        <v>166</v>
      </c>
      <c r="B92">
        <v>1.586701E-3</v>
      </c>
      <c r="C92" s="8">
        <v>0</v>
      </c>
      <c r="D92" s="8">
        <v>0</v>
      </c>
      <c r="E92" s="8">
        <v>0</v>
      </c>
      <c r="F92" s="8">
        <v>0</v>
      </c>
      <c r="G92" s="38">
        <v>1.5866999999999999E-3</v>
      </c>
      <c r="H92" s="18" t="s">
        <v>78</v>
      </c>
      <c r="I92" s="8">
        <v>5.3</v>
      </c>
      <c r="J92" s="8">
        <v>88.4</v>
      </c>
      <c r="K92" s="8">
        <v>90</v>
      </c>
      <c r="L92" s="24" t="s">
        <v>78</v>
      </c>
      <c r="M92" s="24" t="s">
        <v>78</v>
      </c>
      <c r="N92" s="18" t="s">
        <v>77</v>
      </c>
      <c r="O92" s="18" t="s">
        <v>77</v>
      </c>
      <c r="P92" s="8">
        <v>-0.9</v>
      </c>
      <c r="Q92" s="13">
        <v>7413.1</v>
      </c>
      <c r="R92" s="8">
        <v>17800716.710000001</v>
      </c>
      <c r="S92" s="8">
        <v>12.2</v>
      </c>
      <c r="T92" s="8">
        <v>85.5</v>
      </c>
      <c r="U92" s="24" t="s">
        <v>78</v>
      </c>
      <c r="V92" s="29">
        <v>5</v>
      </c>
      <c r="W92" s="21">
        <v>3841871</v>
      </c>
      <c r="X92" s="8">
        <v>63</v>
      </c>
      <c r="Y92" s="8">
        <v>94</v>
      </c>
      <c r="Z92" s="8">
        <v>2.4</v>
      </c>
      <c r="AA92" s="8">
        <v>4.3</v>
      </c>
      <c r="AB92" s="8">
        <v>488461.72</v>
      </c>
      <c r="AC92" s="8">
        <f>52.13*1000</f>
        <v>52130</v>
      </c>
      <c r="AD92" s="8">
        <v>132041.35</v>
      </c>
      <c r="AE92" s="8">
        <v>86.4</v>
      </c>
      <c r="AF92" s="8">
        <v>17.3</v>
      </c>
      <c r="AG92" s="8"/>
      <c r="AH92" s="8">
        <v>0.16</v>
      </c>
      <c r="AI92" s="8">
        <v>76</v>
      </c>
      <c r="AJ92" s="8">
        <v>16.5</v>
      </c>
      <c r="AK92" s="8">
        <v>0</v>
      </c>
      <c r="AL92" s="8" t="s">
        <v>78</v>
      </c>
      <c r="AM92" s="24" t="s">
        <v>78</v>
      </c>
      <c r="AN92" s="24" t="s">
        <v>78</v>
      </c>
      <c r="AO92" s="8">
        <v>68.223056173205705</v>
      </c>
      <c r="AP92" s="17">
        <v>100</v>
      </c>
      <c r="AQ92" s="24" t="s">
        <v>78</v>
      </c>
      <c r="AR92" s="24" t="s">
        <v>78</v>
      </c>
      <c r="AS92" s="24" t="s">
        <v>78</v>
      </c>
      <c r="AT92" s="24" t="s">
        <v>78</v>
      </c>
    </row>
    <row r="93" spans="1:46">
      <c r="A93" s="22" t="s">
        <v>167</v>
      </c>
      <c r="B93">
        <v>0.36917729356678602</v>
      </c>
      <c r="C93">
        <v>4.5386885111648602E-2</v>
      </c>
      <c r="D93">
        <v>5.8079258322714399E-2</v>
      </c>
      <c r="E93">
        <v>4.8293236022923403E-2</v>
      </c>
      <c r="F93">
        <v>0.15502113000000001</v>
      </c>
      <c r="G93">
        <v>6.2396784109500003E-2</v>
      </c>
      <c r="H93" s="17">
        <v>73</v>
      </c>
      <c r="I93" s="8">
        <v>4.0999999999999996</v>
      </c>
      <c r="J93" s="8">
        <v>60</v>
      </c>
      <c r="K93" s="8">
        <v>60</v>
      </c>
      <c r="L93" s="8">
        <v>81</v>
      </c>
      <c r="M93" s="8">
        <v>85</v>
      </c>
      <c r="N93" s="17">
        <v>100</v>
      </c>
      <c r="O93" s="23">
        <v>0.61</v>
      </c>
      <c r="P93" s="8">
        <v>-0.4</v>
      </c>
      <c r="Q93" s="13">
        <v>9709.89</v>
      </c>
      <c r="R93" s="8">
        <v>651321.78</v>
      </c>
      <c r="S93" s="8">
        <v>12.2</v>
      </c>
      <c r="T93" s="8">
        <v>74.5</v>
      </c>
      <c r="U93" s="17">
        <v>0.66100000000000003</v>
      </c>
      <c r="V93" s="17">
        <v>4</v>
      </c>
      <c r="W93" s="21">
        <v>4910191</v>
      </c>
      <c r="X93" s="8">
        <v>47</v>
      </c>
      <c r="Y93" s="8">
        <v>80.7</v>
      </c>
      <c r="Z93" s="8">
        <v>13.3</v>
      </c>
      <c r="AA93" s="8">
        <v>73.7</v>
      </c>
      <c r="AB93" s="8">
        <v>356862.74</v>
      </c>
      <c r="AC93" s="8">
        <f>20.12*1000</f>
        <v>20120</v>
      </c>
      <c r="AD93" s="8">
        <v>30180.26</v>
      </c>
      <c r="AE93" s="8">
        <v>37.6</v>
      </c>
      <c r="AF93" s="8">
        <v>15</v>
      </c>
      <c r="AG93" s="8"/>
      <c r="AH93" s="8">
        <v>9.9000000000000005E-2</v>
      </c>
      <c r="AI93" s="8">
        <v>43</v>
      </c>
      <c r="AJ93" s="8">
        <v>9</v>
      </c>
      <c r="AK93" s="8">
        <v>0</v>
      </c>
      <c r="AL93" s="8" t="s">
        <v>78</v>
      </c>
      <c r="AM93" s="8">
        <v>38.200000000000003</v>
      </c>
      <c r="AN93" s="17">
        <v>15.141</v>
      </c>
      <c r="AO93" s="8">
        <v>65.0266545524278</v>
      </c>
      <c r="AP93" s="17">
        <v>100</v>
      </c>
      <c r="AQ93" s="8">
        <v>65</v>
      </c>
      <c r="AR93" s="8">
        <v>43.4</v>
      </c>
      <c r="AS93" s="8">
        <v>48.1</v>
      </c>
      <c r="AT93" s="8">
        <v>1.411</v>
      </c>
    </row>
    <row r="94" spans="1:46">
      <c r="A94" s="4" t="s">
        <v>168</v>
      </c>
      <c r="B94">
        <v>0.17023806046000001</v>
      </c>
      <c r="C94" s="8">
        <v>0</v>
      </c>
      <c r="D94" s="8">
        <v>0</v>
      </c>
      <c r="E94" s="8">
        <v>0</v>
      </c>
      <c r="F94" s="8">
        <v>0</v>
      </c>
      <c r="G94" s="38">
        <v>0.17023806</v>
      </c>
      <c r="H94" s="17">
        <v>87</v>
      </c>
      <c r="I94" s="8">
        <v>5.4</v>
      </c>
      <c r="J94" s="8">
        <v>59.1</v>
      </c>
      <c r="K94" s="8">
        <v>75</v>
      </c>
      <c r="L94" s="24" t="s">
        <v>78</v>
      </c>
      <c r="M94" s="24" t="s">
        <v>78</v>
      </c>
      <c r="N94" s="17">
        <v>100</v>
      </c>
      <c r="O94" s="23">
        <v>0.11</v>
      </c>
      <c r="P94" s="8">
        <v>1.6</v>
      </c>
      <c r="Q94" s="13">
        <v>372.52</v>
      </c>
      <c r="R94" s="8">
        <v>-458616.72</v>
      </c>
      <c r="S94" s="8">
        <v>13.8</v>
      </c>
      <c r="T94" s="8">
        <v>82.7</v>
      </c>
      <c r="U94" s="24" t="s">
        <v>78</v>
      </c>
      <c r="V94" s="29">
        <v>1</v>
      </c>
      <c r="W94" s="21">
        <v>200266</v>
      </c>
      <c r="X94" s="8">
        <v>65</v>
      </c>
      <c r="Y94" s="8">
        <v>76.400000000000006</v>
      </c>
      <c r="Z94" s="8">
        <v>6.7</v>
      </c>
      <c r="AA94" s="8">
        <v>63.1</v>
      </c>
      <c r="AB94" s="8">
        <v>21461.47</v>
      </c>
      <c r="AC94" s="8">
        <f>77.96*1000</f>
        <v>77960</v>
      </c>
      <c r="AD94" s="8">
        <v>45.24</v>
      </c>
      <c r="AE94" s="8">
        <v>54.5</v>
      </c>
      <c r="AF94" s="8">
        <v>19.2</v>
      </c>
      <c r="AG94" s="8"/>
      <c r="AH94" s="8">
        <v>0.13800000000000001</v>
      </c>
      <c r="AI94" s="8">
        <v>74</v>
      </c>
      <c r="AJ94" s="8">
        <v>20</v>
      </c>
      <c r="AK94" s="8">
        <v>0</v>
      </c>
      <c r="AL94" s="8" t="s">
        <v>78</v>
      </c>
      <c r="AM94" s="8">
        <v>96</v>
      </c>
      <c r="AN94" s="17">
        <v>6.1219999999999999</v>
      </c>
      <c r="AO94" s="8">
        <v>66.445785572522198</v>
      </c>
      <c r="AP94" s="17">
        <v>100</v>
      </c>
      <c r="AQ94" s="8">
        <v>53.4</v>
      </c>
      <c r="AR94" s="8">
        <v>73.900000000000006</v>
      </c>
      <c r="AS94" s="8">
        <v>56.4</v>
      </c>
      <c r="AT94" s="8">
        <v>1.107</v>
      </c>
    </row>
    <row r="95" spans="1:46">
      <c r="A95" s="22" t="s">
        <v>169</v>
      </c>
      <c r="B95">
        <v>18.322181169577799</v>
      </c>
      <c r="C95">
        <v>12.3361856314328</v>
      </c>
      <c r="D95">
        <v>1.1580820617900001</v>
      </c>
      <c r="E95">
        <v>1.6187339493353201</v>
      </c>
      <c r="F95">
        <v>0.45678104000000003</v>
      </c>
      <c r="G95">
        <v>2.7523984870196299</v>
      </c>
      <c r="H95" s="17">
        <v>61</v>
      </c>
      <c r="I95" s="8">
        <v>6</v>
      </c>
      <c r="J95" s="8">
        <v>43.9</v>
      </c>
      <c r="K95" s="8">
        <v>56</v>
      </c>
      <c r="L95" s="8">
        <v>88</v>
      </c>
      <c r="M95" s="8">
        <v>85</v>
      </c>
      <c r="N95" s="17">
        <v>90.49</v>
      </c>
      <c r="O95" s="23">
        <v>35.700000000000003</v>
      </c>
      <c r="P95" s="8">
        <v>0.8</v>
      </c>
      <c r="Q95" s="13">
        <v>1407563.84</v>
      </c>
      <c r="R95" s="8">
        <v>-74039374.430000007</v>
      </c>
      <c r="S95" s="8">
        <v>6.7</v>
      </c>
      <c r="T95" s="8">
        <v>67.2</v>
      </c>
      <c r="U95" s="17">
        <v>0.49299999999999999</v>
      </c>
      <c r="V95" s="17">
        <v>5</v>
      </c>
      <c r="W95" s="21">
        <v>476670190</v>
      </c>
      <c r="X95" s="8">
        <v>51</v>
      </c>
      <c r="Y95" s="8">
        <v>68.099999999999994</v>
      </c>
      <c r="Z95" s="8">
        <v>5.0999999999999996</v>
      </c>
      <c r="AA95" s="8">
        <v>83.8</v>
      </c>
      <c r="AB95" s="8">
        <v>10193555.15</v>
      </c>
      <c r="AC95" s="8">
        <f>2.69*1000</f>
        <v>2690</v>
      </c>
      <c r="AD95" s="8">
        <v>44727.28</v>
      </c>
      <c r="AE95" s="8">
        <v>58.6</v>
      </c>
      <c r="AF95" s="8">
        <v>11.9</v>
      </c>
      <c r="AG95" s="8"/>
      <c r="AH95" s="8">
        <v>7.1999999999999995E-2</v>
      </c>
      <c r="AI95" s="8">
        <v>40</v>
      </c>
      <c r="AJ95" s="8">
        <v>30</v>
      </c>
      <c r="AK95" s="8">
        <v>1360</v>
      </c>
      <c r="AL95" s="8">
        <v>277495915</v>
      </c>
      <c r="AM95" s="8">
        <v>7.8</v>
      </c>
      <c r="AN95" s="17">
        <v>90.619</v>
      </c>
      <c r="AO95" s="8">
        <v>67.509944390856305</v>
      </c>
      <c r="AP95" s="17">
        <v>99</v>
      </c>
      <c r="AQ95" s="8">
        <v>19.3</v>
      </c>
      <c r="AR95" s="8">
        <v>12.9</v>
      </c>
      <c r="AS95" s="8">
        <v>21.7</v>
      </c>
      <c r="AT95" s="8">
        <v>2.5779999999999998</v>
      </c>
    </row>
    <row r="96" spans="1:46">
      <c r="A96" s="22" t="s">
        <v>170</v>
      </c>
      <c r="B96">
        <v>17.051618358495102</v>
      </c>
      <c r="C96">
        <v>12.177612709251701</v>
      </c>
      <c r="D96">
        <v>2.5821780324799999</v>
      </c>
      <c r="E96">
        <v>1.5943754167634501</v>
      </c>
      <c r="F96" s="31">
        <v>0</v>
      </c>
      <c r="G96">
        <v>0.69745219999999997</v>
      </c>
      <c r="H96" s="17">
        <v>59</v>
      </c>
      <c r="I96" s="8">
        <v>4.4000000000000004</v>
      </c>
      <c r="J96" s="8">
        <v>59.5</v>
      </c>
      <c r="K96" s="8">
        <v>60</v>
      </c>
      <c r="L96" s="8">
        <v>53</v>
      </c>
      <c r="M96" s="8">
        <v>32</v>
      </c>
      <c r="N96" s="17">
        <v>92.415000000000006</v>
      </c>
      <c r="O96" s="23">
        <v>19</v>
      </c>
      <c r="P96" s="8">
        <v>0.7</v>
      </c>
      <c r="Q96" s="8">
        <v>273753.19</v>
      </c>
      <c r="R96" s="8">
        <v>29155290.960000001</v>
      </c>
      <c r="S96" s="8">
        <v>8.6</v>
      </c>
      <c r="T96" s="8">
        <v>67.599999999999994</v>
      </c>
      <c r="U96" s="17">
        <v>0.63600000000000001</v>
      </c>
      <c r="V96" s="17">
        <v>5</v>
      </c>
      <c r="W96" s="17">
        <v>139164551</v>
      </c>
      <c r="X96" s="8">
        <v>38</v>
      </c>
      <c r="Y96" s="8">
        <v>68</v>
      </c>
      <c r="Z96" s="8">
        <v>5.5</v>
      </c>
      <c r="AA96" s="8">
        <v>40.4</v>
      </c>
      <c r="AB96" s="34">
        <v>3566265.11</v>
      </c>
      <c r="AC96" s="8">
        <f>5.01*1000</f>
        <v>5010</v>
      </c>
      <c r="AD96" s="34">
        <v>21166.73</v>
      </c>
      <c r="AE96" s="8">
        <v>43.3</v>
      </c>
      <c r="AF96" s="8">
        <v>13.7</v>
      </c>
      <c r="AG96" s="8">
        <v>-103</v>
      </c>
      <c r="AH96" s="8">
        <v>9.2999999999999999E-2</v>
      </c>
      <c r="AI96" s="8">
        <v>38</v>
      </c>
      <c r="AJ96" s="8">
        <v>22</v>
      </c>
      <c r="AK96" s="8">
        <v>47</v>
      </c>
      <c r="AL96" s="8">
        <v>91325604</v>
      </c>
      <c r="AM96" s="8">
        <v>21.5</v>
      </c>
      <c r="AN96" s="17">
        <v>16.173000000000002</v>
      </c>
      <c r="AO96" s="8">
        <v>67.743882846647793</v>
      </c>
      <c r="AP96" s="17">
        <v>96.9</v>
      </c>
      <c r="AQ96" s="8">
        <v>34.1</v>
      </c>
      <c r="AR96" s="8">
        <v>29.5</v>
      </c>
      <c r="AS96" s="8">
        <v>23.2</v>
      </c>
      <c r="AT96" s="8">
        <v>1.8</v>
      </c>
    </row>
    <row r="97" spans="1:46">
      <c r="A97" s="27" t="s">
        <v>171</v>
      </c>
      <c r="B97">
        <v>15.933152963184201</v>
      </c>
      <c r="C97">
        <v>4.2293513448585E-2</v>
      </c>
      <c r="D97">
        <v>8.8338607843200005</v>
      </c>
      <c r="E97">
        <v>6.8461647819206402</v>
      </c>
      <c r="F97">
        <v>6.0648573999999997E-2</v>
      </c>
      <c r="G97">
        <v>0.150185309495</v>
      </c>
      <c r="H97" s="17">
        <v>77</v>
      </c>
      <c r="I97" s="8">
        <v>11.5</v>
      </c>
      <c r="J97" s="8">
        <v>39.799999999999997</v>
      </c>
      <c r="K97" s="24" t="s">
        <v>78</v>
      </c>
      <c r="L97" s="8">
        <v>82</v>
      </c>
      <c r="M97" s="8">
        <v>69</v>
      </c>
      <c r="N97" s="17">
        <v>97.483000000000004</v>
      </c>
      <c r="O97" s="23">
        <v>2.61</v>
      </c>
      <c r="P97" s="8">
        <v>0.7</v>
      </c>
      <c r="Q97" s="13">
        <v>87923.43</v>
      </c>
      <c r="R97" s="8">
        <v>12224000</v>
      </c>
      <c r="S97" s="26">
        <v>10.6</v>
      </c>
      <c r="T97" s="26">
        <v>73.900000000000006</v>
      </c>
      <c r="U97" s="17">
        <v>0.23800000000000002</v>
      </c>
      <c r="V97" s="17">
        <v>5</v>
      </c>
      <c r="W97" s="21">
        <v>27682072</v>
      </c>
      <c r="X97" s="8">
        <v>38</v>
      </c>
      <c r="Y97" s="8">
        <v>64.8</v>
      </c>
      <c r="Z97" s="8">
        <v>40</v>
      </c>
      <c r="AA97" s="8">
        <v>31.9</v>
      </c>
      <c r="AB97" s="8">
        <v>1449336.48</v>
      </c>
      <c r="AC97" s="8">
        <f>23.62*1000</f>
        <v>23620</v>
      </c>
      <c r="AD97" s="8">
        <v>1425</v>
      </c>
      <c r="AE97" s="8">
        <v>32.799999999999997</v>
      </c>
      <c r="AF97" s="26">
        <v>14.6</v>
      </c>
      <c r="AG97" s="26"/>
      <c r="AH97" s="26">
        <v>5.0000000000000001E-3</v>
      </c>
      <c r="AI97" s="26">
        <v>25</v>
      </c>
      <c r="AJ97" s="8">
        <v>25</v>
      </c>
      <c r="AK97" s="8">
        <v>0</v>
      </c>
      <c r="AL97" s="8" t="s">
        <v>78</v>
      </c>
      <c r="AM97" s="8">
        <v>41.6</v>
      </c>
      <c r="AN97" s="17">
        <v>39.204000000000001</v>
      </c>
      <c r="AO97" s="8">
        <v>68.813819910863899</v>
      </c>
      <c r="AP97" s="17">
        <v>100</v>
      </c>
      <c r="AQ97" s="8">
        <v>40.6</v>
      </c>
      <c r="AR97" s="8">
        <v>28.7</v>
      </c>
      <c r="AS97" s="8">
        <v>24</v>
      </c>
      <c r="AT97" s="8">
        <v>2.6869999999999998</v>
      </c>
    </row>
    <row r="98" spans="1:46">
      <c r="A98" s="27" t="s">
        <v>172</v>
      </c>
      <c r="B98">
        <v>10.590093764038601</v>
      </c>
      <c r="C98" s="26">
        <v>0</v>
      </c>
      <c r="D98">
        <v>0.39602610097499802</v>
      </c>
      <c r="E98">
        <v>10.146512612143599</v>
      </c>
      <c r="F98" s="26">
        <v>0</v>
      </c>
      <c r="G98" s="38">
        <v>4.7555050000000001E-2</v>
      </c>
      <c r="H98" s="17">
        <v>55</v>
      </c>
      <c r="I98" s="8">
        <v>14.2</v>
      </c>
      <c r="J98" s="18" t="s">
        <v>78</v>
      </c>
      <c r="K98" s="8">
        <v>23</v>
      </c>
      <c r="L98" s="24" t="s">
        <v>78</v>
      </c>
      <c r="M98" s="24" t="s">
        <v>78</v>
      </c>
      <c r="N98" s="17">
        <v>98.36</v>
      </c>
      <c r="O98" s="23">
        <v>26.64</v>
      </c>
      <c r="P98" s="8">
        <v>2.2999999999999998</v>
      </c>
      <c r="Q98" s="13">
        <v>43533.59</v>
      </c>
      <c r="R98" s="8">
        <v>27553600</v>
      </c>
      <c r="S98" s="26">
        <v>7.9</v>
      </c>
      <c r="T98" s="26">
        <v>70.400000000000006</v>
      </c>
      <c r="U98" s="24" t="s">
        <v>78</v>
      </c>
      <c r="V98" s="29">
        <v>5</v>
      </c>
      <c r="W98" s="21">
        <v>11183659</v>
      </c>
      <c r="X98" s="28" t="s">
        <v>78</v>
      </c>
      <c r="Y98" s="28" t="s">
        <v>78</v>
      </c>
      <c r="Z98" s="8">
        <v>4.5</v>
      </c>
      <c r="AA98" s="8">
        <v>34.799999999999997</v>
      </c>
      <c r="AB98" s="8">
        <v>428633.55</v>
      </c>
      <c r="AC98" s="8">
        <f>6.32*1000</f>
        <v>6320</v>
      </c>
      <c r="AD98" s="8">
        <v>-2613</v>
      </c>
      <c r="AE98" s="28" t="s">
        <v>78</v>
      </c>
      <c r="AF98" s="26">
        <v>12.1</v>
      </c>
      <c r="AG98" s="26"/>
      <c r="AH98" s="26">
        <v>1.2999999999999999E-2</v>
      </c>
      <c r="AI98" s="26">
        <v>23</v>
      </c>
      <c r="AJ98" s="8">
        <v>15</v>
      </c>
      <c r="AK98" s="8">
        <v>1</v>
      </c>
      <c r="AL98" s="26">
        <v>815</v>
      </c>
      <c r="AM98" s="8">
        <v>31.8</v>
      </c>
      <c r="AN98" s="17">
        <v>61.887999999999998</v>
      </c>
      <c r="AO98" s="8">
        <v>58.469263707101597</v>
      </c>
      <c r="AP98" s="17">
        <v>100</v>
      </c>
      <c r="AQ98" s="8">
        <v>41.6</v>
      </c>
      <c r="AR98" s="8">
        <v>21.1</v>
      </c>
      <c r="AS98" s="8">
        <v>8.8000000000000007</v>
      </c>
      <c r="AT98" s="8">
        <v>3.157</v>
      </c>
    </row>
    <row r="99" spans="1:46">
      <c r="A99" s="22" t="s">
        <v>173</v>
      </c>
      <c r="B99">
        <v>0.201538061495664</v>
      </c>
      <c r="C99" s="8">
        <v>0</v>
      </c>
      <c r="D99">
        <v>9.5003461320664603E-2</v>
      </c>
      <c r="E99" s="8">
        <v>0</v>
      </c>
      <c r="F99" s="8">
        <v>0</v>
      </c>
      <c r="G99" s="38">
        <v>0.10653459999999999</v>
      </c>
      <c r="H99" s="17">
        <v>83</v>
      </c>
      <c r="I99" s="8">
        <v>6.6</v>
      </c>
      <c r="J99" s="8">
        <v>62.6</v>
      </c>
      <c r="K99" s="8">
        <v>81</v>
      </c>
      <c r="L99" s="8">
        <v>88</v>
      </c>
      <c r="M99" s="8">
        <v>80</v>
      </c>
      <c r="N99" s="17">
        <v>97.4</v>
      </c>
      <c r="O99" s="23">
        <v>0.14000000000000001</v>
      </c>
      <c r="P99" s="8">
        <v>1</v>
      </c>
      <c r="Q99" s="13">
        <v>5033.16</v>
      </c>
      <c r="R99" s="8">
        <v>199483446.06</v>
      </c>
      <c r="S99" s="8">
        <v>11.6</v>
      </c>
      <c r="T99" s="8">
        <v>82</v>
      </c>
      <c r="U99" s="17">
        <v>0.82200000000000006</v>
      </c>
      <c r="V99" s="17">
        <v>1</v>
      </c>
      <c r="W99" s="21">
        <v>2517621</v>
      </c>
      <c r="X99" s="8">
        <v>66</v>
      </c>
      <c r="Y99" s="8">
        <v>77</v>
      </c>
      <c r="Z99" s="8">
        <v>6.5</v>
      </c>
      <c r="AA99" s="8">
        <v>42.8</v>
      </c>
      <c r="AB99" s="8">
        <v>535284.01</v>
      </c>
      <c r="AC99" s="8">
        <f>107*1000</f>
        <v>107000</v>
      </c>
      <c r="AD99" s="8">
        <v>96866.65</v>
      </c>
      <c r="AE99" s="8">
        <v>56.7</v>
      </c>
      <c r="AF99" s="8">
        <v>18.899999999999999</v>
      </c>
      <c r="AG99" s="8"/>
      <c r="AH99" s="8">
        <v>0.30099999999999999</v>
      </c>
      <c r="AI99" s="8">
        <v>74</v>
      </c>
      <c r="AJ99" s="8">
        <v>12.5</v>
      </c>
      <c r="AK99" s="8">
        <v>0</v>
      </c>
      <c r="AL99" s="8" t="s">
        <v>78</v>
      </c>
      <c r="AM99" s="8">
        <v>89.1</v>
      </c>
      <c r="AN99" s="17">
        <v>7.7650000000000006</v>
      </c>
      <c r="AO99" s="8">
        <v>65.257766629513199</v>
      </c>
      <c r="AP99" s="17">
        <v>100</v>
      </c>
      <c r="AQ99" s="8">
        <v>50.9</v>
      </c>
      <c r="AR99" s="8">
        <v>67.900000000000006</v>
      </c>
      <c r="AS99" s="8">
        <v>48.2</v>
      </c>
      <c r="AT99" s="8">
        <v>1.288</v>
      </c>
    </row>
    <row r="100" spans="1:46">
      <c r="A100" s="4" t="s">
        <v>174</v>
      </c>
      <c r="B100" s="18" t="s">
        <v>78</v>
      </c>
      <c r="C100" s="18" t="s">
        <v>78</v>
      </c>
      <c r="D100" s="18" t="s">
        <v>78</v>
      </c>
      <c r="E100" s="18" t="s">
        <v>78</v>
      </c>
      <c r="F100" s="18" t="s">
        <v>78</v>
      </c>
      <c r="G100" s="18" t="s">
        <v>78</v>
      </c>
      <c r="H100" s="18" t="s">
        <v>78</v>
      </c>
      <c r="I100" s="18" t="s">
        <v>78</v>
      </c>
      <c r="J100" s="18" t="s">
        <v>78</v>
      </c>
      <c r="K100" s="24">
        <v>87</v>
      </c>
      <c r="L100" s="24" t="s">
        <v>78</v>
      </c>
      <c r="M100" s="24" t="s">
        <v>78</v>
      </c>
      <c r="N100" s="18" t="s">
        <v>77</v>
      </c>
      <c r="O100" s="18" t="s">
        <v>77</v>
      </c>
      <c r="P100" s="8">
        <v>0.3</v>
      </c>
      <c r="Q100" s="13">
        <v>84.26</v>
      </c>
      <c r="R100" s="24" t="s">
        <v>78</v>
      </c>
      <c r="S100" s="24" t="s">
        <v>78</v>
      </c>
      <c r="T100" s="24" t="s">
        <v>78</v>
      </c>
      <c r="U100" s="24" t="s">
        <v>78</v>
      </c>
      <c r="V100" s="18" t="s">
        <v>78</v>
      </c>
      <c r="W100" s="18" t="s">
        <v>78</v>
      </c>
      <c r="X100" s="18" t="s">
        <v>78</v>
      </c>
      <c r="Y100" s="18" t="s">
        <v>78</v>
      </c>
      <c r="Z100" s="24" t="s">
        <v>78</v>
      </c>
      <c r="AA100" s="24" t="s">
        <v>78</v>
      </c>
      <c r="AB100" s="24" t="s">
        <v>78</v>
      </c>
      <c r="AC100" s="24" t="s">
        <v>78</v>
      </c>
      <c r="AD100" s="24" t="s">
        <v>78</v>
      </c>
      <c r="AE100" s="28" t="s">
        <v>78</v>
      </c>
      <c r="AF100" s="24" t="s">
        <v>78</v>
      </c>
      <c r="AG100" s="8"/>
      <c r="AH100" s="24" t="s">
        <v>78</v>
      </c>
      <c r="AI100" s="24" t="s">
        <v>78</v>
      </c>
      <c r="AJ100" s="8">
        <v>0</v>
      </c>
      <c r="AK100" s="8">
        <v>0</v>
      </c>
      <c r="AL100" s="8" t="s">
        <v>78</v>
      </c>
      <c r="AM100" s="24" t="s">
        <v>78</v>
      </c>
      <c r="AN100" s="24" t="s">
        <v>78</v>
      </c>
      <c r="AO100" s="8">
        <v>63.059331739127899</v>
      </c>
      <c r="AP100" s="17">
        <v>100</v>
      </c>
      <c r="AQ100" s="24" t="s">
        <v>78</v>
      </c>
      <c r="AR100" s="24" t="s">
        <v>78</v>
      </c>
      <c r="AS100" s="24" t="s">
        <v>78</v>
      </c>
      <c r="AT100" s="24" t="s">
        <v>78</v>
      </c>
    </row>
    <row r="101" spans="1:46">
      <c r="A101" s="22" t="s">
        <v>175</v>
      </c>
      <c r="B101">
        <v>0.40001327517332103</v>
      </c>
      <c r="C101" s="8">
        <v>0</v>
      </c>
      <c r="D101">
        <v>0.37401779917332101</v>
      </c>
      <c r="E101" s="8">
        <v>0</v>
      </c>
      <c r="F101" s="8">
        <v>0</v>
      </c>
      <c r="G101" s="38">
        <v>2.5995480000000001E-2</v>
      </c>
      <c r="H101" s="17">
        <v>84</v>
      </c>
      <c r="I101" s="8">
        <v>5</v>
      </c>
      <c r="J101" s="8">
        <v>66.5</v>
      </c>
      <c r="K101" s="8">
        <v>81</v>
      </c>
      <c r="L101" s="8">
        <v>77</v>
      </c>
      <c r="M101" s="8">
        <v>85</v>
      </c>
      <c r="N101" s="17">
        <v>100</v>
      </c>
      <c r="O101" s="23">
        <v>0.61</v>
      </c>
      <c r="P101" s="8">
        <v>1.6</v>
      </c>
      <c r="Q101" s="13">
        <v>9364</v>
      </c>
      <c r="R101" s="8">
        <v>19305400</v>
      </c>
      <c r="S101" s="8">
        <v>13.3</v>
      </c>
      <c r="T101" s="8">
        <v>82.3</v>
      </c>
      <c r="U101" s="24" t="s">
        <v>78</v>
      </c>
      <c r="V101" s="29">
        <v>2</v>
      </c>
      <c r="W101" s="21">
        <v>4186239</v>
      </c>
      <c r="X101" s="8">
        <v>74</v>
      </c>
      <c r="Y101" s="8">
        <v>83</v>
      </c>
      <c r="Z101" s="8">
        <v>3.6</v>
      </c>
      <c r="AA101" s="8">
        <v>57.6</v>
      </c>
      <c r="AB101" s="8">
        <v>409409.28000000003</v>
      </c>
      <c r="AC101" s="8">
        <f>58.27*1000</f>
        <v>58270</v>
      </c>
      <c r="AD101" s="8">
        <v>21543.8</v>
      </c>
      <c r="AE101" s="8">
        <v>69.8</v>
      </c>
      <c r="AF101" s="8">
        <v>16.100000000000001</v>
      </c>
      <c r="AG101" s="8"/>
      <c r="AH101" s="8">
        <v>0.16500000000000001</v>
      </c>
      <c r="AI101" s="8">
        <v>59</v>
      </c>
      <c r="AJ101" s="8">
        <v>23</v>
      </c>
      <c r="AK101" s="8">
        <v>2</v>
      </c>
      <c r="AL101" s="8">
        <v>16574</v>
      </c>
      <c r="AM101" s="8">
        <v>68</v>
      </c>
      <c r="AN101" s="17">
        <v>18.459</v>
      </c>
      <c r="AO101" s="8">
        <v>59.9000130223856</v>
      </c>
      <c r="AP101" s="17">
        <v>100</v>
      </c>
      <c r="AQ101" s="8">
        <v>42.5</v>
      </c>
      <c r="AR101" s="8">
        <v>62.7</v>
      </c>
      <c r="AS101" s="8">
        <v>39.9</v>
      </c>
      <c r="AT101" s="8">
        <v>2.5760000000000001</v>
      </c>
    </row>
    <row r="102" spans="1:46">
      <c r="A102" s="22" t="s">
        <v>176</v>
      </c>
      <c r="B102">
        <v>1.25093741080749</v>
      </c>
      <c r="C102" s="8">
        <v>0</v>
      </c>
      <c r="D102">
        <v>0.17344099156899101</v>
      </c>
      <c r="E102">
        <v>0.17454529329950599</v>
      </c>
      <c r="F102" s="8">
        <v>0</v>
      </c>
      <c r="G102" s="38">
        <v>0.90295113000000005</v>
      </c>
      <c r="H102" s="17">
        <v>83</v>
      </c>
      <c r="I102" s="8">
        <v>9.8000000000000007</v>
      </c>
      <c r="J102" s="8">
        <v>61.5</v>
      </c>
      <c r="K102" s="8">
        <v>62</v>
      </c>
      <c r="L102" s="8">
        <v>82</v>
      </c>
      <c r="M102" s="8">
        <v>80</v>
      </c>
      <c r="N102" s="17">
        <v>99.917000000000002</v>
      </c>
      <c r="O102" s="23">
        <v>1.27</v>
      </c>
      <c r="P102" s="8">
        <v>-0.6</v>
      </c>
      <c r="Q102" s="13">
        <v>59109.67</v>
      </c>
      <c r="R102" s="8">
        <v>50016282.149999999</v>
      </c>
      <c r="S102" s="8">
        <v>10.7</v>
      </c>
      <c r="T102" s="8">
        <v>82.9</v>
      </c>
      <c r="U102" s="17">
        <v>0.57300000000000006</v>
      </c>
      <c r="V102" s="17">
        <v>1</v>
      </c>
      <c r="W102" s="21">
        <v>25011706</v>
      </c>
      <c r="X102" s="8">
        <v>66</v>
      </c>
      <c r="Y102" s="8">
        <v>84.1</v>
      </c>
      <c r="Z102" s="8">
        <v>5.2</v>
      </c>
      <c r="AA102" s="8">
        <v>147.1</v>
      </c>
      <c r="AB102" s="8">
        <v>2713265.91</v>
      </c>
      <c r="AC102" s="8">
        <f>33.66*1000</f>
        <v>33660</v>
      </c>
      <c r="AD102" s="8">
        <v>14329.3</v>
      </c>
      <c r="AE102" s="8">
        <v>57.5</v>
      </c>
      <c r="AF102" s="8">
        <v>16.2</v>
      </c>
      <c r="AG102" s="8"/>
      <c r="AH102" s="8">
        <v>0.32700000000000001</v>
      </c>
      <c r="AI102" s="8">
        <v>56</v>
      </c>
      <c r="AJ102" s="8">
        <v>27.81</v>
      </c>
      <c r="AK102" s="8">
        <v>3</v>
      </c>
      <c r="AL102" s="8" t="s">
        <v>78</v>
      </c>
      <c r="AM102" s="8">
        <v>69.400000000000006</v>
      </c>
      <c r="AN102" s="17">
        <v>15.818</v>
      </c>
      <c r="AO102" s="8">
        <v>63.667783110490603</v>
      </c>
      <c r="AP102" s="17">
        <v>100</v>
      </c>
      <c r="AQ102" s="8">
        <v>57.2</v>
      </c>
      <c r="AR102" s="8">
        <v>60.6</v>
      </c>
      <c r="AS102" s="8">
        <v>48.2</v>
      </c>
      <c r="AT102" s="8">
        <v>1.643</v>
      </c>
    </row>
    <row r="103" spans="1:46">
      <c r="A103" s="4" t="s">
        <v>177</v>
      </c>
      <c r="B103" s="18" t="s">
        <v>78</v>
      </c>
      <c r="C103" s="18" t="s">
        <v>78</v>
      </c>
      <c r="D103" s="18" t="s">
        <v>78</v>
      </c>
      <c r="E103" s="18" t="s">
        <v>78</v>
      </c>
      <c r="F103" s="18" t="s">
        <v>78</v>
      </c>
      <c r="G103" s="18" t="s">
        <v>78</v>
      </c>
      <c r="H103" s="18" t="s">
        <v>78</v>
      </c>
      <c r="I103" s="18" t="s">
        <v>78</v>
      </c>
      <c r="J103" s="18" t="s">
        <v>78</v>
      </c>
      <c r="K103" s="8">
        <v>40</v>
      </c>
      <c r="L103" s="24" t="s">
        <v>78</v>
      </c>
      <c r="M103" s="24" t="s">
        <v>78</v>
      </c>
      <c r="N103" s="18" t="s">
        <v>77</v>
      </c>
      <c r="O103" s="18" t="s">
        <v>77</v>
      </c>
      <c r="P103" s="18" t="s">
        <v>78</v>
      </c>
      <c r="Q103" s="36" t="s">
        <v>78</v>
      </c>
      <c r="R103" s="24" t="s">
        <v>78</v>
      </c>
      <c r="S103" s="24" t="s">
        <v>78</v>
      </c>
      <c r="T103" s="24" t="s">
        <v>78</v>
      </c>
      <c r="U103" s="24" t="s">
        <v>78</v>
      </c>
      <c r="V103" s="18" t="s">
        <v>78</v>
      </c>
      <c r="W103" s="40" t="s">
        <v>178</v>
      </c>
      <c r="X103" s="18" t="s">
        <v>78</v>
      </c>
      <c r="Y103" s="18" t="s">
        <v>78</v>
      </c>
      <c r="Z103" s="24" t="s">
        <v>78</v>
      </c>
      <c r="AA103" s="24" t="s">
        <v>78</v>
      </c>
      <c r="AB103" s="24" t="s">
        <v>78</v>
      </c>
      <c r="AC103" s="24" t="s">
        <v>78</v>
      </c>
      <c r="AD103" s="24" t="s">
        <v>78</v>
      </c>
      <c r="AE103" s="41" t="s">
        <v>78</v>
      </c>
      <c r="AF103" s="24" t="s">
        <v>78</v>
      </c>
      <c r="AG103" s="8"/>
      <c r="AH103" s="8">
        <v>0.11799999999999999</v>
      </c>
      <c r="AI103" s="8"/>
      <c r="AJ103" s="18" t="s">
        <v>78</v>
      </c>
      <c r="AK103" s="8">
        <v>0</v>
      </c>
      <c r="AL103" s="8" t="s">
        <v>78</v>
      </c>
      <c r="AM103" s="24" t="s">
        <v>78</v>
      </c>
      <c r="AN103" s="24" t="s">
        <v>78</v>
      </c>
      <c r="AO103" s="24" t="s">
        <v>78</v>
      </c>
      <c r="AP103" s="24" t="s">
        <v>78</v>
      </c>
      <c r="AQ103" s="24" t="s">
        <v>78</v>
      </c>
      <c r="AR103" s="24" t="s">
        <v>78</v>
      </c>
      <c r="AS103" s="24" t="s">
        <v>78</v>
      </c>
      <c r="AT103" s="24" t="s">
        <v>78</v>
      </c>
    </row>
    <row r="104" spans="1:46">
      <c r="A104" s="22" t="s">
        <v>179</v>
      </c>
      <c r="B104">
        <v>4.8194928599999999E-3</v>
      </c>
      <c r="C104" s="8">
        <v>0</v>
      </c>
      <c r="D104" s="8">
        <v>0</v>
      </c>
      <c r="E104" s="8">
        <v>0</v>
      </c>
      <c r="F104" s="8">
        <v>0</v>
      </c>
      <c r="G104" s="38">
        <v>4.8194900000000001E-3</v>
      </c>
      <c r="H104" s="17">
        <v>70</v>
      </c>
      <c r="I104" s="8">
        <v>9.1999999999999993</v>
      </c>
      <c r="J104" s="8">
        <v>50.7</v>
      </c>
      <c r="K104" s="8">
        <v>33</v>
      </c>
      <c r="L104" s="8">
        <v>56</v>
      </c>
      <c r="M104" s="8">
        <v>51</v>
      </c>
      <c r="N104" s="17">
        <v>91.03</v>
      </c>
      <c r="O104" s="23">
        <v>14.96</v>
      </c>
      <c r="P104" s="8">
        <v>0.3</v>
      </c>
      <c r="Q104" s="13">
        <v>2827.7</v>
      </c>
      <c r="R104" s="8">
        <v>-3028595.76</v>
      </c>
      <c r="S104" s="8">
        <v>9.1999999999999993</v>
      </c>
      <c r="T104" s="8">
        <v>70.5</v>
      </c>
      <c r="U104" s="17">
        <v>0.621</v>
      </c>
      <c r="V104" s="17">
        <v>3</v>
      </c>
      <c r="W104" s="21">
        <v>1418424</v>
      </c>
      <c r="X104" s="8">
        <v>35</v>
      </c>
      <c r="Y104" s="8">
        <v>62.5</v>
      </c>
      <c r="Z104" s="8">
        <v>7</v>
      </c>
      <c r="AA104" s="8">
        <v>79.7</v>
      </c>
      <c r="AB104" s="8">
        <v>29811.65</v>
      </c>
      <c r="AC104" s="8">
        <f>5.98*1000</f>
        <v>5980</v>
      </c>
      <c r="AD104" s="8">
        <v>320.48</v>
      </c>
      <c r="AE104" s="8">
        <v>47.5</v>
      </c>
      <c r="AF104" s="8">
        <v>13.4</v>
      </c>
      <c r="AG104" s="8"/>
      <c r="AH104" s="8">
        <v>0.34200000000000003</v>
      </c>
      <c r="AI104" s="8">
        <v>44</v>
      </c>
      <c r="AJ104" s="8">
        <v>25</v>
      </c>
      <c r="AK104" s="8">
        <v>0</v>
      </c>
      <c r="AL104" s="8" t="s">
        <v>78</v>
      </c>
      <c r="AM104" s="8">
        <v>39.799999999999997</v>
      </c>
      <c r="AN104" s="17">
        <v>12.71</v>
      </c>
      <c r="AO104" s="8">
        <v>72.4643344604589</v>
      </c>
      <c r="AP104" s="17">
        <v>100</v>
      </c>
      <c r="AQ104" s="8">
        <v>39.799999999999997</v>
      </c>
      <c r="AR104" s="8">
        <v>28</v>
      </c>
      <c r="AS104" s="8">
        <v>54.1</v>
      </c>
      <c r="AT104" s="8">
        <v>1.99</v>
      </c>
    </row>
    <row r="105" spans="1:46">
      <c r="A105" s="22" t="s">
        <v>180</v>
      </c>
      <c r="B105">
        <v>2.4458076661701398</v>
      </c>
      <c r="C105">
        <v>1.96156180133551E-2</v>
      </c>
      <c r="D105">
        <v>0.102632016081695</v>
      </c>
      <c r="E105">
        <v>1.9111390026690302E-2</v>
      </c>
      <c r="F105">
        <v>0.64268449009240003</v>
      </c>
      <c r="G105">
        <v>1.661764151956</v>
      </c>
      <c r="H105" s="17">
        <v>85</v>
      </c>
      <c r="I105" s="8">
        <v>2.8</v>
      </c>
      <c r="J105" s="8">
        <v>68.8</v>
      </c>
      <c r="K105" s="8">
        <v>77</v>
      </c>
      <c r="L105" s="8">
        <v>78</v>
      </c>
      <c r="M105" s="8">
        <v>68</v>
      </c>
      <c r="N105" s="17">
        <v>99.079000000000008</v>
      </c>
      <c r="O105" s="23">
        <v>0.51</v>
      </c>
      <c r="P105" s="8">
        <v>-0.5</v>
      </c>
      <c r="Q105" s="13">
        <v>125681.59</v>
      </c>
      <c r="R105" s="8">
        <v>-22513457.719999999</v>
      </c>
      <c r="S105" s="8">
        <v>13.4</v>
      </c>
      <c r="T105" s="8">
        <v>84.8</v>
      </c>
      <c r="U105" s="17">
        <v>0.76</v>
      </c>
      <c r="V105" s="17">
        <v>2</v>
      </c>
      <c r="W105" s="21">
        <v>68629364</v>
      </c>
      <c r="X105" s="8">
        <v>78</v>
      </c>
      <c r="Y105" s="8">
        <v>93.2</v>
      </c>
      <c r="Z105" s="8">
        <v>1.4</v>
      </c>
      <c r="AA105" s="8">
        <v>261.10000000000002</v>
      </c>
      <c r="AB105" s="8">
        <v>5396818.54</v>
      </c>
      <c r="AC105" s="8">
        <f>35.03*1000</f>
        <v>35030</v>
      </c>
      <c r="AD105" s="8">
        <v>27321.71</v>
      </c>
      <c r="AE105" s="8">
        <v>84.1</v>
      </c>
      <c r="AF105" s="8">
        <v>15.2</v>
      </c>
      <c r="AG105" s="8"/>
      <c r="AH105" s="8">
        <v>0.24099999999999999</v>
      </c>
      <c r="AI105" s="8">
        <v>73</v>
      </c>
      <c r="AJ105" s="8">
        <v>29.74</v>
      </c>
      <c r="AK105" s="8">
        <v>0</v>
      </c>
      <c r="AL105" s="8" t="s">
        <v>78</v>
      </c>
      <c r="AM105" s="8">
        <v>78.900000000000006</v>
      </c>
      <c r="AN105" s="17">
        <v>10.991</v>
      </c>
      <c r="AO105" s="8">
        <v>58.438943666263199</v>
      </c>
      <c r="AP105" s="17">
        <v>100</v>
      </c>
      <c r="AQ105" s="8">
        <v>59.6</v>
      </c>
      <c r="AR105" s="8">
        <v>52.8</v>
      </c>
      <c r="AS105" s="8">
        <v>41.2</v>
      </c>
      <c r="AT105" s="8">
        <v>1.3360000000000001</v>
      </c>
    </row>
    <row r="106" spans="1:46">
      <c r="A106" s="22" t="s">
        <v>181</v>
      </c>
      <c r="B106">
        <v>2.98033391545846E-2</v>
      </c>
      <c r="C106" s="8">
        <v>0</v>
      </c>
      <c r="D106">
        <v>3.4287681928360002E-3</v>
      </c>
      <c r="E106">
        <v>4.7828961748634098E-5</v>
      </c>
      <c r="F106" s="8">
        <v>0</v>
      </c>
      <c r="G106" s="38">
        <v>2.6326740000000001E-2</v>
      </c>
      <c r="H106" s="17">
        <v>60</v>
      </c>
      <c r="I106" s="8">
        <v>19.3</v>
      </c>
      <c r="J106" s="8">
        <v>53.5</v>
      </c>
      <c r="K106" s="8">
        <v>36</v>
      </c>
      <c r="L106" s="8">
        <v>72</v>
      </c>
      <c r="M106" s="8">
        <v>68</v>
      </c>
      <c r="N106" s="17">
        <v>98.94</v>
      </c>
      <c r="O106" s="23">
        <v>1.08</v>
      </c>
      <c r="P106" s="8">
        <v>2</v>
      </c>
      <c r="Q106" s="13">
        <v>11148.28</v>
      </c>
      <c r="R106" s="8">
        <v>-9527746.4800000004</v>
      </c>
      <c r="S106" s="8">
        <v>10.4</v>
      </c>
      <c r="T106" s="8">
        <v>74.3</v>
      </c>
      <c r="U106" s="17">
        <v>0.502</v>
      </c>
      <c r="V106" s="17">
        <v>5</v>
      </c>
      <c r="W106" s="21">
        <v>2864755</v>
      </c>
      <c r="X106" s="8">
        <v>39</v>
      </c>
      <c r="Y106" s="8">
        <v>67.400000000000006</v>
      </c>
      <c r="Z106" s="8">
        <v>3</v>
      </c>
      <c r="AA106" s="8">
        <v>89.8</v>
      </c>
      <c r="AB106" s="8">
        <v>112959.97</v>
      </c>
      <c r="AC106" s="8">
        <f>4.93*1000</f>
        <v>4930</v>
      </c>
      <c r="AD106" s="8">
        <v>621.83000000000004</v>
      </c>
      <c r="AE106" s="8">
        <v>55.4</v>
      </c>
      <c r="AF106" s="8">
        <v>10.6</v>
      </c>
      <c r="AG106" s="8"/>
      <c r="AH106" s="8">
        <v>0.1</v>
      </c>
      <c r="AI106" s="8">
        <v>49</v>
      </c>
      <c r="AJ106" s="8">
        <v>20</v>
      </c>
      <c r="AK106" s="8">
        <v>1</v>
      </c>
      <c r="AL106" s="8" t="s">
        <v>78</v>
      </c>
      <c r="AM106" s="8">
        <v>50.7</v>
      </c>
      <c r="AN106" s="17">
        <v>33.451000000000001</v>
      </c>
      <c r="AO106" s="8">
        <v>63.667319906595402</v>
      </c>
      <c r="AP106">
        <v>99.900001525878906</v>
      </c>
      <c r="AQ106" s="8">
        <v>40.299999999999997</v>
      </c>
      <c r="AR106" s="8">
        <v>40</v>
      </c>
      <c r="AS106" s="8">
        <v>42.8</v>
      </c>
      <c r="AT106" s="8">
        <v>1.849</v>
      </c>
    </row>
    <row r="107" spans="1:46">
      <c r="A107" s="22" t="s">
        <v>182</v>
      </c>
      <c r="B107">
        <v>8.0291954796574991</v>
      </c>
      <c r="C107">
        <v>2.8405593333758099</v>
      </c>
      <c r="D107">
        <v>0.935362896091397</v>
      </c>
      <c r="E107">
        <v>4.1504413467952803</v>
      </c>
      <c r="F107" s="8">
        <v>0</v>
      </c>
      <c r="G107" s="38">
        <v>0.1028319</v>
      </c>
      <c r="H107" s="17">
        <v>76</v>
      </c>
      <c r="I107" s="8">
        <v>4.9000000000000004</v>
      </c>
      <c r="J107" s="8">
        <v>56.4</v>
      </c>
      <c r="K107" s="8">
        <v>58</v>
      </c>
      <c r="L107" s="8">
        <v>56</v>
      </c>
      <c r="M107" s="8">
        <v>42</v>
      </c>
      <c r="N107" s="17">
        <v>95.435000000000002</v>
      </c>
      <c r="O107" s="23">
        <v>0.04</v>
      </c>
      <c r="P107" s="8">
        <v>1.3</v>
      </c>
      <c r="Q107" s="13">
        <v>19000.990000000002</v>
      </c>
      <c r="R107" s="8">
        <v>16935665.34</v>
      </c>
      <c r="S107" s="8">
        <v>12.3</v>
      </c>
      <c r="T107" s="8">
        <v>69.400000000000006</v>
      </c>
      <c r="U107" s="17">
        <v>0.52400000000000002</v>
      </c>
      <c r="V107" s="17">
        <v>5</v>
      </c>
      <c r="W107" s="21">
        <v>9247861</v>
      </c>
      <c r="X107" s="8">
        <v>32</v>
      </c>
      <c r="Y107" s="8">
        <v>68.3</v>
      </c>
      <c r="Z107" s="8">
        <v>11.3</v>
      </c>
      <c r="AA107" s="8">
        <v>24.4</v>
      </c>
      <c r="AB107" s="8">
        <v>545041.4</v>
      </c>
      <c r="AC107" s="8">
        <f>12.42*1000</f>
        <v>12420</v>
      </c>
      <c r="AD107" s="8">
        <v>4380.3</v>
      </c>
      <c r="AE107" s="8">
        <v>29.7</v>
      </c>
      <c r="AF107" s="8">
        <v>15.8</v>
      </c>
      <c r="AG107" s="8"/>
      <c r="AH107" s="8">
        <v>4.3999999999999997E-2</v>
      </c>
      <c r="AI107" s="8">
        <v>37</v>
      </c>
      <c r="AJ107" s="8">
        <v>20</v>
      </c>
      <c r="AK107" s="8">
        <v>4</v>
      </c>
      <c r="AL107" s="8">
        <v>107033</v>
      </c>
      <c r="AM107" s="8">
        <v>28.6</v>
      </c>
      <c r="AN107" s="17">
        <v>13.611000000000001</v>
      </c>
      <c r="AO107" s="8">
        <v>62.517683268307898</v>
      </c>
      <c r="AP107" s="17">
        <v>100</v>
      </c>
      <c r="AQ107" s="8">
        <v>48.1</v>
      </c>
      <c r="AR107" s="8">
        <v>27.7</v>
      </c>
      <c r="AS107" s="8">
        <v>34.9</v>
      </c>
      <c r="AT107" s="8">
        <v>2.0710000000000002</v>
      </c>
    </row>
    <row r="108" spans="1:46">
      <c r="A108" s="22" t="s">
        <v>183</v>
      </c>
      <c r="B108">
        <v>9.1216586500000002E-2</v>
      </c>
      <c r="C108" s="8">
        <v>0</v>
      </c>
      <c r="D108" s="8">
        <v>0</v>
      </c>
      <c r="E108" s="8">
        <v>0</v>
      </c>
      <c r="F108" s="8">
        <v>0</v>
      </c>
      <c r="G108" s="38">
        <v>9.121659E-2</v>
      </c>
      <c r="H108" s="17">
        <v>56</v>
      </c>
      <c r="I108" s="8">
        <v>5.7</v>
      </c>
      <c r="J108" s="8">
        <v>52.7</v>
      </c>
      <c r="K108" s="8">
        <v>31</v>
      </c>
      <c r="L108" s="8">
        <v>65</v>
      </c>
      <c r="M108" s="8">
        <v>58</v>
      </c>
      <c r="N108" s="17">
        <v>61.633000000000003</v>
      </c>
      <c r="O108" s="23">
        <v>43.800000000000004</v>
      </c>
      <c r="P108" s="8">
        <v>1.9</v>
      </c>
      <c r="Q108" s="13">
        <v>53005.61</v>
      </c>
      <c r="R108" s="8">
        <v>-10027922.41</v>
      </c>
      <c r="S108" s="8">
        <v>6.7</v>
      </c>
      <c r="T108" s="8">
        <v>61.4</v>
      </c>
      <c r="U108" s="17">
        <v>0.53600000000000003</v>
      </c>
      <c r="V108" s="17">
        <v>4</v>
      </c>
      <c r="W108" s="21">
        <v>23915482</v>
      </c>
      <c r="X108" s="8">
        <v>36</v>
      </c>
      <c r="Y108" s="8">
        <v>53.6</v>
      </c>
      <c r="Z108" s="8">
        <v>6.6</v>
      </c>
      <c r="AA108" s="8">
        <v>67.5</v>
      </c>
      <c r="AB108" s="8">
        <v>276221.28999999998</v>
      </c>
      <c r="AC108" s="8">
        <f>2.26*1000</f>
        <v>2260</v>
      </c>
      <c r="AD108" s="8">
        <v>463.35</v>
      </c>
      <c r="AE108" s="8">
        <v>36.9</v>
      </c>
      <c r="AF108" s="8">
        <v>10.7</v>
      </c>
      <c r="AG108" s="8"/>
      <c r="AH108" s="8">
        <v>0.20499999999999999</v>
      </c>
      <c r="AI108" s="8">
        <v>30</v>
      </c>
      <c r="AJ108" s="8">
        <v>30</v>
      </c>
      <c r="AK108" s="8">
        <v>196</v>
      </c>
      <c r="AL108" s="8">
        <v>40390959</v>
      </c>
      <c r="AM108" s="8">
        <v>30</v>
      </c>
      <c r="AN108" s="17">
        <v>28.434000000000001</v>
      </c>
      <c r="AO108" s="8">
        <v>58.761073874174897</v>
      </c>
      <c r="AP108">
        <v>71.437942504882798</v>
      </c>
      <c r="AQ108" s="8">
        <v>34.6</v>
      </c>
      <c r="AR108" s="8">
        <v>13.3</v>
      </c>
      <c r="AS108" s="8">
        <v>29</v>
      </c>
      <c r="AT108" s="8">
        <v>2.3029999999999999</v>
      </c>
    </row>
    <row r="109" spans="1:46">
      <c r="A109" s="4" t="s">
        <v>184</v>
      </c>
      <c r="B109">
        <v>4.3073484999999999E-5</v>
      </c>
      <c r="C109" s="8">
        <v>0</v>
      </c>
      <c r="D109" s="8">
        <v>0</v>
      </c>
      <c r="E109" s="8">
        <v>0</v>
      </c>
      <c r="F109" s="8">
        <v>0</v>
      </c>
      <c r="G109" s="38">
        <v>4.3072999999999999E-5</v>
      </c>
      <c r="H109" s="17">
        <v>51</v>
      </c>
      <c r="I109" s="8"/>
      <c r="J109" s="18" t="s">
        <v>78</v>
      </c>
      <c r="K109" s="24" t="s">
        <v>78</v>
      </c>
      <c r="L109" s="24" t="s">
        <v>78</v>
      </c>
      <c r="M109" s="24" t="s">
        <v>78</v>
      </c>
      <c r="N109" s="17">
        <v>77.971000000000004</v>
      </c>
      <c r="O109" s="18" t="s">
        <v>77</v>
      </c>
      <c r="P109" s="8">
        <v>1.9</v>
      </c>
      <c r="Q109" s="13">
        <v>128.87</v>
      </c>
      <c r="R109" s="8">
        <v>-191229.25</v>
      </c>
      <c r="S109" s="8">
        <v>8</v>
      </c>
      <c r="T109" s="8">
        <v>67.400000000000006</v>
      </c>
      <c r="U109" s="24" t="s">
        <v>78</v>
      </c>
      <c r="V109" s="18" t="s">
        <v>78</v>
      </c>
      <c r="W109" s="18" t="s">
        <v>78</v>
      </c>
      <c r="X109" s="18" t="s">
        <v>78</v>
      </c>
      <c r="Y109" s="18" t="s">
        <v>78</v>
      </c>
      <c r="Z109" s="8">
        <v>3.3</v>
      </c>
      <c r="AA109" s="8">
        <v>32.799999999999997</v>
      </c>
      <c r="AB109" s="8">
        <v>274.25</v>
      </c>
      <c r="AC109" s="8">
        <f>1.73*1000</f>
        <v>1730</v>
      </c>
      <c r="AD109" s="8">
        <v>1.03</v>
      </c>
      <c r="AE109" s="41" t="s">
        <v>78</v>
      </c>
      <c r="AF109" s="8">
        <v>11.8</v>
      </c>
      <c r="AG109" s="8"/>
      <c r="AH109" s="24" t="s">
        <v>78</v>
      </c>
      <c r="AI109" s="24" t="s">
        <v>78</v>
      </c>
      <c r="AJ109" s="8">
        <v>20</v>
      </c>
      <c r="AK109" s="8">
        <v>0</v>
      </c>
      <c r="AL109" s="8" t="s">
        <v>78</v>
      </c>
      <c r="AM109" s="8">
        <v>32.1</v>
      </c>
      <c r="AN109" s="17">
        <v>9.9909999999999997</v>
      </c>
      <c r="AO109" s="8">
        <v>60.0862082343995</v>
      </c>
      <c r="AP109">
        <v>91.963027954101605</v>
      </c>
      <c r="AQ109" s="8">
        <v>52.7</v>
      </c>
      <c r="AR109" s="8">
        <v>18.2</v>
      </c>
      <c r="AS109" s="8">
        <v>56.3</v>
      </c>
      <c r="AT109" s="24" t="s">
        <v>78</v>
      </c>
    </row>
    <row r="110" spans="1:46">
      <c r="A110" s="4" t="s">
        <v>185</v>
      </c>
      <c r="B110">
        <v>0.63102604885170699</v>
      </c>
      <c r="C110">
        <v>0.53292500685170696</v>
      </c>
      <c r="D110" s="8">
        <v>0</v>
      </c>
      <c r="E110" s="8">
        <v>0</v>
      </c>
      <c r="F110" s="8">
        <v>0</v>
      </c>
      <c r="G110">
        <v>9.8101041999999999E-2</v>
      </c>
      <c r="H110" s="17">
        <v>68</v>
      </c>
      <c r="I110" s="8">
        <v>2.6</v>
      </c>
      <c r="J110" s="18" t="s">
        <v>78</v>
      </c>
      <c r="K110" s="24" t="s">
        <v>78</v>
      </c>
      <c r="L110" s="24" t="s">
        <v>78</v>
      </c>
      <c r="M110" s="24" t="s">
        <v>78</v>
      </c>
      <c r="N110" s="17">
        <v>93.844000000000008</v>
      </c>
      <c r="O110" s="18" t="s">
        <v>77</v>
      </c>
      <c r="P110" s="8">
        <v>0.4</v>
      </c>
      <c r="Q110" s="13">
        <v>25971.91</v>
      </c>
      <c r="R110" s="24" t="s">
        <v>78</v>
      </c>
      <c r="S110" s="24" t="s">
        <v>78</v>
      </c>
      <c r="T110" s="29">
        <v>73.3</v>
      </c>
      <c r="U110" s="24" t="s">
        <v>78</v>
      </c>
      <c r="V110" s="18" t="s">
        <v>78</v>
      </c>
      <c r="W110" s="21">
        <v>17159881</v>
      </c>
      <c r="X110" s="18" t="s">
        <v>78</v>
      </c>
      <c r="Y110" s="18" t="s">
        <v>78</v>
      </c>
      <c r="Z110" s="24" t="s">
        <v>78</v>
      </c>
      <c r="AA110" s="8">
        <v>54.4</v>
      </c>
      <c r="AB110" s="24" t="s">
        <v>78</v>
      </c>
      <c r="AC110" s="24" t="s">
        <v>78</v>
      </c>
      <c r="AD110" s="8">
        <v>18.12</v>
      </c>
      <c r="AE110" s="41" t="s">
        <v>78</v>
      </c>
      <c r="AF110" s="8">
        <v>10.8</v>
      </c>
      <c r="AG110" s="8"/>
      <c r="AH110" s="24" t="s">
        <v>78</v>
      </c>
      <c r="AI110" s="8">
        <v>16</v>
      </c>
      <c r="AJ110" s="42" t="s">
        <v>78</v>
      </c>
      <c r="AK110" s="43">
        <v>0</v>
      </c>
      <c r="AL110" s="8" t="s">
        <v>78</v>
      </c>
      <c r="AM110" s="24" t="s">
        <v>78</v>
      </c>
      <c r="AN110" s="17">
        <v>29.771000000000001</v>
      </c>
      <c r="AO110" s="8">
        <v>69.694405212955303</v>
      </c>
      <c r="AP110">
        <v>52.313545227050803</v>
      </c>
      <c r="AQ110" s="24" t="s">
        <v>78</v>
      </c>
      <c r="AR110" s="24" t="s">
        <v>78</v>
      </c>
      <c r="AS110" s="24" t="s">
        <v>78</v>
      </c>
      <c r="AT110" s="8">
        <v>2.9420000000000002</v>
      </c>
    </row>
    <row r="111" spans="1:46">
      <c r="A111" s="4" t="s">
        <v>186</v>
      </c>
      <c r="B111">
        <v>6.5522564114036896E-2</v>
      </c>
      <c r="C111">
        <v>6.2762904614036899E-2</v>
      </c>
      <c r="D111" s="8">
        <v>0</v>
      </c>
      <c r="E111" s="8">
        <v>0</v>
      </c>
      <c r="F111" s="8">
        <v>0</v>
      </c>
      <c r="G111" s="38">
        <v>2.7596600000000002E-3</v>
      </c>
      <c r="H111" s="18" t="s">
        <v>78</v>
      </c>
      <c r="I111" s="18" t="s">
        <v>78</v>
      </c>
      <c r="J111" s="18" t="s">
        <v>78</v>
      </c>
      <c r="K111" s="24" t="s">
        <v>78</v>
      </c>
      <c r="L111" s="8">
        <v>43</v>
      </c>
      <c r="M111" s="8">
        <v>48</v>
      </c>
      <c r="N111" s="18" t="s">
        <v>77</v>
      </c>
      <c r="O111" s="18" t="s">
        <v>77</v>
      </c>
      <c r="P111" s="8">
        <v>-0.2</v>
      </c>
      <c r="Q111" s="13">
        <v>1786.04</v>
      </c>
      <c r="R111" s="8">
        <v>-2989299.47</v>
      </c>
      <c r="S111" s="24" t="s">
        <v>78</v>
      </c>
      <c r="T111" s="24" t="s">
        <v>78</v>
      </c>
      <c r="U111" s="24" t="s">
        <v>78</v>
      </c>
      <c r="V111" s="18" t="s">
        <v>78</v>
      </c>
      <c r="W111" s="18" t="s">
        <v>78</v>
      </c>
      <c r="X111" s="18" t="s">
        <v>78</v>
      </c>
      <c r="Y111" s="18" t="s">
        <v>78</v>
      </c>
      <c r="Z111" s="24" t="s">
        <v>78</v>
      </c>
      <c r="AA111" s="24" t="s">
        <v>78</v>
      </c>
      <c r="AB111" s="8">
        <v>23318.33</v>
      </c>
      <c r="AC111" s="9"/>
      <c r="AD111" s="8">
        <v>494.44</v>
      </c>
      <c r="AE111" s="41" t="s">
        <v>78</v>
      </c>
      <c r="AF111" s="24" t="s">
        <v>78</v>
      </c>
      <c r="AG111" s="8"/>
      <c r="AH111" s="24" t="s">
        <v>78</v>
      </c>
      <c r="AI111" s="8">
        <v>39</v>
      </c>
      <c r="AJ111" s="8">
        <v>10</v>
      </c>
      <c r="AK111" s="8">
        <v>1</v>
      </c>
      <c r="AL111" s="8" t="s">
        <v>78</v>
      </c>
      <c r="AM111" s="24" t="s">
        <v>78</v>
      </c>
      <c r="AN111" s="24" t="s">
        <v>78</v>
      </c>
      <c r="AO111" s="8">
        <v>68.087005519523203</v>
      </c>
      <c r="AP111" s="24" t="s">
        <v>78</v>
      </c>
      <c r="AQ111" s="24" t="s">
        <v>78</v>
      </c>
      <c r="AR111" s="24" t="s">
        <v>78</v>
      </c>
      <c r="AS111" s="24" t="s">
        <v>78</v>
      </c>
      <c r="AT111">
        <v>1.9379999999999999</v>
      </c>
    </row>
    <row r="112" spans="1:46">
      <c r="A112" s="44" t="s">
        <v>187</v>
      </c>
      <c r="B112">
        <v>7.1320420094596697</v>
      </c>
      <c r="C112" s="8">
        <v>0</v>
      </c>
      <c r="D112">
        <v>0.72986016333869996</v>
      </c>
      <c r="E112">
        <v>6.4016831661209697</v>
      </c>
      <c r="F112" s="8">
        <v>0</v>
      </c>
      <c r="G112" s="38">
        <v>4.9868000000000004E-4</v>
      </c>
      <c r="H112" s="17">
        <v>70</v>
      </c>
      <c r="I112" s="8">
        <v>3.7</v>
      </c>
      <c r="J112" s="28">
        <v>62.6</v>
      </c>
      <c r="K112" s="26">
        <v>81</v>
      </c>
      <c r="L112" s="8">
        <v>27</v>
      </c>
      <c r="M112" s="8">
        <v>41</v>
      </c>
      <c r="N112" s="17">
        <v>100</v>
      </c>
      <c r="O112" s="18" t="s">
        <v>77</v>
      </c>
      <c r="P112" s="8">
        <v>-2.6</v>
      </c>
      <c r="Q112" s="13">
        <v>4250.1099999999997</v>
      </c>
      <c r="R112" s="8">
        <v>28167224.969999999</v>
      </c>
      <c r="S112" s="26">
        <v>7.3</v>
      </c>
      <c r="T112" s="26">
        <v>78.7</v>
      </c>
      <c r="U112" s="24" t="s">
        <v>78</v>
      </c>
      <c r="V112" s="29">
        <v>5</v>
      </c>
      <c r="W112" s="21">
        <v>2363167</v>
      </c>
      <c r="X112" s="26">
        <v>30</v>
      </c>
      <c r="Y112" s="26">
        <v>68.400000000000006</v>
      </c>
      <c r="Z112" s="8">
        <v>2.4</v>
      </c>
      <c r="AA112" s="8">
        <v>6.9</v>
      </c>
      <c r="AB112" s="8">
        <v>202011</v>
      </c>
      <c r="AC112" s="8">
        <f>35.26*1000</f>
        <v>35260</v>
      </c>
      <c r="AD112" s="8">
        <v>198.17</v>
      </c>
      <c r="AE112" s="26">
        <v>59.1</v>
      </c>
      <c r="AF112" s="26">
        <v>15.3</v>
      </c>
      <c r="AG112" s="26"/>
      <c r="AH112" s="26">
        <v>2.9000000000000001E-2</v>
      </c>
      <c r="AI112" s="26">
        <v>43</v>
      </c>
      <c r="AJ112" s="8">
        <v>15</v>
      </c>
      <c r="AK112" s="8">
        <v>0</v>
      </c>
      <c r="AL112" s="8" t="s">
        <v>78</v>
      </c>
      <c r="AM112" s="8">
        <v>47</v>
      </c>
      <c r="AN112" s="17">
        <v>60.713999999999999</v>
      </c>
      <c r="AO112" s="8">
        <v>74.4222154982196</v>
      </c>
      <c r="AP112" s="17">
        <v>100</v>
      </c>
      <c r="AQ112" s="8">
        <v>47.1</v>
      </c>
      <c r="AR112" s="8">
        <v>32.299999999999997</v>
      </c>
      <c r="AS112" s="8">
        <v>32.299999999999997</v>
      </c>
      <c r="AT112" s="8">
        <v>1.7390000000000001</v>
      </c>
    </row>
    <row r="113" spans="1:46">
      <c r="A113" s="25" t="s">
        <v>188</v>
      </c>
      <c r="B113">
        <v>0.16485385657691401</v>
      </c>
      <c r="C113">
        <v>4.0109396548473897E-2</v>
      </c>
      <c r="D113">
        <v>9.4479190397399999E-4</v>
      </c>
      <c r="E113">
        <v>1.75165632446634E-3</v>
      </c>
      <c r="F113" s="8">
        <v>0</v>
      </c>
      <c r="G113">
        <v>0.12204801179999999</v>
      </c>
      <c r="H113" s="17">
        <v>70</v>
      </c>
      <c r="I113" s="8">
        <v>9.1</v>
      </c>
      <c r="J113" s="26">
        <v>51.8</v>
      </c>
      <c r="K113" s="26">
        <v>27</v>
      </c>
      <c r="L113" s="8">
        <v>34</v>
      </c>
      <c r="M113" s="8">
        <v>28</v>
      </c>
      <c r="N113" s="17">
        <v>91.698999999999998</v>
      </c>
      <c r="O113" s="23">
        <v>14.09</v>
      </c>
      <c r="P113" s="8">
        <v>1.7</v>
      </c>
      <c r="Q113" s="13">
        <v>6691.8</v>
      </c>
      <c r="R113" s="8">
        <v>-2568395.4700000002</v>
      </c>
      <c r="S113" s="26">
        <v>11.4</v>
      </c>
      <c r="T113" s="26">
        <v>70</v>
      </c>
      <c r="U113" s="17">
        <v>0.53500000000000003</v>
      </c>
      <c r="V113" s="17">
        <v>4</v>
      </c>
      <c r="W113" s="21">
        <v>2477675</v>
      </c>
      <c r="X113" s="26">
        <v>26</v>
      </c>
      <c r="Y113" s="26">
        <v>55.8</v>
      </c>
      <c r="Z113" s="8">
        <v>12.4</v>
      </c>
      <c r="AA113" s="8">
        <v>60.5</v>
      </c>
      <c r="AB113" s="8">
        <v>35397.53</v>
      </c>
      <c r="AC113" s="8">
        <f>1.57*1000</f>
        <v>1570</v>
      </c>
      <c r="AD113" s="8">
        <v>247.51</v>
      </c>
      <c r="AE113" s="26">
        <v>23.2</v>
      </c>
      <c r="AF113" s="26">
        <v>13.2</v>
      </c>
      <c r="AG113" s="26"/>
      <c r="AH113" s="26">
        <v>0.01</v>
      </c>
      <c r="AI113" s="26">
        <v>27</v>
      </c>
      <c r="AJ113" s="8">
        <v>10</v>
      </c>
      <c r="AK113" s="8">
        <v>0</v>
      </c>
      <c r="AL113" s="8" t="s">
        <v>78</v>
      </c>
      <c r="AM113" s="8">
        <v>23.5</v>
      </c>
      <c r="AN113" s="17">
        <v>19.765000000000001</v>
      </c>
      <c r="AO113" s="8">
        <v>61.150166209809001</v>
      </c>
      <c r="AP113">
        <v>99.981048583984403</v>
      </c>
      <c r="AQ113" s="8">
        <v>40.4</v>
      </c>
      <c r="AR113" s="8">
        <v>7.2</v>
      </c>
      <c r="AS113" s="8">
        <v>34</v>
      </c>
      <c r="AT113" s="8">
        <v>2.028</v>
      </c>
    </row>
    <row r="114" spans="1:46">
      <c r="A114" s="22" t="s">
        <v>189</v>
      </c>
      <c r="B114">
        <v>0.49873181207398098</v>
      </c>
      <c r="C114">
        <v>0.322172377073981</v>
      </c>
      <c r="D114" s="31">
        <v>0</v>
      </c>
      <c r="E114" s="31">
        <v>0</v>
      </c>
      <c r="F114" s="31">
        <v>0</v>
      </c>
      <c r="G114" s="38">
        <v>0.17655944000000001</v>
      </c>
      <c r="H114" s="17">
        <v>50</v>
      </c>
      <c r="I114" s="8">
        <v>1.3</v>
      </c>
      <c r="J114" s="8">
        <v>60</v>
      </c>
      <c r="K114" s="8">
        <v>15</v>
      </c>
      <c r="L114" s="8">
        <v>32</v>
      </c>
      <c r="M114" s="8">
        <v>14</v>
      </c>
      <c r="N114" s="17">
        <v>85.22</v>
      </c>
      <c r="O114" s="23">
        <v>36.57</v>
      </c>
      <c r="P114" s="8">
        <v>1.4</v>
      </c>
      <c r="Q114" s="8">
        <v>7425.06</v>
      </c>
      <c r="R114" s="8">
        <v>1292826.1299999999</v>
      </c>
      <c r="S114" s="8">
        <v>5.4</v>
      </c>
      <c r="T114" s="8">
        <v>68.099999999999994</v>
      </c>
      <c r="U114" s="24" t="s">
        <v>78</v>
      </c>
      <c r="V114" s="29">
        <v>5</v>
      </c>
      <c r="W114" s="21">
        <v>3914985</v>
      </c>
      <c r="X114" s="8">
        <v>28</v>
      </c>
      <c r="Y114" s="8">
        <v>59</v>
      </c>
      <c r="Z114" s="8">
        <v>9</v>
      </c>
      <c r="AA114" s="8">
        <v>108.9</v>
      </c>
      <c r="AB114" s="34">
        <v>64008.800000000003</v>
      </c>
      <c r="AC114" s="34">
        <f>1.98*1000</f>
        <v>1980</v>
      </c>
      <c r="AD114" s="34">
        <v>1071.9100000000001</v>
      </c>
      <c r="AE114" s="8">
        <v>31.9</v>
      </c>
      <c r="AF114" s="8">
        <v>10.1</v>
      </c>
      <c r="AG114" s="45">
        <v>19</v>
      </c>
      <c r="AH114" s="8">
        <v>3.4000000000000002E-2</v>
      </c>
      <c r="AI114" s="8">
        <v>30</v>
      </c>
      <c r="AJ114" s="8">
        <v>20</v>
      </c>
      <c r="AK114" s="8">
        <v>24</v>
      </c>
      <c r="AL114" s="8">
        <v>1444723</v>
      </c>
      <c r="AM114" s="8">
        <v>22.6</v>
      </c>
      <c r="AN114" s="17">
        <v>23.087</v>
      </c>
      <c r="AO114" s="8">
        <v>64.626085387217501</v>
      </c>
      <c r="AP114" s="17">
        <v>100</v>
      </c>
      <c r="AQ114" s="8">
        <v>46.9</v>
      </c>
      <c r="AR114" s="8">
        <v>16.7</v>
      </c>
      <c r="AS114" s="8">
        <v>16.2</v>
      </c>
      <c r="AT114" s="8">
        <v>1.8089999999999999</v>
      </c>
    </row>
    <row r="115" spans="1:46">
      <c r="A115" s="4" t="s">
        <v>190</v>
      </c>
      <c r="B115">
        <v>3.1414711695E-2</v>
      </c>
      <c r="C115" s="8">
        <v>0</v>
      </c>
      <c r="D115" s="8">
        <v>0</v>
      </c>
      <c r="E115" s="8">
        <v>0</v>
      </c>
      <c r="F115" s="8">
        <v>0</v>
      </c>
      <c r="G115">
        <v>3.1414711695E-2</v>
      </c>
      <c r="H115" s="17">
        <v>72</v>
      </c>
      <c r="I115" s="8">
        <v>7.6</v>
      </c>
      <c r="J115" s="8">
        <v>59.2</v>
      </c>
      <c r="K115" s="8">
        <v>73</v>
      </c>
      <c r="L115" s="24" t="s">
        <v>78</v>
      </c>
      <c r="M115" s="24" t="s">
        <v>78</v>
      </c>
      <c r="N115" s="17">
        <v>98.783000000000001</v>
      </c>
      <c r="O115" s="23">
        <v>0.49</v>
      </c>
      <c r="P115" s="8">
        <v>-0.8</v>
      </c>
      <c r="Q115" s="13">
        <v>1884.49</v>
      </c>
      <c r="R115" s="8">
        <v>-1376408.9</v>
      </c>
      <c r="S115" s="8">
        <v>13.3</v>
      </c>
      <c r="T115" s="8">
        <v>73.599999999999994</v>
      </c>
      <c r="U115" s="17">
        <v>0.77100000000000002</v>
      </c>
      <c r="V115" s="17">
        <v>2</v>
      </c>
      <c r="W115" s="21">
        <v>955041</v>
      </c>
      <c r="X115" s="8">
        <v>42</v>
      </c>
      <c r="Y115" s="8">
        <v>76</v>
      </c>
      <c r="Z115" s="8">
        <v>8</v>
      </c>
      <c r="AA115" s="8">
        <v>44.6</v>
      </c>
      <c r="AB115" s="8">
        <v>64909.96</v>
      </c>
      <c r="AC115" s="8">
        <f>22.76*1000</f>
        <v>22760</v>
      </c>
      <c r="AD115" s="8">
        <v>5310.47</v>
      </c>
      <c r="AE115" s="8">
        <v>35.4</v>
      </c>
      <c r="AF115" s="8">
        <v>16.2</v>
      </c>
      <c r="AG115" s="8"/>
      <c r="AH115" s="8">
        <v>0.24099999999999999</v>
      </c>
      <c r="AI115" s="8">
        <v>59</v>
      </c>
      <c r="AJ115" s="8">
        <v>20</v>
      </c>
      <c r="AK115" s="8">
        <v>1</v>
      </c>
      <c r="AL115" s="8" t="s">
        <v>78</v>
      </c>
      <c r="AM115" s="8">
        <v>51.1</v>
      </c>
      <c r="AN115" s="17">
        <v>12.706</v>
      </c>
      <c r="AO115" s="8">
        <v>62.758662460864102</v>
      </c>
      <c r="AP115" s="17">
        <v>100</v>
      </c>
      <c r="AQ115" s="8">
        <v>65.400000000000006</v>
      </c>
      <c r="AR115" s="8">
        <v>63</v>
      </c>
      <c r="AS115" s="8">
        <v>58.6</v>
      </c>
      <c r="AT115" s="8">
        <v>1.673</v>
      </c>
    </row>
    <row r="116" spans="1:46">
      <c r="A116" s="22" t="s">
        <v>191</v>
      </c>
      <c r="B116">
        <v>9.9292174800000004E-3</v>
      </c>
      <c r="C116" s="8">
        <v>0</v>
      </c>
      <c r="D116" s="8">
        <v>0</v>
      </c>
      <c r="E116" s="8">
        <v>0</v>
      </c>
      <c r="F116" s="8">
        <v>0</v>
      </c>
      <c r="G116">
        <v>9.9292174800000004E-3</v>
      </c>
      <c r="H116" s="17">
        <v>72</v>
      </c>
      <c r="I116" s="8">
        <v>14.5</v>
      </c>
      <c r="J116" s="8">
        <v>53.6</v>
      </c>
      <c r="K116" s="8">
        <v>11</v>
      </c>
      <c r="L116" s="8">
        <v>64</v>
      </c>
      <c r="M116" s="8">
        <v>43</v>
      </c>
      <c r="N116" s="17">
        <v>92.600000000000009</v>
      </c>
      <c r="O116" s="23">
        <v>0.43</v>
      </c>
      <c r="P116" s="8">
        <v>-1.2</v>
      </c>
      <c r="Q116" s="13">
        <v>5592.63</v>
      </c>
      <c r="R116" s="8">
        <v>-7235996.8300000001</v>
      </c>
      <c r="S116" s="8">
        <v>8.6999999999999993</v>
      </c>
      <c r="T116" s="8">
        <v>75</v>
      </c>
      <c r="U116" s="17">
        <v>0.49</v>
      </c>
      <c r="V116" s="17">
        <v>4</v>
      </c>
      <c r="W116" s="21">
        <v>1719282</v>
      </c>
      <c r="X116" s="8">
        <v>38</v>
      </c>
      <c r="Y116" s="8">
        <v>61.3</v>
      </c>
      <c r="Z116" s="29">
        <v>84.88</v>
      </c>
      <c r="AA116" s="29">
        <v>150.583</v>
      </c>
      <c r="AB116" s="8">
        <v>79732.399999999994</v>
      </c>
      <c r="AC116" s="24" t="s">
        <v>78</v>
      </c>
      <c r="AD116" s="8">
        <v>273.06</v>
      </c>
      <c r="AE116" s="8">
        <v>47.1</v>
      </c>
      <c r="AF116" s="8">
        <v>11.3</v>
      </c>
      <c r="AG116" s="8"/>
      <c r="AH116" s="8">
        <v>3.0000000000000001E-3</v>
      </c>
      <c r="AI116" s="8">
        <v>24</v>
      </c>
      <c r="AJ116" s="8">
        <v>17</v>
      </c>
      <c r="AK116" s="8">
        <v>0</v>
      </c>
      <c r="AL116" s="8" t="s">
        <v>78</v>
      </c>
      <c r="AM116" s="8">
        <v>41.2</v>
      </c>
      <c r="AN116" s="17">
        <v>30.6</v>
      </c>
      <c r="AO116" s="8">
        <v>62.7595223071216</v>
      </c>
      <c r="AP116" s="17">
        <v>100</v>
      </c>
      <c r="AQ116" s="8">
        <v>20.399999999999999</v>
      </c>
      <c r="AR116" s="8">
        <v>44.4</v>
      </c>
      <c r="AS116" s="8">
        <v>37.9</v>
      </c>
      <c r="AT116" s="8">
        <v>2.6150000000000002</v>
      </c>
    </row>
    <row r="117" spans="1:46">
      <c r="A117" s="4" t="s">
        <v>192</v>
      </c>
      <c r="B117">
        <v>4.4614049999999999E-3</v>
      </c>
      <c r="C117" s="8">
        <v>0</v>
      </c>
      <c r="D117" s="8">
        <v>0</v>
      </c>
      <c r="E117" s="8">
        <v>0</v>
      </c>
      <c r="F117" s="8">
        <v>0</v>
      </c>
      <c r="G117" s="38">
        <v>4.4614099999999999E-3</v>
      </c>
      <c r="H117" s="17">
        <v>48</v>
      </c>
      <c r="I117" s="8">
        <v>24.6</v>
      </c>
      <c r="J117" s="8">
        <v>47.2</v>
      </c>
      <c r="K117" s="29">
        <v>30</v>
      </c>
      <c r="L117" s="24" t="s">
        <v>78</v>
      </c>
      <c r="M117" s="24" t="s">
        <v>78</v>
      </c>
      <c r="N117" s="17">
        <v>72.176000000000002</v>
      </c>
      <c r="O117" s="23">
        <v>51.17</v>
      </c>
      <c r="P117" s="8">
        <v>1.2</v>
      </c>
      <c r="Q117" s="13">
        <v>2281.4499999999998</v>
      </c>
      <c r="R117" s="8">
        <v>-1140519.1000000001</v>
      </c>
      <c r="S117" s="8">
        <v>6</v>
      </c>
      <c r="T117" s="8">
        <v>53.1</v>
      </c>
      <c r="U117" s="24" t="s">
        <v>78</v>
      </c>
      <c r="V117" s="29">
        <v>4</v>
      </c>
      <c r="W117" s="21">
        <v>955631</v>
      </c>
      <c r="X117" s="8">
        <v>22</v>
      </c>
      <c r="Y117" s="8">
        <v>33.299999999999997</v>
      </c>
      <c r="Z117" s="8">
        <v>6.2</v>
      </c>
      <c r="AA117" s="8">
        <v>48</v>
      </c>
      <c r="AB117" s="8">
        <v>5752.76</v>
      </c>
      <c r="AC117" s="8">
        <f>1.21*1000</f>
        <v>1210</v>
      </c>
      <c r="AD117" s="8">
        <v>-12.37</v>
      </c>
      <c r="AE117" s="8">
        <v>16.600000000000001</v>
      </c>
      <c r="AF117" s="8">
        <v>12</v>
      </c>
      <c r="AG117" s="8"/>
      <c r="AH117" s="8">
        <v>0.1</v>
      </c>
      <c r="AI117" s="8">
        <v>38</v>
      </c>
      <c r="AJ117" s="8">
        <v>25</v>
      </c>
      <c r="AK117" s="8">
        <v>3</v>
      </c>
      <c r="AL117" s="8">
        <v>229704</v>
      </c>
      <c r="AM117" s="8">
        <v>11.1</v>
      </c>
      <c r="AN117" s="17">
        <v>26.555</v>
      </c>
      <c r="AO117" s="8">
        <v>61.693581879454499</v>
      </c>
      <c r="AP117">
        <v>47.352737426757798</v>
      </c>
      <c r="AQ117" s="8">
        <v>23.5</v>
      </c>
      <c r="AR117" s="8">
        <v>5.9</v>
      </c>
      <c r="AS117" s="8">
        <v>53.3</v>
      </c>
      <c r="AT117" s="8">
        <v>2.089</v>
      </c>
    </row>
    <row r="118" spans="1:46">
      <c r="A118" s="4" t="s">
        <v>193</v>
      </c>
      <c r="B118">
        <v>3.5620000000000001E-5</v>
      </c>
      <c r="C118" s="8">
        <v>0</v>
      </c>
      <c r="D118" s="8">
        <v>0</v>
      </c>
      <c r="E118" s="8">
        <v>0</v>
      </c>
      <c r="F118" s="8">
        <v>0</v>
      </c>
      <c r="G118" s="38">
        <v>3.5620000000000001E-5</v>
      </c>
      <c r="H118" s="17">
        <v>42</v>
      </c>
      <c r="I118" s="8">
        <v>4.0999999999999996</v>
      </c>
      <c r="J118" s="18" t="s">
        <v>78</v>
      </c>
      <c r="K118" s="24" t="s">
        <v>78</v>
      </c>
      <c r="L118" s="8">
        <v>36</v>
      </c>
      <c r="M118" s="8">
        <v>9</v>
      </c>
      <c r="N118" s="17">
        <v>75.262</v>
      </c>
      <c r="O118" s="23">
        <v>73.09</v>
      </c>
      <c r="P118" s="8">
        <v>2.1</v>
      </c>
      <c r="Q118" s="13">
        <v>5193.42</v>
      </c>
      <c r="R118" s="8">
        <v>-689782.53</v>
      </c>
      <c r="S118" s="8">
        <v>5.0999999999999996</v>
      </c>
      <c r="T118" s="8">
        <v>60.7</v>
      </c>
      <c r="U118" s="17">
        <v>0.51400000000000001</v>
      </c>
      <c r="V118" s="17">
        <v>3</v>
      </c>
      <c r="W118" s="21">
        <v>2289360</v>
      </c>
      <c r="X118" s="18" t="s">
        <v>78</v>
      </c>
      <c r="Y118" s="18" t="s">
        <v>78</v>
      </c>
      <c r="Z118" s="8">
        <v>8.6999999999999993</v>
      </c>
      <c r="AA118" s="8">
        <v>56.2</v>
      </c>
      <c r="AB118" s="8">
        <v>8120.18</v>
      </c>
      <c r="AC118" s="8">
        <f>769.1</f>
        <v>769.1</v>
      </c>
      <c r="AD118" s="8">
        <v>45.68</v>
      </c>
      <c r="AE118" s="41" t="s">
        <v>78</v>
      </c>
      <c r="AF118" s="8">
        <v>10.4</v>
      </c>
      <c r="AG118" s="8"/>
      <c r="AH118" s="24" t="s">
        <v>78</v>
      </c>
      <c r="AI118" s="8">
        <v>29</v>
      </c>
      <c r="AJ118" s="8">
        <v>25</v>
      </c>
      <c r="AK118" s="8">
        <v>1</v>
      </c>
      <c r="AL118" s="8">
        <v>9100</v>
      </c>
      <c r="AM118" s="8">
        <v>28.3</v>
      </c>
      <c r="AN118" s="17">
        <v>18.754999999999999</v>
      </c>
      <c r="AO118" s="8">
        <v>55.646568236259903</v>
      </c>
      <c r="AP118">
        <v>27.534709930419901</v>
      </c>
      <c r="AQ118" s="8">
        <v>20.9</v>
      </c>
      <c r="AR118" s="8">
        <v>11.9</v>
      </c>
      <c r="AS118" s="8">
        <v>30.5</v>
      </c>
      <c r="AT118" s="8">
        <v>1.9730000000000001</v>
      </c>
    </row>
    <row r="119" spans="1:46">
      <c r="A119" s="4" t="s">
        <v>194</v>
      </c>
      <c r="B119">
        <v>3.02658713098984</v>
      </c>
      <c r="C119" s="8">
        <v>0</v>
      </c>
      <c r="D119">
        <v>0.52341009452880005</v>
      </c>
      <c r="E119">
        <v>2.5031057964610399</v>
      </c>
      <c r="F119" s="8">
        <v>0</v>
      </c>
      <c r="G119" s="38">
        <v>7.1240000000000002E-5</v>
      </c>
      <c r="H119" s="17">
        <v>60</v>
      </c>
      <c r="I119" s="8">
        <v>19.600000000000001</v>
      </c>
      <c r="J119" s="18" t="s">
        <v>78</v>
      </c>
      <c r="K119" s="24" t="s">
        <v>78</v>
      </c>
      <c r="L119" s="24" t="s">
        <v>78</v>
      </c>
      <c r="M119" s="24" t="s">
        <v>78</v>
      </c>
      <c r="N119" s="17">
        <v>99.891999999999996</v>
      </c>
      <c r="O119" s="18" t="s">
        <v>77</v>
      </c>
      <c r="P119" s="8">
        <v>1.2</v>
      </c>
      <c r="Q119" s="13">
        <v>6735.28</v>
      </c>
      <c r="R119" s="8">
        <v>-4797200</v>
      </c>
      <c r="S119" s="8">
        <v>7.6</v>
      </c>
      <c r="T119" s="8">
        <v>71.900000000000006</v>
      </c>
      <c r="U119" s="24" t="s">
        <v>78</v>
      </c>
      <c r="V119" s="29">
        <v>6</v>
      </c>
      <c r="W119" s="21">
        <v>2279857</v>
      </c>
      <c r="X119" s="18" t="s">
        <v>78</v>
      </c>
      <c r="Y119" s="18" t="s">
        <v>78</v>
      </c>
      <c r="Z119" s="8">
        <v>4</v>
      </c>
      <c r="AA119" s="24" t="s">
        <v>78</v>
      </c>
      <c r="AB119" s="8">
        <v>162527.82</v>
      </c>
      <c r="AC119" s="8">
        <f>6.39*1000</f>
        <v>6390</v>
      </c>
      <c r="AD119" s="8">
        <v>1</v>
      </c>
      <c r="AE119" s="41" t="s">
        <v>78</v>
      </c>
      <c r="AF119" s="8">
        <v>12.9</v>
      </c>
      <c r="AG119" s="8"/>
      <c r="AH119" s="8">
        <v>4.0000000000000001E-3</v>
      </c>
      <c r="AI119" s="8">
        <v>17</v>
      </c>
      <c r="AJ119" s="8">
        <v>20</v>
      </c>
      <c r="AK119" s="8">
        <v>0</v>
      </c>
      <c r="AL119" s="8" t="s">
        <v>78</v>
      </c>
      <c r="AM119" s="24" t="s">
        <v>78</v>
      </c>
      <c r="AN119" s="17">
        <v>55.515999999999998</v>
      </c>
      <c r="AO119" s="8">
        <v>66.321422266671405</v>
      </c>
      <c r="AP119">
        <v>69.707351684570298</v>
      </c>
      <c r="AQ119" s="24" t="s">
        <v>78</v>
      </c>
      <c r="AR119" s="24" t="s">
        <v>78</v>
      </c>
      <c r="AS119" s="24" t="s">
        <v>78</v>
      </c>
      <c r="AT119" s="8">
        <v>2.93</v>
      </c>
    </row>
    <row r="120" spans="1:46">
      <c r="A120" s="4" t="s">
        <v>195</v>
      </c>
      <c r="B120" s="18" t="s">
        <v>78</v>
      </c>
      <c r="C120" s="18" t="s">
        <v>78</v>
      </c>
      <c r="D120" s="18" t="s">
        <v>78</v>
      </c>
      <c r="E120" s="18" t="s">
        <v>78</v>
      </c>
      <c r="F120" s="18" t="s">
        <v>78</v>
      </c>
      <c r="G120" s="18" t="s">
        <v>78</v>
      </c>
      <c r="H120" s="40"/>
      <c r="I120" s="18" t="s">
        <v>78</v>
      </c>
      <c r="J120" s="18" t="s">
        <v>78</v>
      </c>
      <c r="K120" s="29">
        <v>100</v>
      </c>
      <c r="L120" s="24" t="s">
        <v>78</v>
      </c>
      <c r="M120" s="24" t="s">
        <v>78</v>
      </c>
      <c r="N120" s="17">
        <v>100</v>
      </c>
      <c r="O120" s="18" t="s">
        <v>77</v>
      </c>
      <c r="P120" s="8">
        <v>0.7</v>
      </c>
      <c r="Q120" s="13">
        <v>39.04</v>
      </c>
      <c r="R120" s="24" t="s">
        <v>78</v>
      </c>
      <c r="S120" s="8">
        <v>12.5</v>
      </c>
      <c r="T120" s="8">
        <v>83.3</v>
      </c>
      <c r="U120" s="24" t="s">
        <v>78</v>
      </c>
      <c r="V120" s="18" t="s">
        <v>78</v>
      </c>
      <c r="W120" s="18" t="s">
        <v>78</v>
      </c>
      <c r="X120" s="18" t="s">
        <v>78</v>
      </c>
      <c r="Y120" s="18" t="s">
        <v>78</v>
      </c>
      <c r="Z120" s="24" t="s">
        <v>78</v>
      </c>
      <c r="AA120" s="24" t="s">
        <v>78</v>
      </c>
      <c r="AB120" s="24" t="s">
        <v>78</v>
      </c>
      <c r="AC120" s="24" t="s">
        <v>78</v>
      </c>
      <c r="AD120" s="8">
        <v>87212.09</v>
      </c>
      <c r="AE120" s="41" t="s">
        <v>78</v>
      </c>
      <c r="AF120" s="8">
        <v>15.2</v>
      </c>
      <c r="AG120" s="8"/>
      <c r="AH120" s="8">
        <v>0.27700000000000002</v>
      </c>
      <c r="AI120" s="24" t="s">
        <v>78</v>
      </c>
      <c r="AJ120" s="8">
        <v>12.5</v>
      </c>
      <c r="AK120" s="8">
        <v>0</v>
      </c>
      <c r="AL120" s="8" t="s">
        <v>78</v>
      </c>
      <c r="AM120" s="24" t="s">
        <v>78</v>
      </c>
      <c r="AN120" s="24" t="s">
        <v>78</v>
      </c>
      <c r="AO120" s="8">
        <v>66.592809846437603</v>
      </c>
      <c r="AP120" s="17">
        <v>100</v>
      </c>
      <c r="AQ120" s="24" t="s">
        <v>78</v>
      </c>
      <c r="AR120" s="24" t="s">
        <v>78</v>
      </c>
      <c r="AS120" s="24" t="s">
        <v>78</v>
      </c>
      <c r="AT120" s="24" t="s">
        <v>78</v>
      </c>
    </row>
    <row r="121" spans="1:46">
      <c r="A121" s="4" t="s">
        <v>196</v>
      </c>
      <c r="B121">
        <v>3.0437547865869299E-2</v>
      </c>
      <c r="C121" s="8">
        <v>0</v>
      </c>
      <c r="D121" s="8">
        <v>0</v>
      </c>
      <c r="E121">
        <v>1.50233866586937E-3</v>
      </c>
      <c r="F121" s="8">
        <v>0</v>
      </c>
      <c r="G121">
        <v>2.8935209199999999E-2</v>
      </c>
      <c r="H121" s="17">
        <v>70</v>
      </c>
      <c r="I121" s="8">
        <v>7.9</v>
      </c>
      <c r="J121" s="8">
        <v>58</v>
      </c>
      <c r="K121" s="8">
        <v>76</v>
      </c>
      <c r="L121" s="24" t="s">
        <v>78</v>
      </c>
      <c r="M121" s="24" t="s">
        <v>78</v>
      </c>
      <c r="N121" s="17">
        <v>98.013000000000005</v>
      </c>
      <c r="O121" s="23">
        <v>0.74</v>
      </c>
      <c r="P121" s="8">
        <v>0.2</v>
      </c>
      <c r="Q121" s="13">
        <v>2800.84</v>
      </c>
      <c r="R121" s="8">
        <v>3020395.12</v>
      </c>
      <c r="S121" s="8">
        <v>13.5</v>
      </c>
      <c r="T121" s="8">
        <v>73.7</v>
      </c>
      <c r="U121" s="17">
        <v>0.67700000000000005</v>
      </c>
      <c r="V121" s="17">
        <v>2</v>
      </c>
      <c r="W121" s="21">
        <v>1475531</v>
      </c>
      <c r="X121" s="8">
        <v>47</v>
      </c>
      <c r="Y121" s="8">
        <v>77</v>
      </c>
      <c r="Z121" s="8">
        <v>3.7</v>
      </c>
      <c r="AA121" s="8">
        <v>39.5</v>
      </c>
      <c r="AB121" s="8">
        <v>119263.27</v>
      </c>
      <c r="AC121" s="8">
        <f>25.66*1000</f>
        <v>25660</v>
      </c>
      <c r="AD121" s="8">
        <v>1877.4</v>
      </c>
      <c r="AE121" s="8">
        <v>32.700000000000003</v>
      </c>
      <c r="AF121" s="8">
        <v>16.3</v>
      </c>
      <c r="AG121" s="8"/>
      <c r="AH121" s="8">
        <v>0.33200000000000002</v>
      </c>
      <c r="AI121" s="8">
        <v>61</v>
      </c>
      <c r="AJ121" s="8">
        <v>15</v>
      </c>
      <c r="AK121" s="8">
        <v>0</v>
      </c>
      <c r="AL121" s="8" t="s">
        <v>78</v>
      </c>
      <c r="AM121" s="8">
        <v>58.4</v>
      </c>
      <c r="AN121" s="17">
        <v>11.189</v>
      </c>
      <c r="AO121" s="8">
        <v>64.227358256803299</v>
      </c>
      <c r="AP121" s="17">
        <v>100</v>
      </c>
      <c r="AQ121" s="8">
        <v>61</v>
      </c>
      <c r="AR121" s="8">
        <v>67.400000000000006</v>
      </c>
      <c r="AS121" s="8">
        <v>47.1</v>
      </c>
      <c r="AT121" s="8">
        <v>1.724</v>
      </c>
    </row>
    <row r="122" spans="1:46">
      <c r="A122" s="4" t="s">
        <v>197</v>
      </c>
      <c r="B122">
        <v>7.7704851899999998E-3</v>
      </c>
      <c r="C122" s="8">
        <v>0</v>
      </c>
      <c r="D122" s="8">
        <v>0</v>
      </c>
      <c r="E122" s="8">
        <v>0</v>
      </c>
      <c r="F122" s="8">
        <v>0</v>
      </c>
      <c r="G122" s="38">
        <v>7.7704899999999997E-3</v>
      </c>
      <c r="H122" s="17">
        <v>86</v>
      </c>
      <c r="I122" s="8">
        <v>5.2</v>
      </c>
      <c r="J122" s="8">
        <v>65.400000000000006</v>
      </c>
      <c r="K122" s="8">
        <v>100</v>
      </c>
      <c r="L122" s="24" t="s">
        <v>78</v>
      </c>
      <c r="M122" s="24" t="s">
        <v>78</v>
      </c>
      <c r="N122" s="17">
        <v>99.88</v>
      </c>
      <c r="O122" s="23">
        <v>0.33</v>
      </c>
      <c r="P122" s="8">
        <v>1.5</v>
      </c>
      <c r="Q122" s="13">
        <v>640.05999999999995</v>
      </c>
      <c r="R122" s="8">
        <v>29680975.940000001</v>
      </c>
      <c r="S122" s="8">
        <v>13</v>
      </c>
      <c r="T122" s="8">
        <v>82.6</v>
      </c>
      <c r="U122" s="17">
        <v>0.78600000000000003</v>
      </c>
      <c r="V122" s="18" t="s">
        <v>78</v>
      </c>
      <c r="W122" s="21">
        <v>333946</v>
      </c>
      <c r="X122" s="8">
        <v>68</v>
      </c>
      <c r="Y122" s="8">
        <v>85</v>
      </c>
      <c r="Z122" s="8">
        <v>3.7</v>
      </c>
      <c r="AA122" s="8">
        <v>25.8</v>
      </c>
      <c r="AB122" s="8">
        <v>86117.11</v>
      </c>
      <c r="AC122" s="8">
        <f>128.82*1000</f>
        <v>128820</v>
      </c>
      <c r="AD122" s="8">
        <v>-9053.8799999999992</v>
      </c>
      <c r="AE122" s="8">
        <v>80</v>
      </c>
      <c r="AF122" s="8">
        <v>14.4</v>
      </c>
      <c r="AG122" s="8"/>
      <c r="AH122" s="8">
        <v>0.23499999999999999</v>
      </c>
      <c r="AI122" s="8">
        <v>81</v>
      </c>
      <c r="AJ122" s="8">
        <v>24.94</v>
      </c>
      <c r="AK122" s="8">
        <v>0</v>
      </c>
      <c r="AL122" s="8" t="s">
        <v>78</v>
      </c>
      <c r="AM122" s="8">
        <v>81</v>
      </c>
      <c r="AN122" s="17">
        <v>9.4819999999999993</v>
      </c>
      <c r="AO122" s="8">
        <v>69.341144745753695</v>
      </c>
      <c r="AP122" s="17">
        <v>100</v>
      </c>
      <c r="AQ122" s="8">
        <v>70</v>
      </c>
      <c r="AR122" s="8">
        <v>79.099999999999994</v>
      </c>
      <c r="AS122" s="8">
        <v>67.400000000000006</v>
      </c>
      <c r="AT122" s="24" t="s">
        <v>78</v>
      </c>
    </row>
    <row r="123" spans="1:46">
      <c r="A123" s="4" t="s">
        <v>198</v>
      </c>
      <c r="B123">
        <v>1.932385E-3</v>
      </c>
      <c r="C123" s="8">
        <v>0</v>
      </c>
      <c r="D123" s="8">
        <v>0</v>
      </c>
      <c r="E123" s="8">
        <v>0</v>
      </c>
      <c r="F123" s="8">
        <v>0</v>
      </c>
      <c r="G123" s="38">
        <v>1.93239E-3</v>
      </c>
      <c r="H123" s="18" t="s">
        <v>78</v>
      </c>
      <c r="I123" s="8">
        <v>3</v>
      </c>
      <c r="J123" s="18" t="s">
        <v>78</v>
      </c>
      <c r="K123" s="8">
        <v>87</v>
      </c>
      <c r="L123" s="24" t="s">
        <v>78</v>
      </c>
      <c r="M123" s="24" t="s">
        <v>78</v>
      </c>
      <c r="N123" s="18" t="s">
        <v>77</v>
      </c>
      <c r="O123" s="18" t="s">
        <v>77</v>
      </c>
      <c r="P123" s="8">
        <v>1.5</v>
      </c>
      <c r="Q123" s="13">
        <v>686.61</v>
      </c>
      <c r="R123" s="8">
        <v>3837482.76</v>
      </c>
      <c r="S123" s="24" t="s">
        <v>78</v>
      </c>
      <c r="T123" s="24" t="s">
        <v>78</v>
      </c>
      <c r="U123" s="24" t="s">
        <v>78</v>
      </c>
      <c r="V123" s="18" t="s">
        <v>78</v>
      </c>
      <c r="W123" s="21">
        <v>404520</v>
      </c>
      <c r="X123" s="18" t="s">
        <v>78</v>
      </c>
      <c r="Y123" s="18" t="s">
        <v>78</v>
      </c>
      <c r="Z123" s="8">
        <v>2.4</v>
      </c>
      <c r="AA123" s="8">
        <v>0</v>
      </c>
      <c r="AB123" s="8">
        <v>48876.57</v>
      </c>
      <c r="AC123" s="8">
        <f>55.64*1000</f>
        <v>55640</v>
      </c>
      <c r="AD123" s="8">
        <v>-297.75</v>
      </c>
      <c r="AE123" s="41" t="s">
        <v>78</v>
      </c>
      <c r="AF123" s="24" t="s">
        <v>78</v>
      </c>
      <c r="AG123" s="8"/>
      <c r="AH123" s="8">
        <v>0.152</v>
      </c>
      <c r="AI123" s="24" t="s">
        <v>78</v>
      </c>
      <c r="AJ123" s="8">
        <v>12</v>
      </c>
      <c r="AK123" s="8">
        <v>0</v>
      </c>
      <c r="AL123" s="8" t="s">
        <v>78</v>
      </c>
      <c r="AM123" s="24" t="s">
        <v>78</v>
      </c>
      <c r="AN123" s="24" t="s">
        <v>78</v>
      </c>
      <c r="AO123" s="8">
        <v>73.064941079831698</v>
      </c>
      <c r="AP123" s="17">
        <v>100</v>
      </c>
      <c r="AQ123" s="24" t="s">
        <v>78</v>
      </c>
      <c r="AR123" s="24" t="s">
        <v>78</v>
      </c>
      <c r="AS123" s="24" t="s">
        <v>78</v>
      </c>
      <c r="AT123" s="24" t="s">
        <v>78</v>
      </c>
    </row>
    <row r="124" spans="1:46">
      <c r="A124" s="22" t="s">
        <v>199</v>
      </c>
      <c r="B124">
        <v>8.3119893350000005E-3</v>
      </c>
      <c r="C124" s="8">
        <v>0</v>
      </c>
      <c r="D124" s="8">
        <v>0</v>
      </c>
      <c r="E124" s="8">
        <v>0</v>
      </c>
      <c r="F124" s="8">
        <v>0</v>
      </c>
      <c r="G124" s="38">
        <v>8.31199E-3</v>
      </c>
      <c r="H124" s="17">
        <v>35</v>
      </c>
      <c r="I124" s="8">
        <v>2.6</v>
      </c>
      <c r="J124" s="8">
        <v>55.9</v>
      </c>
      <c r="K124" s="46">
        <v>25</v>
      </c>
      <c r="L124" s="8">
        <v>19</v>
      </c>
      <c r="M124" s="8">
        <v>7</v>
      </c>
      <c r="N124" s="17">
        <v>53.386000000000003</v>
      </c>
      <c r="O124" s="23">
        <v>92.210000000000008</v>
      </c>
      <c r="P124" s="8">
        <v>2.4</v>
      </c>
      <c r="Q124" s="13">
        <v>28915.65</v>
      </c>
      <c r="R124" s="8">
        <v>-1427375.78</v>
      </c>
      <c r="S124" s="8">
        <v>5.0999999999999996</v>
      </c>
      <c r="T124" s="8">
        <v>64.5</v>
      </c>
      <c r="U124" s="17">
        <v>0.56200000000000006</v>
      </c>
      <c r="V124" s="17">
        <v>3</v>
      </c>
      <c r="W124" s="21">
        <v>14813115</v>
      </c>
      <c r="X124" s="8">
        <v>25</v>
      </c>
      <c r="Y124" s="8">
        <v>31.4</v>
      </c>
      <c r="Z124" s="8">
        <v>8</v>
      </c>
      <c r="AA124" s="8">
        <v>53.1</v>
      </c>
      <c r="AB124" s="8">
        <v>46494.5</v>
      </c>
      <c r="AC124" s="8">
        <f>539.64</f>
        <v>539.64</v>
      </c>
      <c r="AD124" s="8">
        <v>300.17</v>
      </c>
      <c r="AE124" s="8">
        <v>18.600000000000001</v>
      </c>
      <c r="AF124" s="8">
        <v>10.1</v>
      </c>
      <c r="AG124" s="8"/>
      <c r="AH124" s="8">
        <v>0.13</v>
      </c>
      <c r="AI124" s="8">
        <v>26</v>
      </c>
      <c r="AJ124" s="8">
        <v>20</v>
      </c>
      <c r="AK124" s="8">
        <v>97</v>
      </c>
      <c r="AL124" s="8">
        <v>7883502</v>
      </c>
      <c r="AM124" s="8">
        <v>33.6</v>
      </c>
      <c r="AN124" s="17">
        <v>22.26</v>
      </c>
      <c r="AO124" s="8">
        <v>57.301975115380898</v>
      </c>
      <c r="AP124">
        <v>33.735076904296903</v>
      </c>
      <c r="AQ124" s="8">
        <v>29.5</v>
      </c>
      <c r="AR124" s="8">
        <v>11.2</v>
      </c>
      <c r="AS124" s="8">
        <v>28.4</v>
      </c>
      <c r="AT124" s="8">
        <v>1.9950000000000001</v>
      </c>
    </row>
    <row r="125" spans="1:46">
      <c r="A125" s="4" t="s">
        <v>200</v>
      </c>
      <c r="B125">
        <v>1.47354174481785E-2</v>
      </c>
      <c r="C125">
        <v>1.20872244817854E-3</v>
      </c>
      <c r="D125" s="8">
        <v>0</v>
      </c>
      <c r="E125" s="8">
        <v>0</v>
      </c>
      <c r="F125" s="8">
        <v>0</v>
      </c>
      <c r="G125">
        <v>1.3526695E-2</v>
      </c>
      <c r="H125" s="17">
        <v>48</v>
      </c>
      <c r="I125" s="8">
        <v>7</v>
      </c>
      <c r="J125" s="8">
        <v>55.2</v>
      </c>
      <c r="K125" s="24" t="s">
        <v>78</v>
      </c>
      <c r="L125" s="8">
        <v>79</v>
      </c>
      <c r="M125" s="8">
        <v>38</v>
      </c>
      <c r="N125" s="17">
        <v>70.048000000000002</v>
      </c>
      <c r="O125" s="23">
        <v>88.74</v>
      </c>
      <c r="P125" s="8">
        <v>2.6</v>
      </c>
      <c r="Q125" s="13">
        <v>19889.740000000002</v>
      </c>
      <c r="R125" s="8">
        <v>-2043301.78</v>
      </c>
      <c r="S125" s="8">
        <v>4.5</v>
      </c>
      <c r="T125" s="8">
        <v>62.9</v>
      </c>
      <c r="U125" s="17">
        <v>0.54500000000000004</v>
      </c>
      <c r="V125" s="17">
        <v>2</v>
      </c>
      <c r="W125" s="21">
        <v>8551109</v>
      </c>
      <c r="X125" s="8">
        <v>27</v>
      </c>
      <c r="Y125" s="8">
        <v>35.6</v>
      </c>
      <c r="Z125" s="8">
        <v>16.5</v>
      </c>
      <c r="AA125" s="8">
        <v>74.5</v>
      </c>
      <c r="AB125" s="8">
        <v>32582.43</v>
      </c>
      <c r="AC125" s="8">
        <v>482.55</v>
      </c>
      <c r="AD125" s="8">
        <v>46.41</v>
      </c>
      <c r="AE125" s="8">
        <v>19.7</v>
      </c>
      <c r="AF125" s="8">
        <v>12.7</v>
      </c>
      <c r="AG125" s="8"/>
      <c r="AH125" s="8">
        <v>0.11</v>
      </c>
      <c r="AI125" s="8">
        <v>35</v>
      </c>
      <c r="AJ125" s="8">
        <v>30</v>
      </c>
      <c r="AK125" s="8">
        <v>79</v>
      </c>
      <c r="AL125" s="8">
        <v>6410979</v>
      </c>
      <c r="AM125" s="8">
        <v>35.700000000000003</v>
      </c>
      <c r="AN125" s="17">
        <v>22.972999999999999</v>
      </c>
      <c r="AO125" s="8">
        <v>54.146122156838402</v>
      </c>
      <c r="AP125">
        <v>14.866768836975099</v>
      </c>
      <c r="AQ125" s="8">
        <v>54.1</v>
      </c>
      <c r="AR125" s="8">
        <v>3.5</v>
      </c>
      <c r="AS125" s="8">
        <v>33.1</v>
      </c>
      <c r="AT125" s="8">
        <v>1.895</v>
      </c>
    </row>
    <row r="126" spans="1:46">
      <c r="A126" s="22" t="s">
        <v>201</v>
      </c>
      <c r="B126">
        <v>4.4168637612564101</v>
      </c>
      <c r="C126">
        <v>7.5927004927494296E-2</v>
      </c>
      <c r="D126">
        <v>2.6739730188989999</v>
      </c>
      <c r="E126">
        <v>1.3498213524299101</v>
      </c>
      <c r="F126" s="31">
        <v>0</v>
      </c>
      <c r="G126">
        <v>0.31714238500000003</v>
      </c>
      <c r="H126" s="17">
        <v>76</v>
      </c>
      <c r="I126" s="8">
        <v>4.5999999999999996</v>
      </c>
      <c r="J126" s="8">
        <v>60.7</v>
      </c>
      <c r="K126" s="8">
        <v>68</v>
      </c>
      <c r="L126" s="8">
        <v>49</v>
      </c>
      <c r="M126" s="8">
        <v>63</v>
      </c>
      <c r="N126" s="17">
        <v>97.100000000000009</v>
      </c>
      <c r="O126" s="23">
        <v>0.02</v>
      </c>
      <c r="P126" s="8">
        <v>1.1000000000000001</v>
      </c>
      <c r="Q126" s="8">
        <v>33573.870000000003</v>
      </c>
      <c r="R126" s="8">
        <v>26470517.02</v>
      </c>
      <c r="S126" s="8">
        <v>10.6</v>
      </c>
      <c r="T126" s="8">
        <v>74.900000000000006</v>
      </c>
      <c r="U126" s="17">
        <v>0.628</v>
      </c>
      <c r="V126" s="17">
        <v>5</v>
      </c>
      <c r="W126" s="21">
        <v>16739686</v>
      </c>
      <c r="X126" s="8">
        <v>55</v>
      </c>
      <c r="Y126" s="8">
        <v>78</v>
      </c>
      <c r="Z126" s="8">
        <v>2.8</v>
      </c>
      <c r="AA126" s="8">
        <v>70</v>
      </c>
      <c r="AB126" s="34">
        <v>971274.52</v>
      </c>
      <c r="AC126" s="8">
        <f>13.94*1000</f>
        <v>13940</v>
      </c>
      <c r="AD126" s="34">
        <v>18595.650000000001</v>
      </c>
      <c r="AE126" s="8">
        <v>79</v>
      </c>
      <c r="AF126" s="8">
        <v>13.3</v>
      </c>
      <c r="AG126" s="8">
        <v>-6</v>
      </c>
      <c r="AH126" s="8">
        <v>0.05</v>
      </c>
      <c r="AI126" s="8">
        <v>48</v>
      </c>
      <c r="AJ126" s="8">
        <v>24</v>
      </c>
      <c r="AK126" s="8">
        <v>14</v>
      </c>
      <c r="AL126" s="8">
        <v>520232</v>
      </c>
      <c r="AM126" s="8">
        <v>43.7</v>
      </c>
      <c r="AN126" s="17">
        <v>14.762</v>
      </c>
      <c r="AO126" s="8">
        <v>69.787924530066505</v>
      </c>
      <c r="AP126" s="17">
        <v>100</v>
      </c>
      <c r="AQ126" s="8">
        <v>36</v>
      </c>
      <c r="AR126" s="8">
        <v>33.799999999999997</v>
      </c>
      <c r="AS126" s="8">
        <v>27.2</v>
      </c>
      <c r="AT126" s="8">
        <v>1.4710000000000001</v>
      </c>
    </row>
    <row r="127" spans="1:46">
      <c r="A127" s="4" t="s">
        <v>202</v>
      </c>
      <c r="B127">
        <v>2.9386499999999998E-4</v>
      </c>
      <c r="C127" s="8">
        <v>0</v>
      </c>
      <c r="D127" s="8">
        <v>0</v>
      </c>
      <c r="E127" s="8">
        <v>0</v>
      </c>
      <c r="F127" s="8">
        <v>0</v>
      </c>
      <c r="G127" s="38">
        <v>2.9387E-4</v>
      </c>
      <c r="H127" s="17">
        <v>69</v>
      </c>
      <c r="I127" s="8">
        <v>6.1</v>
      </c>
      <c r="J127" s="18" t="s">
        <v>78</v>
      </c>
      <c r="K127" s="8">
        <v>22</v>
      </c>
      <c r="L127" s="8">
        <v>25</v>
      </c>
      <c r="M127" s="8">
        <v>14</v>
      </c>
      <c r="N127" s="17">
        <v>99.543999999999997</v>
      </c>
      <c r="O127" s="23">
        <v>0.27</v>
      </c>
      <c r="P127" s="8">
        <v>1.4</v>
      </c>
      <c r="Q127" s="13">
        <v>521.46</v>
      </c>
      <c r="R127" s="8">
        <v>449188.89</v>
      </c>
      <c r="S127" s="8">
        <v>7.3</v>
      </c>
      <c r="T127" s="8">
        <v>79.900000000000006</v>
      </c>
      <c r="U127" s="24" t="s">
        <v>78</v>
      </c>
      <c r="V127" s="18" t="s">
        <v>78</v>
      </c>
      <c r="W127" s="21">
        <v>229277</v>
      </c>
      <c r="X127" s="18" t="s">
        <v>78</v>
      </c>
      <c r="Y127" s="18" t="s">
        <v>78</v>
      </c>
      <c r="Z127" s="8">
        <v>4.4000000000000004</v>
      </c>
      <c r="AA127" s="8">
        <v>125.4</v>
      </c>
      <c r="AB127" s="8">
        <v>10750.03</v>
      </c>
      <c r="AC127" s="8">
        <f>16.44*1000</f>
        <v>16440</v>
      </c>
      <c r="AD127" s="8">
        <v>443.47</v>
      </c>
      <c r="AE127" s="41" t="s">
        <v>78</v>
      </c>
      <c r="AF127" s="8">
        <v>12.6</v>
      </c>
      <c r="AG127" s="8"/>
      <c r="AH127" s="8">
        <v>0.12</v>
      </c>
      <c r="AI127" s="8">
        <v>40</v>
      </c>
      <c r="AJ127" s="8">
        <v>15</v>
      </c>
      <c r="AK127" s="8">
        <v>0</v>
      </c>
      <c r="AL127" s="8" t="s">
        <v>78</v>
      </c>
      <c r="AM127" s="8">
        <v>52</v>
      </c>
      <c r="AN127" s="17">
        <v>6.7960000000000003</v>
      </c>
      <c r="AO127" s="8">
        <v>73.737936456949996</v>
      </c>
      <c r="AP127" s="17">
        <v>100</v>
      </c>
      <c r="AQ127" s="8">
        <v>35.700000000000003</v>
      </c>
      <c r="AR127" s="8">
        <v>25</v>
      </c>
      <c r="AS127" s="8">
        <v>33.5</v>
      </c>
      <c r="AT127" s="24" t="s">
        <v>78</v>
      </c>
    </row>
    <row r="128" spans="1:46">
      <c r="A128" s="22" t="s">
        <v>203</v>
      </c>
      <c r="B128">
        <v>9.2968200000000008E-3</v>
      </c>
      <c r="C128" s="8">
        <v>0</v>
      </c>
      <c r="D128" s="8">
        <v>0</v>
      </c>
      <c r="E128" s="8">
        <v>0</v>
      </c>
      <c r="F128" s="8">
        <v>0</v>
      </c>
      <c r="G128" s="38">
        <v>9.2968200000000008E-3</v>
      </c>
      <c r="H128" s="17">
        <v>42</v>
      </c>
      <c r="I128" s="8">
        <v>7.7</v>
      </c>
      <c r="J128" s="8">
        <v>50.3</v>
      </c>
      <c r="K128" s="8">
        <v>15</v>
      </c>
      <c r="L128" s="8">
        <v>38</v>
      </c>
      <c r="M128" s="8">
        <v>22</v>
      </c>
      <c r="N128" s="17">
        <v>82.546999999999997</v>
      </c>
      <c r="O128" s="23">
        <v>68.790000000000006</v>
      </c>
      <c r="P128" s="8">
        <v>3.2</v>
      </c>
      <c r="Q128" s="13">
        <v>21904.98</v>
      </c>
      <c r="R128" s="8">
        <v>-1143576.82</v>
      </c>
      <c r="S128" s="8">
        <v>2.2999999999999998</v>
      </c>
      <c r="T128" s="8">
        <v>58.9</v>
      </c>
      <c r="U128" s="17">
        <v>0.58899999999999997</v>
      </c>
      <c r="V128" s="17">
        <v>4</v>
      </c>
      <c r="W128" s="21">
        <v>7900462</v>
      </c>
      <c r="X128" s="8">
        <v>29</v>
      </c>
      <c r="Y128" s="8">
        <v>43.9</v>
      </c>
      <c r="Z128" s="8">
        <v>3</v>
      </c>
      <c r="AA128" s="8">
        <v>55.8</v>
      </c>
      <c r="AB128" s="8">
        <v>51032.17</v>
      </c>
      <c r="AC128" s="8">
        <v>876.08</v>
      </c>
      <c r="AD128" s="8">
        <v>659.67</v>
      </c>
      <c r="AE128" s="8">
        <v>21.9</v>
      </c>
      <c r="AF128" s="8">
        <v>7.4</v>
      </c>
      <c r="AG128" s="8"/>
      <c r="AH128" s="8">
        <v>0.21299999999999999</v>
      </c>
      <c r="AI128" s="8">
        <v>29</v>
      </c>
      <c r="AJ128" s="8">
        <v>30</v>
      </c>
      <c r="AK128" s="8">
        <v>9</v>
      </c>
      <c r="AL128" s="8">
        <v>1200105</v>
      </c>
      <c r="AM128" s="8">
        <v>26.7</v>
      </c>
      <c r="AN128" s="17">
        <v>39.435000000000002</v>
      </c>
      <c r="AO128" s="8">
        <v>50.168993511658996</v>
      </c>
      <c r="AP128">
        <v>50.561416625976598</v>
      </c>
      <c r="AQ128" s="8">
        <v>38.4</v>
      </c>
      <c r="AR128" s="8">
        <v>4.5</v>
      </c>
      <c r="AS128" s="8">
        <v>21.9</v>
      </c>
      <c r="AT128" s="8">
        <v>2.911</v>
      </c>
    </row>
    <row r="129" spans="1:46">
      <c r="A129" s="4" t="s">
        <v>204</v>
      </c>
      <c r="B129">
        <v>1.8000335469999999E-3</v>
      </c>
      <c r="C129" s="8">
        <v>0</v>
      </c>
      <c r="D129" s="8">
        <v>0</v>
      </c>
      <c r="E129" s="8">
        <v>0</v>
      </c>
      <c r="F129" s="8">
        <v>0</v>
      </c>
      <c r="G129">
        <v>1.8000335469999999E-3</v>
      </c>
      <c r="H129" s="17">
        <v>81</v>
      </c>
      <c r="I129" s="8">
        <v>3.5</v>
      </c>
      <c r="J129" s="8">
        <v>59.3</v>
      </c>
      <c r="K129" s="8">
        <v>75</v>
      </c>
      <c r="L129" s="24" t="s">
        <v>78</v>
      </c>
      <c r="M129" s="24" t="s">
        <v>78</v>
      </c>
      <c r="N129" s="17">
        <v>100</v>
      </c>
      <c r="O129" s="23">
        <v>0.1</v>
      </c>
      <c r="P129" s="8">
        <v>0.6</v>
      </c>
      <c r="Q129" s="13">
        <v>518.54</v>
      </c>
      <c r="R129" s="8">
        <v>748670</v>
      </c>
      <c r="S129" s="8">
        <v>12.2</v>
      </c>
      <c r="T129" s="8">
        <v>83.8</v>
      </c>
      <c r="U129" s="17">
        <v>0.77600000000000002</v>
      </c>
      <c r="V129" s="18" t="s">
        <v>78</v>
      </c>
      <c r="W129" s="21">
        <v>280311</v>
      </c>
      <c r="X129" s="8">
        <v>50</v>
      </c>
      <c r="Y129" s="8">
        <v>75</v>
      </c>
      <c r="Z129" s="8">
        <v>4.5999999999999996</v>
      </c>
      <c r="AA129" s="8">
        <v>58.2</v>
      </c>
      <c r="AB129" s="8">
        <v>25191.23</v>
      </c>
      <c r="AC129" s="8">
        <f>33.79*1000</f>
        <v>33790</v>
      </c>
      <c r="AD129" s="8">
        <v>4365.55</v>
      </c>
      <c r="AE129" s="8">
        <v>56.9</v>
      </c>
      <c r="AF129" s="8">
        <v>16.8</v>
      </c>
      <c r="AG129" s="8"/>
      <c r="AH129" s="8">
        <v>0.14299999999999999</v>
      </c>
      <c r="AI129" s="8">
        <v>54</v>
      </c>
      <c r="AJ129" s="8">
        <v>35</v>
      </c>
      <c r="AK129" s="8">
        <v>0</v>
      </c>
      <c r="AL129" s="8" t="s">
        <v>78</v>
      </c>
      <c r="AM129" s="8">
        <v>73.2</v>
      </c>
      <c r="AN129" s="17">
        <v>13.309000000000001</v>
      </c>
      <c r="AO129" s="8">
        <v>61.952437821403599</v>
      </c>
      <c r="AP129" s="17">
        <v>100</v>
      </c>
      <c r="AQ129" s="8">
        <v>68.2</v>
      </c>
      <c r="AR129" s="8">
        <v>63.5</v>
      </c>
      <c r="AS129" s="8">
        <v>82.3</v>
      </c>
      <c r="AT129" s="24" t="s">
        <v>78</v>
      </c>
    </row>
    <row r="130" spans="1:46">
      <c r="A130" s="4" t="s">
        <v>205</v>
      </c>
      <c r="B130" s="18" t="s">
        <v>78</v>
      </c>
      <c r="C130" s="18" t="s">
        <v>78</v>
      </c>
      <c r="D130" s="18" t="s">
        <v>78</v>
      </c>
      <c r="E130" s="18" t="s">
        <v>78</v>
      </c>
      <c r="F130" s="18" t="s">
        <v>78</v>
      </c>
      <c r="G130" s="18" t="s">
        <v>78</v>
      </c>
      <c r="H130" s="18" t="s">
        <v>78</v>
      </c>
      <c r="I130" s="18" t="s">
        <v>78</v>
      </c>
      <c r="J130" s="18" t="s">
        <v>78</v>
      </c>
      <c r="K130" s="24" t="s">
        <v>78</v>
      </c>
      <c r="L130" s="24" t="s">
        <v>78</v>
      </c>
      <c r="M130" s="24" t="s">
        <v>78</v>
      </c>
      <c r="N130" s="17">
        <v>88.572000000000003</v>
      </c>
      <c r="O130" s="18" t="s">
        <v>77</v>
      </c>
      <c r="P130" s="8">
        <v>-3.2</v>
      </c>
      <c r="Q130" s="13">
        <v>42.05</v>
      </c>
      <c r="R130" s="8">
        <v>-94466.85</v>
      </c>
      <c r="S130" s="8">
        <v>10.9</v>
      </c>
      <c r="T130" s="8">
        <v>65.3</v>
      </c>
      <c r="U130" s="24" t="s">
        <v>78</v>
      </c>
      <c r="V130" s="18" t="s">
        <v>78</v>
      </c>
      <c r="W130" s="18" t="s">
        <v>78</v>
      </c>
      <c r="X130" s="18" t="s">
        <v>78</v>
      </c>
      <c r="Y130" s="18" t="s">
        <v>78</v>
      </c>
      <c r="Z130" s="8">
        <v>2.2000000000000002</v>
      </c>
      <c r="AA130" s="8">
        <v>21.6</v>
      </c>
      <c r="AB130" s="8">
        <v>275.41000000000003</v>
      </c>
      <c r="AC130" s="8">
        <f>5.09*1000</f>
        <v>5090</v>
      </c>
      <c r="AD130" s="8">
        <v>5.38</v>
      </c>
      <c r="AE130" s="41" t="s">
        <v>78</v>
      </c>
      <c r="AF130" s="8">
        <v>10.199999999999999</v>
      </c>
      <c r="AG130" s="8"/>
      <c r="AH130" s="24" t="s">
        <v>78</v>
      </c>
      <c r="AI130" s="24" t="s">
        <v>78</v>
      </c>
      <c r="AJ130" s="18" t="s">
        <v>78</v>
      </c>
      <c r="AK130" s="8">
        <v>0</v>
      </c>
      <c r="AL130" s="8" t="s">
        <v>78</v>
      </c>
      <c r="AM130" s="8">
        <v>34.9</v>
      </c>
      <c r="AN130" s="24" t="s">
        <v>78</v>
      </c>
      <c r="AO130" s="8">
        <v>61.714481361289103</v>
      </c>
      <c r="AP130">
        <v>99.160606384277301</v>
      </c>
      <c r="AQ130" s="8">
        <v>18.7</v>
      </c>
      <c r="AR130" s="8">
        <v>38.799999999999997</v>
      </c>
      <c r="AS130" s="8">
        <v>55.8</v>
      </c>
      <c r="AT130" s="24" t="s">
        <v>78</v>
      </c>
    </row>
    <row r="131" spans="1:46">
      <c r="A131" s="4" t="s">
        <v>206</v>
      </c>
      <c r="B131">
        <v>4.0517749999999996E-3</v>
      </c>
      <c r="C131" s="8">
        <v>0</v>
      </c>
      <c r="D131" s="8">
        <v>0</v>
      </c>
      <c r="E131" s="8">
        <v>0</v>
      </c>
      <c r="F131" s="8">
        <v>0</v>
      </c>
      <c r="G131" s="38">
        <v>4.0517799999999996E-3</v>
      </c>
      <c r="H131" s="17">
        <v>40</v>
      </c>
      <c r="I131" s="8"/>
      <c r="J131" s="8">
        <v>46.3</v>
      </c>
      <c r="K131" s="24" t="s">
        <v>78</v>
      </c>
      <c r="L131" s="8">
        <v>39</v>
      </c>
      <c r="M131" s="8">
        <v>14</v>
      </c>
      <c r="N131" s="17">
        <v>71.680999999999997</v>
      </c>
      <c r="O131" s="23">
        <v>20.84</v>
      </c>
      <c r="P131" s="8">
        <v>2.6</v>
      </c>
      <c r="Q131" s="13">
        <v>4614.97</v>
      </c>
      <c r="R131" s="8">
        <v>-1131838.8700000001</v>
      </c>
      <c r="S131" s="8">
        <v>4.9000000000000004</v>
      </c>
      <c r="T131" s="8">
        <v>64.400000000000006</v>
      </c>
      <c r="U131" s="17">
        <v>0.45400000000000001</v>
      </c>
      <c r="V131" s="17">
        <v>4</v>
      </c>
      <c r="W131" s="21">
        <v>1197402</v>
      </c>
      <c r="X131" s="8">
        <v>26</v>
      </c>
      <c r="Y131" s="8">
        <v>32.4</v>
      </c>
      <c r="Z131" s="8">
        <v>7.8</v>
      </c>
      <c r="AA131" s="8">
        <v>51.6</v>
      </c>
      <c r="AB131" s="8">
        <v>26909.07</v>
      </c>
      <c r="AC131" s="8">
        <f>2.37*1000</f>
        <v>2370</v>
      </c>
      <c r="AD131" s="8">
        <v>22.18</v>
      </c>
      <c r="AE131" s="8">
        <v>12.7</v>
      </c>
      <c r="AF131" s="8">
        <v>9.4</v>
      </c>
      <c r="AG131" s="8"/>
      <c r="AH131" s="24" t="s">
        <v>78</v>
      </c>
      <c r="AI131" s="8">
        <v>28</v>
      </c>
      <c r="AJ131" s="8">
        <v>25</v>
      </c>
      <c r="AK131" s="8">
        <v>2</v>
      </c>
      <c r="AL131" s="8">
        <v>670680</v>
      </c>
      <c r="AM131" s="8">
        <v>21.1</v>
      </c>
      <c r="AN131" s="17">
        <v>50.369</v>
      </c>
      <c r="AO131" s="8">
        <v>61.4765249011745</v>
      </c>
      <c r="AP131">
        <v>47.348419189453097</v>
      </c>
      <c r="AQ131" s="8">
        <v>30.2</v>
      </c>
      <c r="AR131" s="8">
        <v>35.5</v>
      </c>
      <c r="AS131" s="8">
        <v>27.8</v>
      </c>
      <c r="AT131" s="8">
        <v>2.1930000000000001</v>
      </c>
    </row>
    <row r="132" spans="1:46">
      <c r="A132" s="4" t="s">
        <v>207</v>
      </c>
      <c r="B132">
        <v>6.2691200000000004E-3</v>
      </c>
      <c r="C132" s="8">
        <v>0</v>
      </c>
      <c r="D132" s="8">
        <v>0</v>
      </c>
      <c r="E132" s="8">
        <v>0</v>
      </c>
      <c r="F132" s="8">
        <v>0</v>
      </c>
      <c r="G132" s="38">
        <v>6.2691200000000004E-3</v>
      </c>
      <c r="H132" s="17">
        <v>65</v>
      </c>
      <c r="I132" s="8">
        <v>11.5</v>
      </c>
      <c r="J132" s="8">
        <v>72.7</v>
      </c>
      <c r="K132" s="8">
        <v>60</v>
      </c>
      <c r="L132" s="24" t="s">
        <v>78</v>
      </c>
      <c r="M132" s="24" t="s">
        <v>78</v>
      </c>
      <c r="N132" s="17">
        <v>99.866</v>
      </c>
      <c r="O132" s="23">
        <v>1.72</v>
      </c>
      <c r="P132" s="8">
        <v>0</v>
      </c>
      <c r="Q132" s="13">
        <v>1266.06</v>
      </c>
      <c r="R132" s="8">
        <v>-2884406.57</v>
      </c>
      <c r="S132" s="8">
        <v>10.4</v>
      </c>
      <c r="T132" s="8">
        <v>73.599999999999994</v>
      </c>
      <c r="U132" s="17">
        <v>0.62</v>
      </c>
      <c r="V132" s="17">
        <v>3</v>
      </c>
      <c r="W132" s="21">
        <v>597883</v>
      </c>
      <c r="X132" s="8">
        <v>38</v>
      </c>
      <c r="Y132" s="8">
        <v>68.7</v>
      </c>
      <c r="Z132" s="8">
        <v>6.1</v>
      </c>
      <c r="AA132" s="8">
        <v>90</v>
      </c>
      <c r="AB132" s="8">
        <v>29164.05</v>
      </c>
      <c r="AC132" s="8">
        <f>9.83*1000</f>
        <v>9830</v>
      </c>
      <c r="AD132" s="8">
        <v>253.19</v>
      </c>
      <c r="AE132" s="8">
        <v>65.8</v>
      </c>
      <c r="AF132" s="8">
        <v>15.2</v>
      </c>
      <c r="AG132" s="8"/>
      <c r="AH132" s="8">
        <v>0.13900000000000001</v>
      </c>
      <c r="AI132" s="8">
        <v>54</v>
      </c>
      <c r="AJ132" s="8">
        <v>15</v>
      </c>
      <c r="AK132" s="8">
        <v>3</v>
      </c>
      <c r="AL132" s="8">
        <v>212511</v>
      </c>
      <c r="AM132" s="8">
        <v>50.7</v>
      </c>
      <c r="AN132" s="17">
        <v>14.185</v>
      </c>
      <c r="AO132" s="8">
        <v>61.238568441059897</v>
      </c>
      <c r="AP132">
        <v>99.661651611328097</v>
      </c>
      <c r="AQ132" s="8">
        <v>37.200000000000003</v>
      </c>
      <c r="AR132" s="8">
        <v>67.400000000000006</v>
      </c>
      <c r="AS132" s="8">
        <v>46.4</v>
      </c>
      <c r="AT132" s="8">
        <v>1.57</v>
      </c>
    </row>
    <row r="133" spans="1:46">
      <c r="A133" s="22" t="s">
        <v>208</v>
      </c>
      <c r="B133">
        <v>5.78512956350741</v>
      </c>
      <c r="C133">
        <v>0.207907904953996</v>
      </c>
      <c r="D133">
        <v>0.98576421532432601</v>
      </c>
      <c r="E133">
        <v>3.9945459907845802</v>
      </c>
      <c r="F133">
        <v>0.1095172660065</v>
      </c>
      <c r="G133">
        <v>0.48739418643799998</v>
      </c>
      <c r="H133" s="17">
        <v>74</v>
      </c>
      <c r="I133" s="8">
        <v>4.4000000000000004</v>
      </c>
      <c r="J133" s="8">
        <v>64.8</v>
      </c>
      <c r="K133" s="8">
        <v>60</v>
      </c>
      <c r="L133" s="8">
        <v>91</v>
      </c>
      <c r="M133" s="8">
        <v>64</v>
      </c>
      <c r="N133" s="17">
        <v>99.68</v>
      </c>
      <c r="O133" s="23">
        <v>8.41</v>
      </c>
      <c r="P133" s="8">
        <v>0.6</v>
      </c>
      <c r="Q133" s="13">
        <v>126705.14</v>
      </c>
      <c r="R133" s="8">
        <v>-22516226.829999998</v>
      </c>
      <c r="S133" s="8">
        <v>9.1999999999999993</v>
      </c>
      <c r="T133" s="8">
        <v>70.2</v>
      </c>
      <c r="U133" s="17">
        <v>0.48799999999999999</v>
      </c>
      <c r="V133" s="17">
        <v>3</v>
      </c>
      <c r="W133" s="21">
        <v>56132488</v>
      </c>
      <c r="X133" s="8">
        <v>44</v>
      </c>
      <c r="Y133" s="8">
        <v>72.400000000000006</v>
      </c>
      <c r="Z133" s="8">
        <v>6.3</v>
      </c>
      <c r="AA133" s="8">
        <v>58.7</v>
      </c>
      <c r="AB133" s="8">
        <v>2569222.48</v>
      </c>
      <c r="AC133" s="8">
        <f>11.25*1000</f>
        <v>11250</v>
      </c>
      <c r="AD133" s="8">
        <v>33265.279999999999</v>
      </c>
      <c r="AE133" s="8">
        <v>36.9</v>
      </c>
      <c r="AF133" s="8">
        <v>14.9</v>
      </c>
      <c r="AG133" s="8"/>
      <c r="AH133" s="8">
        <v>8.8999999999999996E-2</v>
      </c>
      <c r="AI133" s="8">
        <v>31</v>
      </c>
      <c r="AJ133" s="8">
        <v>30</v>
      </c>
      <c r="AK133" s="8">
        <v>206</v>
      </c>
      <c r="AL133" s="8">
        <v>4023458</v>
      </c>
      <c r="AM133" s="8">
        <v>34.200000000000003</v>
      </c>
      <c r="AN133" s="17">
        <v>19.036000000000001</v>
      </c>
      <c r="AO133" s="8">
        <v>61.000611980945301</v>
      </c>
      <c r="AP133">
        <v>99.400001525878906</v>
      </c>
      <c r="AQ133" s="8">
        <v>53.7</v>
      </c>
      <c r="AR133" s="8">
        <v>43.5</v>
      </c>
      <c r="AS133" s="8">
        <v>38.9</v>
      </c>
      <c r="AT133" s="8">
        <v>2.6120000000000001</v>
      </c>
    </row>
    <row r="134" spans="1:46">
      <c r="A134" s="4" t="s">
        <v>209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17">
        <v>48</v>
      </c>
      <c r="I134" s="18" t="s">
        <v>78</v>
      </c>
      <c r="J134" s="18" t="s">
        <v>78</v>
      </c>
      <c r="K134" s="24" t="s">
        <v>78</v>
      </c>
      <c r="L134" s="24" t="s">
        <v>78</v>
      </c>
      <c r="M134" s="8" t="s">
        <v>78</v>
      </c>
      <c r="N134" s="17">
        <v>88.308000000000007</v>
      </c>
      <c r="O134" s="18" t="s">
        <v>77</v>
      </c>
      <c r="P134" s="8">
        <v>0.9</v>
      </c>
      <c r="Q134" s="13">
        <v>113.13</v>
      </c>
      <c r="R134" s="8">
        <v>-105076.9</v>
      </c>
      <c r="S134" s="8">
        <v>7.8</v>
      </c>
      <c r="T134" s="8">
        <v>70.7</v>
      </c>
      <c r="U134" s="18" t="s">
        <v>78</v>
      </c>
      <c r="V134" s="18" t="s">
        <v>78</v>
      </c>
      <c r="W134" s="21" t="s">
        <v>85</v>
      </c>
      <c r="X134" s="18" t="s">
        <v>78</v>
      </c>
      <c r="Y134" s="18" t="s">
        <v>78</v>
      </c>
      <c r="Z134" s="8">
        <v>3</v>
      </c>
      <c r="AA134" s="8">
        <v>13.3</v>
      </c>
      <c r="AB134" s="8">
        <v>412.03</v>
      </c>
      <c r="AC134" s="8">
        <f>4.31*1000</f>
        <v>4310</v>
      </c>
      <c r="AD134" s="8">
        <v>20.21</v>
      </c>
      <c r="AE134" s="41" t="s">
        <v>78</v>
      </c>
      <c r="AF134" s="8">
        <v>11.5</v>
      </c>
      <c r="AG134" s="8"/>
      <c r="AH134" s="24" t="s">
        <v>78</v>
      </c>
      <c r="AI134" s="24" t="s">
        <v>78</v>
      </c>
      <c r="AJ134" s="8">
        <v>30</v>
      </c>
      <c r="AK134" s="8">
        <v>0</v>
      </c>
      <c r="AL134" s="8" t="s">
        <v>78</v>
      </c>
      <c r="AM134" s="8">
        <v>31.6</v>
      </c>
      <c r="AN134" s="17">
        <v>10.712</v>
      </c>
      <c r="AO134" s="8">
        <v>60.762655520830698</v>
      </c>
      <c r="AP134">
        <v>82.925918579101605</v>
      </c>
      <c r="AQ134" s="8">
        <v>29.4</v>
      </c>
      <c r="AR134" s="8">
        <v>14.9</v>
      </c>
      <c r="AS134" s="8">
        <v>49.2</v>
      </c>
      <c r="AT134" s="24" t="s">
        <v>78</v>
      </c>
    </row>
    <row r="135" spans="1:46">
      <c r="A135" s="22" t="s">
        <v>210</v>
      </c>
      <c r="B135">
        <v>3.341568375614E-3</v>
      </c>
      <c r="C135" s="8">
        <v>0</v>
      </c>
      <c r="D135">
        <v>2.2824256139999999E-6</v>
      </c>
      <c r="E135" s="8">
        <v>0</v>
      </c>
      <c r="F135" s="8">
        <v>0</v>
      </c>
      <c r="G135" s="38">
        <v>3.33929E-3</v>
      </c>
      <c r="H135" s="17">
        <v>67</v>
      </c>
      <c r="I135" s="8">
        <v>4</v>
      </c>
      <c r="J135" s="8">
        <v>61.1</v>
      </c>
      <c r="K135" s="8">
        <v>25</v>
      </c>
      <c r="L135" s="8">
        <v>64</v>
      </c>
      <c r="M135" s="8">
        <v>65</v>
      </c>
      <c r="N135" s="17">
        <v>90.570000000000007</v>
      </c>
      <c r="O135" s="23">
        <v>0.41000000000000003</v>
      </c>
      <c r="P135" s="8">
        <v>-0.8</v>
      </c>
      <c r="Q135" s="13">
        <v>2615.1999999999998</v>
      </c>
      <c r="R135" s="8">
        <v>-3717930</v>
      </c>
      <c r="S135" s="8">
        <v>11.8</v>
      </c>
      <c r="T135" s="8">
        <v>68.8</v>
      </c>
      <c r="U135" s="17">
        <v>0.48699999999999999</v>
      </c>
      <c r="V135" s="17">
        <v>2</v>
      </c>
      <c r="W135" s="21">
        <v>810014</v>
      </c>
      <c r="X135" s="8">
        <v>30</v>
      </c>
      <c r="Y135" s="8">
        <v>66.2</v>
      </c>
      <c r="Z135" s="8">
        <v>13.8</v>
      </c>
      <c r="AA135" s="8">
        <v>38.299999999999997</v>
      </c>
      <c r="AB135" s="8">
        <v>40249.129999999997</v>
      </c>
      <c r="AC135" s="8">
        <f>5.74*1000</f>
        <v>5740</v>
      </c>
      <c r="AD135" s="8">
        <v>244.76</v>
      </c>
      <c r="AE135" s="8">
        <v>23.4</v>
      </c>
      <c r="AF135" s="8">
        <v>14.4</v>
      </c>
      <c r="AG135" s="8"/>
      <c r="AH135" s="8">
        <v>7.9000000000000001E-2</v>
      </c>
      <c r="AI135" s="8">
        <v>36</v>
      </c>
      <c r="AJ135" s="8">
        <v>12</v>
      </c>
      <c r="AK135" s="8">
        <v>0</v>
      </c>
      <c r="AL135" s="8" t="s">
        <v>78</v>
      </c>
      <c r="AM135" s="8">
        <v>40.5</v>
      </c>
      <c r="AN135" s="17">
        <v>15.757</v>
      </c>
      <c r="AO135" s="8">
        <v>60.524699060716102</v>
      </c>
      <c r="AP135" s="17">
        <v>100</v>
      </c>
      <c r="AQ135" s="8">
        <v>42.9</v>
      </c>
      <c r="AR135" s="8">
        <v>17.7</v>
      </c>
      <c r="AS135" s="8">
        <v>42.9</v>
      </c>
      <c r="AT135" s="8">
        <v>1.8819999999999999</v>
      </c>
    </row>
    <row r="136" spans="1:46">
      <c r="A136" s="4" t="s">
        <v>211</v>
      </c>
      <c r="B136" s="18" t="s">
        <v>78</v>
      </c>
      <c r="C136" s="18" t="s">
        <v>78</v>
      </c>
      <c r="D136" s="18" t="s">
        <v>78</v>
      </c>
      <c r="E136" s="18" t="s">
        <v>78</v>
      </c>
      <c r="F136" s="18" t="s">
        <v>78</v>
      </c>
      <c r="G136" s="18" t="s">
        <v>78</v>
      </c>
      <c r="H136" s="18" t="s">
        <v>78</v>
      </c>
      <c r="I136" s="18" t="s">
        <v>78</v>
      </c>
      <c r="J136" s="18" t="s">
        <v>78</v>
      </c>
      <c r="K136" s="24" t="s">
        <v>78</v>
      </c>
      <c r="L136" s="24" t="s">
        <v>78</v>
      </c>
      <c r="M136" s="24" t="s">
        <v>78</v>
      </c>
      <c r="N136" s="17">
        <v>100</v>
      </c>
      <c r="O136" s="18" t="s">
        <v>77</v>
      </c>
      <c r="P136" s="8">
        <v>-0.6</v>
      </c>
      <c r="Q136" s="13">
        <v>36.69</v>
      </c>
      <c r="R136" s="24" t="s">
        <v>78</v>
      </c>
      <c r="S136" s="24" t="s">
        <v>78</v>
      </c>
      <c r="T136" s="29">
        <v>85.9</v>
      </c>
      <c r="U136" s="24" t="s">
        <v>78</v>
      </c>
      <c r="V136" s="18" t="s">
        <v>78</v>
      </c>
      <c r="W136" s="18" t="s">
        <v>78</v>
      </c>
      <c r="X136" s="18" t="s">
        <v>78</v>
      </c>
      <c r="Y136" s="18" t="s">
        <v>78</v>
      </c>
      <c r="Z136" s="24" t="s">
        <v>78</v>
      </c>
      <c r="AA136" s="24" t="s">
        <v>78</v>
      </c>
      <c r="AB136" s="24" t="s">
        <v>78</v>
      </c>
      <c r="AC136" s="24" t="s">
        <v>78</v>
      </c>
      <c r="AD136" s="24" t="s">
        <v>78</v>
      </c>
      <c r="AE136" s="41" t="s">
        <v>78</v>
      </c>
      <c r="AF136" s="24" t="s">
        <v>78</v>
      </c>
      <c r="AG136" s="8"/>
      <c r="AH136" s="24" t="s">
        <v>78</v>
      </c>
      <c r="AI136" s="24" t="s">
        <v>78</v>
      </c>
      <c r="AJ136" s="8">
        <v>25</v>
      </c>
      <c r="AK136" s="8">
        <v>0</v>
      </c>
      <c r="AL136" s="8" t="s">
        <v>78</v>
      </c>
      <c r="AM136" s="24" t="s">
        <v>78</v>
      </c>
      <c r="AN136" s="17">
        <v>11.754</v>
      </c>
      <c r="AO136" s="8">
        <v>60.286742600601499</v>
      </c>
      <c r="AP136" s="17">
        <v>100</v>
      </c>
      <c r="AQ136" s="24" t="s">
        <v>78</v>
      </c>
      <c r="AR136" s="24" t="s">
        <v>78</v>
      </c>
      <c r="AS136" s="24" t="s">
        <v>78</v>
      </c>
      <c r="AT136" s="24" t="s">
        <v>78</v>
      </c>
    </row>
    <row r="137" spans="1:46">
      <c r="A137" s="4" t="s">
        <v>212</v>
      </c>
      <c r="B137">
        <v>1.4843450041584501</v>
      </c>
      <c r="C137">
        <v>1.43812515851345</v>
      </c>
      <c r="D137" s="8">
        <v>0</v>
      </c>
      <c r="E137">
        <v>4.0500422389999999E-2</v>
      </c>
      <c r="F137" s="8">
        <v>0</v>
      </c>
      <c r="G137">
        <v>5.7194232549999998E-3</v>
      </c>
      <c r="H137" s="17">
        <v>63</v>
      </c>
      <c r="I137" s="8">
        <v>7.1</v>
      </c>
      <c r="J137" s="8">
        <v>61.8</v>
      </c>
      <c r="K137" s="8">
        <v>25</v>
      </c>
      <c r="L137" s="8">
        <v>21</v>
      </c>
      <c r="M137" s="8" t="s">
        <v>213</v>
      </c>
      <c r="N137" s="17">
        <v>85.495999999999995</v>
      </c>
      <c r="O137" s="23">
        <v>2.33</v>
      </c>
      <c r="P137" s="8">
        <v>1.6</v>
      </c>
      <c r="Q137" s="13">
        <v>3347.78</v>
      </c>
      <c r="R137" s="8">
        <v>-305729.90999999997</v>
      </c>
      <c r="S137" s="8">
        <v>9.4</v>
      </c>
      <c r="T137" s="8">
        <v>71</v>
      </c>
      <c r="U137" s="17">
        <v>0.54900000000000004</v>
      </c>
      <c r="V137" s="18" t="s">
        <v>78</v>
      </c>
      <c r="W137" s="21">
        <v>1330610</v>
      </c>
      <c r="X137" s="8">
        <v>32</v>
      </c>
      <c r="Y137" s="8">
        <v>56.6</v>
      </c>
      <c r="Z137" s="8">
        <v>12.1</v>
      </c>
      <c r="AA137" s="8">
        <v>78.5</v>
      </c>
      <c r="AB137" s="8">
        <v>42914.81</v>
      </c>
      <c r="AC137" s="8">
        <f>4.73*1000</f>
        <v>4730</v>
      </c>
      <c r="AD137" s="8">
        <v>2139.67</v>
      </c>
      <c r="AE137" s="8">
        <v>24.7</v>
      </c>
      <c r="AF137" s="8">
        <v>15</v>
      </c>
      <c r="AG137" s="8"/>
      <c r="AH137" s="24" t="s">
        <v>78</v>
      </c>
      <c r="AI137" s="8">
        <v>35</v>
      </c>
      <c r="AJ137" s="8">
        <v>25</v>
      </c>
      <c r="AK137" s="8">
        <v>14</v>
      </c>
      <c r="AL137" s="8">
        <v>715012</v>
      </c>
      <c r="AM137" s="8">
        <v>14.9</v>
      </c>
      <c r="AN137" s="17">
        <v>38.6</v>
      </c>
      <c r="AO137" s="8">
        <v>60.048786140486897</v>
      </c>
      <c r="AP137">
        <v>98.099998474121094</v>
      </c>
      <c r="AQ137" s="8">
        <v>45.9</v>
      </c>
      <c r="AR137" s="8">
        <v>15.7</v>
      </c>
      <c r="AS137" s="8">
        <v>14.6</v>
      </c>
      <c r="AT137" s="8">
        <v>1.7749999999999999</v>
      </c>
    </row>
    <row r="138" spans="1:46">
      <c r="A138" s="22" t="s">
        <v>214</v>
      </c>
      <c r="B138">
        <v>2.8684279244283999E-2</v>
      </c>
      <c r="C138">
        <v>1.4749904439283999E-2</v>
      </c>
      <c r="D138" s="8">
        <v>0</v>
      </c>
      <c r="E138" s="8">
        <v>0</v>
      </c>
      <c r="F138" s="8">
        <v>0</v>
      </c>
      <c r="G138">
        <v>1.3934374805E-2</v>
      </c>
      <c r="H138" s="17">
        <v>67</v>
      </c>
      <c r="I138" s="8">
        <v>18.5</v>
      </c>
      <c r="J138" s="8">
        <v>63</v>
      </c>
      <c r="K138" s="8">
        <v>35</v>
      </c>
      <c r="L138" s="8">
        <v>46</v>
      </c>
      <c r="M138" s="8">
        <v>57</v>
      </c>
      <c r="N138" s="17">
        <v>98.856999999999999</v>
      </c>
      <c r="O138" s="23">
        <v>4.1100000000000003</v>
      </c>
      <c r="P138" s="8">
        <v>-0.3</v>
      </c>
      <c r="Q138" s="13">
        <v>619.21</v>
      </c>
      <c r="R138" s="8">
        <v>-1135463.8600000001</v>
      </c>
      <c r="S138" s="8">
        <v>12.2</v>
      </c>
      <c r="T138" s="8">
        <v>76.3</v>
      </c>
      <c r="U138" s="24" t="s">
        <v>78</v>
      </c>
      <c r="V138" s="29">
        <v>2</v>
      </c>
      <c r="W138" s="21">
        <v>277394</v>
      </c>
      <c r="X138" s="8">
        <v>38</v>
      </c>
      <c r="Y138" s="8">
        <v>63.6</v>
      </c>
      <c r="Z138" s="8">
        <v>9.1999999999999993</v>
      </c>
      <c r="AA138" s="8">
        <v>70.599999999999994</v>
      </c>
      <c r="AB138" s="8">
        <v>14418.06</v>
      </c>
      <c r="AC138" s="8">
        <f>10.72*1000</f>
        <v>10720</v>
      </c>
      <c r="AD138" s="8">
        <v>692.88</v>
      </c>
      <c r="AE138" s="8">
        <v>52.3</v>
      </c>
      <c r="AF138" s="8">
        <v>15.1</v>
      </c>
      <c r="AG138" s="8"/>
      <c r="AH138" s="29">
        <v>0.1</v>
      </c>
      <c r="AI138" s="8">
        <v>46</v>
      </c>
      <c r="AJ138" s="8">
        <v>15</v>
      </c>
      <c r="AK138" s="8">
        <v>0</v>
      </c>
      <c r="AL138" s="8" t="s">
        <v>78</v>
      </c>
      <c r="AM138" s="8">
        <v>30.7</v>
      </c>
      <c r="AN138" s="17">
        <v>19.614000000000001</v>
      </c>
      <c r="AO138" s="8">
        <v>59.810829680372301</v>
      </c>
      <c r="AP138" s="17">
        <v>100</v>
      </c>
      <c r="AQ138" s="8">
        <v>44.7</v>
      </c>
      <c r="AR138" s="8">
        <v>15.5</v>
      </c>
      <c r="AS138" s="8">
        <v>52.3</v>
      </c>
      <c r="AT138" s="8">
        <v>1.8009999999999999</v>
      </c>
    </row>
    <row r="139" spans="1:46">
      <c r="A139" s="22" t="s">
        <v>215</v>
      </c>
      <c r="B139">
        <v>7.1747687148660699E-2</v>
      </c>
      <c r="C139" s="8">
        <v>0</v>
      </c>
      <c r="D139">
        <v>3.8627039830050002E-3</v>
      </c>
      <c r="E139">
        <v>1.46598360655738E-4</v>
      </c>
      <c r="F139" s="8">
        <v>0</v>
      </c>
      <c r="G139">
        <v>6.7738384804999996E-2</v>
      </c>
      <c r="H139" s="17">
        <v>73</v>
      </c>
      <c r="I139" s="8">
        <v>11.5</v>
      </c>
      <c r="J139" s="8">
        <v>53.1</v>
      </c>
      <c r="K139" s="8">
        <v>50</v>
      </c>
      <c r="L139" s="8">
        <v>67</v>
      </c>
      <c r="M139" s="8">
        <v>54</v>
      </c>
      <c r="N139" s="17">
        <v>90.402000000000001</v>
      </c>
      <c r="O139" s="23">
        <v>5.17</v>
      </c>
      <c r="P139" s="8">
        <v>1.1000000000000001</v>
      </c>
      <c r="Q139" s="13">
        <v>37076.58</v>
      </c>
      <c r="R139" s="8">
        <v>-12969304.119999999</v>
      </c>
      <c r="S139" s="8">
        <v>5.9</v>
      </c>
      <c r="T139" s="8">
        <v>74</v>
      </c>
      <c r="U139" s="17">
        <v>0.56400000000000006</v>
      </c>
      <c r="V139" s="17">
        <v>3</v>
      </c>
      <c r="W139" s="21">
        <v>11813726</v>
      </c>
      <c r="X139" s="8">
        <v>35</v>
      </c>
      <c r="Y139" s="8">
        <v>72.599999999999994</v>
      </c>
      <c r="Z139" s="8">
        <v>4.0999999999999996</v>
      </c>
      <c r="AA139" s="8">
        <v>70.099999999999994</v>
      </c>
      <c r="AB139" s="8">
        <v>333242.87</v>
      </c>
      <c r="AC139" s="8">
        <f>4.07*1000</f>
        <v>4070.0000000000005</v>
      </c>
      <c r="AD139" s="8">
        <v>2150.84</v>
      </c>
      <c r="AE139" s="8">
        <v>49.9</v>
      </c>
      <c r="AF139" s="8">
        <v>14.2</v>
      </c>
      <c r="AG139" s="8"/>
      <c r="AH139" s="8">
        <v>0.112</v>
      </c>
      <c r="AI139" s="8">
        <v>39</v>
      </c>
      <c r="AJ139" s="8">
        <v>31</v>
      </c>
      <c r="AK139" s="8">
        <v>11</v>
      </c>
      <c r="AL139" s="8">
        <v>299449</v>
      </c>
      <c r="AM139" s="8">
        <v>22.7</v>
      </c>
      <c r="AN139" s="17">
        <v>33.414999999999999</v>
      </c>
      <c r="AO139" s="8">
        <v>59.572873220257698</v>
      </c>
      <c r="AP139" s="17">
        <v>100</v>
      </c>
      <c r="AQ139" s="8">
        <v>27.2</v>
      </c>
      <c r="AR139" s="8">
        <v>30.8</v>
      </c>
      <c r="AS139" s="8">
        <v>29.5</v>
      </c>
      <c r="AT139" s="8">
        <v>1.9690000000000001</v>
      </c>
    </row>
    <row r="140" spans="1:46">
      <c r="A140" s="22" t="s">
        <v>216</v>
      </c>
      <c r="B140">
        <v>0.62290767440338801</v>
      </c>
      <c r="C140">
        <v>0.276770370977588</v>
      </c>
      <c r="D140">
        <v>0.21222730623079999</v>
      </c>
      <c r="E140" s="8">
        <v>0</v>
      </c>
      <c r="F140" s="8">
        <v>0</v>
      </c>
      <c r="G140" s="38">
        <v>0.13391</v>
      </c>
      <c r="H140" s="17">
        <v>47</v>
      </c>
      <c r="I140" s="8">
        <v>4</v>
      </c>
      <c r="J140" s="8">
        <v>54.8</v>
      </c>
      <c r="K140" s="8">
        <v>18</v>
      </c>
      <c r="L140" s="8">
        <v>59</v>
      </c>
      <c r="M140" s="8">
        <v>14</v>
      </c>
      <c r="N140" s="17">
        <v>63.369</v>
      </c>
      <c r="O140" s="23">
        <v>80.400000000000006</v>
      </c>
      <c r="P140" s="8">
        <v>2.8</v>
      </c>
      <c r="Q140" s="13">
        <v>32077.07</v>
      </c>
      <c r="R140" s="8">
        <v>-3987203.28</v>
      </c>
      <c r="S140" s="8">
        <v>3.2</v>
      </c>
      <c r="T140" s="8">
        <v>59.3</v>
      </c>
      <c r="U140" s="17">
        <v>0.45900000000000002</v>
      </c>
      <c r="V140" s="17">
        <v>3</v>
      </c>
      <c r="W140" s="21">
        <v>14137316</v>
      </c>
      <c r="X140" s="8">
        <v>27</v>
      </c>
      <c r="Y140" s="8">
        <v>35.200000000000003</v>
      </c>
      <c r="Z140" s="8">
        <v>8.6</v>
      </c>
      <c r="AA140" s="8">
        <v>102.6</v>
      </c>
      <c r="AB140" s="8">
        <v>43230.91</v>
      </c>
      <c r="AC140" s="8">
        <v>578.91</v>
      </c>
      <c r="AD140" s="8">
        <v>5295.4</v>
      </c>
      <c r="AE140" s="8">
        <v>22.8</v>
      </c>
      <c r="AF140" s="8">
        <v>10.199999999999999</v>
      </c>
      <c r="AG140" s="8"/>
      <c r="AH140" s="8">
        <v>0.127</v>
      </c>
      <c r="AI140" s="8">
        <v>26</v>
      </c>
      <c r="AJ140" s="8">
        <v>32</v>
      </c>
      <c r="AK140" s="8">
        <v>55</v>
      </c>
      <c r="AL140" s="8">
        <v>737494</v>
      </c>
      <c r="AM140" s="8">
        <v>37.9</v>
      </c>
      <c r="AN140" s="17">
        <v>20.507999999999999</v>
      </c>
      <c r="AO140" s="8">
        <v>59.334916760143102</v>
      </c>
      <c r="AP140">
        <v>30.603832244873001</v>
      </c>
      <c r="AQ140" s="8">
        <v>44.5</v>
      </c>
      <c r="AR140" s="8">
        <v>9.8000000000000007</v>
      </c>
      <c r="AS140" s="8">
        <v>19.3</v>
      </c>
      <c r="AT140" s="8">
        <v>2.3159999999999998</v>
      </c>
    </row>
    <row r="141" spans="1:46">
      <c r="A141" s="4" t="s">
        <v>217</v>
      </c>
      <c r="B141">
        <v>0.803234367322883</v>
      </c>
      <c r="C141">
        <v>4.2935610686855301E-2</v>
      </c>
      <c r="D141">
        <v>0.64566783126079996</v>
      </c>
      <c r="E141">
        <v>1.7895910375227701E-2</v>
      </c>
      <c r="F141" s="31">
        <v>0</v>
      </c>
      <c r="G141">
        <v>9.6735014999999994E-2</v>
      </c>
      <c r="H141" s="17">
        <v>61</v>
      </c>
      <c r="I141" s="8">
        <v>2.2000000000000002</v>
      </c>
      <c r="J141" s="32" t="s">
        <v>78</v>
      </c>
      <c r="K141" s="32" t="s">
        <v>78</v>
      </c>
      <c r="L141" s="8">
        <v>24</v>
      </c>
      <c r="M141" s="8">
        <v>29</v>
      </c>
      <c r="N141" s="17">
        <v>83.718000000000004</v>
      </c>
      <c r="O141" s="23">
        <v>19.34</v>
      </c>
      <c r="P141" s="8">
        <v>0.7</v>
      </c>
      <c r="Q141" s="35">
        <v>53798.080000000002</v>
      </c>
      <c r="R141" s="8">
        <v>167245.04</v>
      </c>
      <c r="S141" s="8">
        <v>6.4</v>
      </c>
      <c r="T141" s="8">
        <v>65.7</v>
      </c>
      <c r="U141" s="17">
        <v>0.48899999999999999</v>
      </c>
      <c r="V141" s="17">
        <v>6</v>
      </c>
      <c r="W141" s="21">
        <v>22121595</v>
      </c>
      <c r="X141" s="47" t="s">
        <v>78</v>
      </c>
      <c r="Y141" s="47" t="s">
        <v>78</v>
      </c>
      <c r="Z141" s="8">
        <v>13.3</v>
      </c>
      <c r="AA141" s="8">
        <v>63.7</v>
      </c>
      <c r="AB141" s="34">
        <v>238337.48</v>
      </c>
      <c r="AC141" s="34">
        <f>1.17*1000</f>
        <v>1170</v>
      </c>
      <c r="AD141" s="34">
        <v>2066.61</v>
      </c>
      <c r="AE141" s="32" t="s">
        <v>78</v>
      </c>
      <c r="AF141" s="8">
        <v>10.9</v>
      </c>
      <c r="AG141" s="8">
        <v>-33</v>
      </c>
      <c r="AH141" s="8">
        <v>2.9000000000000001E-2</v>
      </c>
      <c r="AI141" s="8">
        <v>28</v>
      </c>
      <c r="AJ141" s="8">
        <v>22</v>
      </c>
      <c r="AK141" s="8">
        <v>29</v>
      </c>
      <c r="AL141" s="8">
        <v>422271</v>
      </c>
      <c r="AM141" s="8">
        <v>16.899999999999999</v>
      </c>
      <c r="AN141" s="17">
        <v>34.158999999999999</v>
      </c>
      <c r="AO141" s="8">
        <v>59.096960300028499</v>
      </c>
      <c r="AP141">
        <v>70.397193908691406</v>
      </c>
      <c r="AQ141" s="8">
        <v>20.2</v>
      </c>
      <c r="AR141" s="8">
        <v>8.1999999999999993</v>
      </c>
      <c r="AS141" s="8">
        <v>17.3</v>
      </c>
      <c r="AT141" s="8">
        <v>2.6309999999999998</v>
      </c>
    </row>
    <row r="142" spans="1:46">
      <c r="A142" s="4" t="s">
        <v>218</v>
      </c>
      <c r="B142">
        <v>1.17546E-2</v>
      </c>
      <c r="C142" s="8">
        <v>0</v>
      </c>
      <c r="D142" s="8">
        <v>0</v>
      </c>
      <c r="E142" s="8">
        <v>0</v>
      </c>
      <c r="F142" s="8">
        <v>0</v>
      </c>
      <c r="G142">
        <v>1.17546E-2</v>
      </c>
      <c r="H142" s="17">
        <v>62</v>
      </c>
      <c r="I142" s="8">
        <v>21.7</v>
      </c>
      <c r="J142" s="8">
        <v>54.3</v>
      </c>
      <c r="K142" s="8">
        <v>40</v>
      </c>
      <c r="L142" s="24" t="s">
        <v>78</v>
      </c>
      <c r="M142" s="24" t="s">
        <v>78</v>
      </c>
      <c r="N142" s="17">
        <v>84.27</v>
      </c>
      <c r="O142" s="23">
        <v>37.46</v>
      </c>
      <c r="P142" s="8">
        <v>1.6</v>
      </c>
      <c r="Q142" s="13">
        <v>2530.15</v>
      </c>
      <c r="R142" s="8">
        <v>-2100744.38</v>
      </c>
      <c r="S142" s="8">
        <v>7.2</v>
      </c>
      <c r="T142" s="8">
        <v>59.3</v>
      </c>
      <c r="U142" s="17">
        <v>0.57899999999999996</v>
      </c>
      <c r="V142" s="17">
        <v>2</v>
      </c>
      <c r="W142" s="21">
        <v>938978</v>
      </c>
      <c r="X142" s="8">
        <v>36</v>
      </c>
      <c r="Y142" s="8">
        <v>58.5</v>
      </c>
      <c r="Z142" s="8">
        <v>4.9000000000000004</v>
      </c>
      <c r="AA142" s="8">
        <v>71.7</v>
      </c>
      <c r="AB142" s="8">
        <v>25399.52</v>
      </c>
      <c r="AC142" s="8">
        <f>5.05*1000</f>
        <v>5050</v>
      </c>
      <c r="AD142" s="8">
        <v>408.49</v>
      </c>
      <c r="AE142" s="8">
        <v>52.6</v>
      </c>
      <c r="AF142" s="8">
        <v>11.9</v>
      </c>
      <c r="AG142" s="8"/>
      <c r="AH142" s="8">
        <v>0.11799999999999999</v>
      </c>
      <c r="AI142" s="8">
        <v>49</v>
      </c>
      <c r="AJ142" s="8">
        <v>32</v>
      </c>
      <c r="AK142" s="8">
        <v>5</v>
      </c>
      <c r="AL142" s="8">
        <v>257814</v>
      </c>
      <c r="AM142" s="8">
        <v>22.2</v>
      </c>
      <c r="AN142" s="17">
        <v>25.783999999999999</v>
      </c>
      <c r="AO142" s="8">
        <v>58.859003839913903</v>
      </c>
      <c r="AP142">
        <v>56.258693695068402</v>
      </c>
      <c r="AQ142" s="8">
        <v>51.3</v>
      </c>
      <c r="AR142" s="8">
        <v>26.5</v>
      </c>
      <c r="AS142" s="8">
        <v>64.599999999999994</v>
      </c>
      <c r="AT142" s="8">
        <v>1.9079999999999999</v>
      </c>
    </row>
    <row r="143" spans="1:46">
      <c r="A143" s="4" t="s">
        <v>219</v>
      </c>
      <c r="B143">
        <v>1.7810000000000001E-5</v>
      </c>
      <c r="C143" s="8">
        <v>0</v>
      </c>
      <c r="D143" s="8">
        <v>0</v>
      </c>
      <c r="E143" s="8">
        <v>0</v>
      </c>
      <c r="F143" s="8">
        <v>0</v>
      </c>
      <c r="G143">
        <v>1.7810000000000001E-5</v>
      </c>
      <c r="H143" s="18" t="s">
        <v>78</v>
      </c>
      <c r="I143" s="18" t="s">
        <v>78</v>
      </c>
      <c r="J143" s="18" t="s">
        <v>78</v>
      </c>
      <c r="K143" s="24" t="s">
        <v>78</v>
      </c>
      <c r="L143" s="24" t="s">
        <v>78</v>
      </c>
      <c r="M143" s="24" t="s">
        <v>78</v>
      </c>
      <c r="N143" s="17">
        <v>100</v>
      </c>
      <c r="O143" s="18" t="s">
        <v>77</v>
      </c>
      <c r="P143" s="8">
        <v>1.6</v>
      </c>
      <c r="Q143" s="13">
        <v>12.51</v>
      </c>
      <c r="R143" s="8">
        <v>-63694.78</v>
      </c>
      <c r="S143" s="24" t="s">
        <v>78</v>
      </c>
      <c r="T143" s="29">
        <v>63.6</v>
      </c>
      <c r="U143" s="24" t="s">
        <v>78</v>
      </c>
      <c r="V143" s="18" t="s">
        <v>78</v>
      </c>
      <c r="W143" s="18" t="s">
        <v>78</v>
      </c>
      <c r="X143" s="18" t="s">
        <v>78</v>
      </c>
      <c r="Y143" s="18" t="s">
        <v>78</v>
      </c>
      <c r="Z143" s="8">
        <v>2</v>
      </c>
      <c r="AA143" s="8">
        <v>25</v>
      </c>
      <c r="AB143" s="8">
        <v>164.21</v>
      </c>
      <c r="AC143" s="8">
        <f>10.1*1000</f>
        <v>10100</v>
      </c>
      <c r="AD143" s="24" t="s">
        <v>78</v>
      </c>
      <c r="AE143" s="41" t="s">
        <v>78</v>
      </c>
      <c r="AF143" s="8">
        <v>11.7</v>
      </c>
      <c r="AG143" s="8"/>
      <c r="AH143" s="24" t="s">
        <v>78</v>
      </c>
      <c r="AI143" s="24" t="s">
        <v>78</v>
      </c>
      <c r="AJ143" s="8">
        <v>25</v>
      </c>
      <c r="AK143" s="8">
        <v>0</v>
      </c>
      <c r="AL143" s="8" t="s">
        <v>78</v>
      </c>
      <c r="AM143" s="24" t="s">
        <v>78</v>
      </c>
      <c r="AN143" s="17">
        <v>11.843999999999999</v>
      </c>
      <c r="AO143" s="8">
        <v>58.6210473797993</v>
      </c>
      <c r="AP143" s="17">
        <v>100</v>
      </c>
      <c r="AQ143" s="24" t="s">
        <v>78</v>
      </c>
      <c r="AR143" s="24" t="s">
        <v>78</v>
      </c>
      <c r="AS143" s="24" t="s">
        <v>78</v>
      </c>
      <c r="AT143" s="24" t="s">
        <v>78</v>
      </c>
    </row>
    <row r="144" spans="1:46">
      <c r="A144" s="4" t="s">
        <v>220</v>
      </c>
      <c r="B144">
        <v>5.6146309889219703E-2</v>
      </c>
      <c r="C144">
        <v>4.3687922921974501E-4</v>
      </c>
      <c r="D144" s="8">
        <v>0</v>
      </c>
      <c r="E144" s="8">
        <v>0</v>
      </c>
      <c r="F144" s="8">
        <v>0</v>
      </c>
      <c r="G144">
        <v>5.5709430660000003E-2</v>
      </c>
      <c r="H144" s="17">
        <v>53</v>
      </c>
      <c r="I144" s="8">
        <v>5.0999999999999996</v>
      </c>
      <c r="J144" s="8">
        <v>42.3</v>
      </c>
      <c r="K144" s="24" t="s">
        <v>78</v>
      </c>
      <c r="L144" s="8">
        <v>36</v>
      </c>
      <c r="M144" s="8">
        <v>29</v>
      </c>
      <c r="N144" s="17">
        <v>90.075000000000003</v>
      </c>
      <c r="O144" s="23">
        <v>32.81</v>
      </c>
      <c r="P144" s="8">
        <v>2.2999999999999998</v>
      </c>
      <c r="Q144" s="13">
        <v>30034.99</v>
      </c>
      <c r="R144" s="8">
        <v>-14473555.93</v>
      </c>
      <c r="S144" s="8">
        <v>5.0999999999999996</v>
      </c>
      <c r="T144" s="8">
        <v>68.400000000000006</v>
      </c>
      <c r="U144" s="17">
        <v>0.56000000000000005</v>
      </c>
      <c r="V144" s="17">
        <v>3</v>
      </c>
      <c r="W144" s="21">
        <v>16883864</v>
      </c>
      <c r="X144" s="8">
        <v>29</v>
      </c>
      <c r="Y144" s="8">
        <v>51.8</v>
      </c>
      <c r="Z144" s="8">
        <v>7.7</v>
      </c>
      <c r="AA144" s="8">
        <v>50.5</v>
      </c>
      <c r="AB144" s="8">
        <v>126440.08</v>
      </c>
      <c r="AC144" s="8">
        <f>1.37*1000</f>
        <v>1370</v>
      </c>
      <c r="AD144" s="8">
        <v>196.33</v>
      </c>
      <c r="AE144" s="8">
        <v>51.8</v>
      </c>
      <c r="AF144" s="8">
        <v>12.9</v>
      </c>
      <c r="AG144" s="8"/>
      <c r="AH144" s="8">
        <v>4.3999999999999997E-2</v>
      </c>
      <c r="AI144" s="8">
        <v>33</v>
      </c>
      <c r="AJ144" s="8">
        <v>25</v>
      </c>
      <c r="AK144" s="8">
        <v>48</v>
      </c>
      <c r="AL144" s="8">
        <v>4590290</v>
      </c>
      <c r="AM144" s="8">
        <v>9.5</v>
      </c>
      <c r="AN144" s="17">
        <v>95.718000000000004</v>
      </c>
      <c r="AO144" s="8">
        <v>58.383090919684697</v>
      </c>
      <c r="AP144">
        <v>89.900001525878906</v>
      </c>
      <c r="AQ144" s="8">
        <v>37.5</v>
      </c>
      <c r="AR144" s="8">
        <v>24.7</v>
      </c>
      <c r="AS144" s="8">
        <v>24.1</v>
      </c>
      <c r="AT144" s="8">
        <v>1.9470000000000001</v>
      </c>
    </row>
    <row r="145" spans="1:46">
      <c r="A145" s="22" t="s">
        <v>221</v>
      </c>
      <c r="B145">
        <v>1.42052782751741</v>
      </c>
      <c r="C145" s="8">
        <v>0</v>
      </c>
      <c r="D145">
        <v>1.0514752429851599</v>
      </c>
      <c r="E145">
        <v>4.5587612103147102E-2</v>
      </c>
      <c r="F145">
        <v>3.5969859118602003E-2</v>
      </c>
      <c r="G145">
        <v>0.28749511331049998</v>
      </c>
      <c r="H145" s="17">
        <v>86</v>
      </c>
      <c r="I145" s="8">
        <v>4</v>
      </c>
      <c r="J145" s="8">
        <v>67.099999999999994</v>
      </c>
      <c r="K145" s="8">
        <v>100</v>
      </c>
      <c r="L145" s="8">
        <v>82</v>
      </c>
      <c r="M145" s="8">
        <v>80</v>
      </c>
      <c r="N145" s="17">
        <v>100</v>
      </c>
      <c r="O145" s="23">
        <v>0.23</v>
      </c>
      <c r="P145" s="8">
        <v>0.5</v>
      </c>
      <c r="Q145" s="13">
        <v>17533.04</v>
      </c>
      <c r="R145" s="8">
        <v>103897967.26000001</v>
      </c>
      <c r="S145" s="8">
        <v>12.6</v>
      </c>
      <c r="T145" s="8">
        <v>81.7</v>
      </c>
      <c r="U145" s="17">
        <v>0.82800000000000007</v>
      </c>
      <c r="V145" s="17">
        <v>2</v>
      </c>
      <c r="W145" s="21">
        <v>9902465</v>
      </c>
      <c r="X145" s="8">
        <v>76</v>
      </c>
      <c r="Y145" s="8">
        <v>94.3</v>
      </c>
      <c r="Z145" s="8">
        <v>8</v>
      </c>
      <c r="AA145" s="8">
        <v>46.4</v>
      </c>
      <c r="AB145" s="8">
        <v>1118050.6599999999</v>
      </c>
      <c r="AC145" s="8">
        <f>57.63*1000</f>
        <v>57630</v>
      </c>
      <c r="AD145" s="8">
        <v>-160892.46</v>
      </c>
      <c r="AE145" s="8">
        <v>76.7</v>
      </c>
      <c r="AF145" s="8">
        <v>18.7</v>
      </c>
      <c r="AG145" s="8"/>
      <c r="AH145" s="8">
        <v>0.34399999999999997</v>
      </c>
      <c r="AI145" s="8">
        <v>82</v>
      </c>
      <c r="AJ145" s="8">
        <v>30</v>
      </c>
      <c r="AK145" s="8">
        <v>5</v>
      </c>
      <c r="AL145" s="8">
        <v>893498</v>
      </c>
      <c r="AM145" s="8">
        <v>76.8</v>
      </c>
      <c r="AN145" s="17">
        <v>11.411</v>
      </c>
      <c r="AO145" s="8">
        <v>58.145134459570102</v>
      </c>
      <c r="AP145" s="17">
        <v>100</v>
      </c>
      <c r="AQ145" s="8">
        <v>60</v>
      </c>
      <c r="AR145" s="8">
        <v>66.2</v>
      </c>
      <c r="AS145" s="8">
        <v>54.5</v>
      </c>
      <c r="AT145" s="8">
        <v>1.522</v>
      </c>
    </row>
    <row r="146" spans="1:46">
      <c r="A146" s="4" t="s">
        <v>222</v>
      </c>
      <c r="B146">
        <v>4.7552699999999998E-3</v>
      </c>
      <c r="C146" s="8">
        <v>0</v>
      </c>
      <c r="D146" s="8">
        <v>0</v>
      </c>
      <c r="E146" s="8">
        <v>0</v>
      </c>
      <c r="F146" s="8">
        <v>0</v>
      </c>
      <c r="G146">
        <v>4.7552699999999998E-3</v>
      </c>
      <c r="H146" s="18" t="s">
        <v>78</v>
      </c>
      <c r="I146" s="8">
        <v>16.600000000000001</v>
      </c>
      <c r="J146" s="18" t="s">
        <v>78</v>
      </c>
      <c r="K146" s="24" t="s">
        <v>78</v>
      </c>
      <c r="L146" s="24" t="s">
        <v>78</v>
      </c>
      <c r="M146" s="24" t="s">
        <v>78</v>
      </c>
      <c r="N146" s="18" t="s">
        <v>77</v>
      </c>
      <c r="O146" s="18" t="s">
        <v>77</v>
      </c>
      <c r="P146" s="8">
        <v>0</v>
      </c>
      <c r="Q146" s="13">
        <v>271.02999999999997</v>
      </c>
      <c r="R146" s="8">
        <v>-1501031.09</v>
      </c>
      <c r="S146" s="24" t="s">
        <v>78</v>
      </c>
      <c r="T146" s="24" t="s">
        <v>78</v>
      </c>
      <c r="U146" s="24" t="s">
        <v>78</v>
      </c>
      <c r="V146" s="18" t="s">
        <v>78</v>
      </c>
      <c r="W146" s="21">
        <v>132176</v>
      </c>
      <c r="X146" s="18" t="s">
        <v>78</v>
      </c>
      <c r="Y146" s="18" t="s">
        <v>78</v>
      </c>
      <c r="Z146" s="24" t="s">
        <v>78</v>
      </c>
      <c r="AA146" s="24" t="s">
        <v>78</v>
      </c>
      <c r="AB146" s="24" t="s">
        <v>78</v>
      </c>
      <c r="AC146" s="24" t="s">
        <v>78</v>
      </c>
      <c r="AD146" s="8">
        <v>-493.8</v>
      </c>
      <c r="AE146" s="41" t="s">
        <v>78</v>
      </c>
      <c r="AF146" s="24" t="s">
        <v>78</v>
      </c>
      <c r="AG146" s="8"/>
      <c r="AH146" s="24" t="s">
        <v>78</v>
      </c>
      <c r="AI146" s="24" t="s">
        <v>78</v>
      </c>
      <c r="AJ146" s="8">
        <v>30</v>
      </c>
      <c r="AK146" s="8">
        <v>1</v>
      </c>
      <c r="AL146" s="8">
        <v>464170</v>
      </c>
      <c r="AM146" s="24" t="s">
        <v>78</v>
      </c>
      <c r="AN146" s="24" t="s">
        <v>78</v>
      </c>
      <c r="AO146" s="8">
        <v>57.907177999455499</v>
      </c>
      <c r="AP146" s="17">
        <v>100</v>
      </c>
      <c r="AQ146" s="24" t="s">
        <v>78</v>
      </c>
      <c r="AR146" s="24" t="s">
        <v>78</v>
      </c>
      <c r="AS146" s="24" t="s">
        <v>78</v>
      </c>
      <c r="AT146" s="24" t="s">
        <v>78</v>
      </c>
    </row>
    <row r="147" spans="1:46">
      <c r="A147" s="22" t="s">
        <v>223</v>
      </c>
      <c r="B147">
        <v>0.59892289659706599</v>
      </c>
      <c r="C147">
        <v>7.2253997613011198E-2</v>
      </c>
      <c r="D147">
        <v>0.17171114044188199</v>
      </c>
      <c r="E147">
        <v>3.1803839219717703E-2</v>
      </c>
      <c r="F147" s="8">
        <v>0</v>
      </c>
      <c r="G147">
        <v>0.32315391932245502</v>
      </c>
      <c r="H147" s="17">
        <v>86</v>
      </c>
      <c r="I147" s="8">
        <v>4.0999999999999996</v>
      </c>
      <c r="J147" s="8">
        <v>79.900000000000006</v>
      </c>
      <c r="K147" s="8">
        <v>95</v>
      </c>
      <c r="L147" s="8">
        <v>65</v>
      </c>
      <c r="M147" s="8">
        <v>56</v>
      </c>
      <c r="N147" s="17">
        <v>100</v>
      </c>
      <c r="O147" s="23">
        <v>0.02</v>
      </c>
      <c r="P147" s="8">
        <v>0.6</v>
      </c>
      <c r="Q147" s="13">
        <v>5122.6000000000004</v>
      </c>
      <c r="R147" s="8">
        <v>-8085224.0499999998</v>
      </c>
      <c r="S147" s="8">
        <v>12.9</v>
      </c>
      <c r="T147" s="8">
        <v>82.5</v>
      </c>
      <c r="U147" s="17">
        <v>0.78300000000000003</v>
      </c>
      <c r="V147" s="17">
        <v>2</v>
      </c>
      <c r="W147" s="21">
        <v>2910970</v>
      </c>
      <c r="X147" s="8">
        <v>61</v>
      </c>
      <c r="Y147" s="8">
        <v>75.5</v>
      </c>
      <c r="Z147" s="8">
        <v>3.9</v>
      </c>
      <c r="AA147" s="8">
        <v>58.6</v>
      </c>
      <c r="AB147" s="8">
        <v>237788.58</v>
      </c>
      <c r="AC147" s="8">
        <f>49.01*1000</f>
        <v>49010</v>
      </c>
      <c r="AD147" s="8">
        <v>4040.13</v>
      </c>
      <c r="AE147" s="8">
        <v>62.5</v>
      </c>
      <c r="AF147" s="8">
        <v>20.3</v>
      </c>
      <c r="AG147" s="8"/>
      <c r="AH147" s="8">
        <v>0.191</v>
      </c>
      <c r="AI147" s="8">
        <v>88</v>
      </c>
      <c r="AJ147" s="8">
        <v>28</v>
      </c>
      <c r="AK147" s="8">
        <v>6</v>
      </c>
      <c r="AL147" s="8">
        <v>730489</v>
      </c>
      <c r="AM147" s="8">
        <v>93.2</v>
      </c>
      <c r="AN147" s="17">
        <v>5.625</v>
      </c>
      <c r="AO147" s="8">
        <v>57.669221539340903</v>
      </c>
      <c r="AP147" s="17">
        <v>100</v>
      </c>
      <c r="AQ147" s="8">
        <v>57.9</v>
      </c>
      <c r="AR147" s="8">
        <v>60.9</v>
      </c>
      <c r="AS147" s="8">
        <v>40.4</v>
      </c>
      <c r="AT147" s="8">
        <v>1.2689999999999999</v>
      </c>
    </row>
    <row r="148" spans="1:46">
      <c r="A148" s="22" t="s">
        <v>224</v>
      </c>
      <c r="B148">
        <v>2.323302033E-2</v>
      </c>
      <c r="C148" s="8">
        <v>0</v>
      </c>
      <c r="D148" s="8">
        <v>0</v>
      </c>
      <c r="E148" s="8">
        <v>0</v>
      </c>
      <c r="F148" s="8">
        <v>0</v>
      </c>
      <c r="G148" s="38">
        <v>2.323302E-2</v>
      </c>
      <c r="H148" s="17">
        <v>70</v>
      </c>
      <c r="I148" s="8">
        <v>6</v>
      </c>
      <c r="J148" s="8">
        <v>63.7</v>
      </c>
      <c r="K148" s="8">
        <v>25</v>
      </c>
      <c r="L148" s="8">
        <v>51</v>
      </c>
      <c r="M148" s="8">
        <v>38</v>
      </c>
      <c r="N148" s="17">
        <v>81.709000000000003</v>
      </c>
      <c r="O148" s="23">
        <v>11.84</v>
      </c>
      <c r="P148" s="8">
        <v>1.4</v>
      </c>
      <c r="Q148" s="13">
        <v>6850.54</v>
      </c>
      <c r="R148" s="8">
        <v>-1688900</v>
      </c>
      <c r="S148" s="8">
        <v>7.1</v>
      </c>
      <c r="T148" s="8">
        <v>72.8</v>
      </c>
      <c r="U148" s="17">
        <v>0.48199999999999998</v>
      </c>
      <c r="V148" s="18" t="s">
        <v>78</v>
      </c>
      <c r="W148" s="21">
        <v>3042491</v>
      </c>
      <c r="X148" s="8">
        <v>28</v>
      </c>
      <c r="Y148" s="8">
        <v>55.6</v>
      </c>
      <c r="Z148" s="8">
        <v>7</v>
      </c>
      <c r="AA148" s="8">
        <v>45.9</v>
      </c>
      <c r="AB148" s="8">
        <v>42437.04</v>
      </c>
      <c r="AC148" s="8">
        <f>2.54*1000</f>
        <v>2540</v>
      </c>
      <c r="AD148" s="8">
        <v>1220.0999999999999</v>
      </c>
      <c r="AE148" s="8">
        <v>24.8</v>
      </c>
      <c r="AF148" s="8">
        <v>12.6</v>
      </c>
      <c r="AG148" s="8"/>
      <c r="AH148" s="8">
        <v>0.17199999999999999</v>
      </c>
      <c r="AI148" s="8">
        <v>20</v>
      </c>
      <c r="AJ148" s="8">
        <v>30</v>
      </c>
      <c r="AK148" s="8">
        <v>18</v>
      </c>
      <c r="AL148" s="8">
        <v>2021606</v>
      </c>
      <c r="AM148" s="8">
        <v>38.200000000000003</v>
      </c>
      <c r="AN148" s="17">
        <v>16.234999999999999</v>
      </c>
      <c r="AO148" s="8">
        <v>57.4312650792263</v>
      </c>
      <c r="AP148">
        <v>88.907379150390597</v>
      </c>
      <c r="AQ148" s="8">
        <v>40.9</v>
      </c>
      <c r="AR148" s="8">
        <v>19.3</v>
      </c>
      <c r="AS148" s="8">
        <v>34.5</v>
      </c>
      <c r="AT148" s="8">
        <v>2.3340000000000001</v>
      </c>
    </row>
    <row r="149" spans="1:46">
      <c r="A149" s="4" t="s">
        <v>225</v>
      </c>
      <c r="B149">
        <v>3.07783751334442E-2</v>
      </c>
      <c r="C149">
        <v>5.1342328134441903E-3</v>
      </c>
      <c r="D149">
        <v>1.42556232E-3</v>
      </c>
      <c r="E149">
        <v>2.3808949999999999E-2</v>
      </c>
      <c r="F149" s="8">
        <v>0</v>
      </c>
      <c r="G149">
        <v>4.0963000000000002E-4</v>
      </c>
      <c r="H149" s="17">
        <v>37</v>
      </c>
      <c r="I149" s="8">
        <v>0.8</v>
      </c>
      <c r="J149" s="18" t="s">
        <v>78</v>
      </c>
      <c r="K149" s="24" t="s">
        <v>78</v>
      </c>
      <c r="L149" s="8">
        <v>37</v>
      </c>
      <c r="M149" s="8">
        <v>38</v>
      </c>
      <c r="N149" s="17">
        <v>46.911999999999999</v>
      </c>
      <c r="O149" s="23">
        <v>63.67</v>
      </c>
      <c r="P149" s="8">
        <v>3.7</v>
      </c>
      <c r="Q149" s="13">
        <v>25252.720000000001</v>
      </c>
      <c r="R149" s="8">
        <v>-2204290.5</v>
      </c>
      <c r="S149" s="8">
        <v>2.1</v>
      </c>
      <c r="T149" s="8">
        <v>61.6</v>
      </c>
      <c r="U149" s="17">
        <v>0.60599999999999998</v>
      </c>
      <c r="V149" s="17">
        <v>3</v>
      </c>
      <c r="W149" s="21">
        <v>9410650</v>
      </c>
      <c r="X149" s="18" t="s">
        <v>78</v>
      </c>
      <c r="Y149" s="18" t="s">
        <v>78</v>
      </c>
      <c r="Z149" s="8">
        <v>3</v>
      </c>
      <c r="AA149" s="8">
        <v>57</v>
      </c>
      <c r="AB149" s="8">
        <v>32918.620000000003</v>
      </c>
      <c r="AC149" s="8">
        <v>573.57000000000005</v>
      </c>
      <c r="AD149" s="8">
        <v>754.55</v>
      </c>
      <c r="AE149" s="41" t="s">
        <v>78</v>
      </c>
      <c r="AF149" s="8">
        <v>7</v>
      </c>
      <c r="AG149" s="8"/>
      <c r="AH149" s="24" t="s">
        <v>78</v>
      </c>
      <c r="AI149" s="8">
        <v>31</v>
      </c>
      <c r="AJ149" s="8">
        <v>30</v>
      </c>
      <c r="AK149" s="8">
        <v>2</v>
      </c>
      <c r="AL149" s="8">
        <v>38769</v>
      </c>
      <c r="AM149" s="8">
        <v>27.1</v>
      </c>
      <c r="AN149" s="17">
        <v>106.121</v>
      </c>
      <c r="AO149" s="8">
        <v>57.193308619111697</v>
      </c>
      <c r="AP149">
        <v>19.251909255981399</v>
      </c>
      <c r="AQ149" s="8">
        <v>64.7</v>
      </c>
      <c r="AR149" s="8">
        <v>8.4</v>
      </c>
      <c r="AS149" s="8">
        <v>17.899999999999999</v>
      </c>
      <c r="AT149" s="8">
        <v>2.6549999999999998</v>
      </c>
    </row>
    <row r="150" spans="1:46">
      <c r="A150" s="22" t="s">
        <v>226</v>
      </c>
      <c r="B150">
        <v>6.0449941695051699</v>
      </c>
      <c r="C150">
        <v>1.4057761356446399E-3</v>
      </c>
      <c r="D150">
        <v>1.7118035157660001</v>
      </c>
      <c r="E150">
        <v>4.2561631634485302</v>
      </c>
      <c r="F150" s="8">
        <v>0</v>
      </c>
      <c r="G150" s="38">
        <v>7.5621709999999995E-2</v>
      </c>
      <c r="H150" s="17">
        <v>44</v>
      </c>
      <c r="I150" s="8">
        <v>9.8000000000000007</v>
      </c>
      <c r="J150" s="8">
        <v>52.8</v>
      </c>
      <c r="K150" s="8">
        <v>26</v>
      </c>
      <c r="L150" s="8">
        <v>65</v>
      </c>
      <c r="M150" s="8">
        <v>32</v>
      </c>
      <c r="N150" s="17">
        <v>77.608999999999995</v>
      </c>
      <c r="O150" s="23">
        <v>44.37</v>
      </c>
      <c r="P150" s="8">
        <v>2.4</v>
      </c>
      <c r="Q150" s="13">
        <v>213401.32</v>
      </c>
      <c r="R150" s="8">
        <v>-15251195.710000001</v>
      </c>
      <c r="S150" s="8">
        <v>7.2</v>
      </c>
      <c r="T150" s="8">
        <v>52.7</v>
      </c>
      <c r="U150" s="17">
        <v>0.49</v>
      </c>
      <c r="V150" s="17">
        <v>4</v>
      </c>
      <c r="W150" s="21">
        <v>65115671</v>
      </c>
      <c r="X150" s="8">
        <v>32</v>
      </c>
      <c r="Y150" s="8">
        <v>39.700000000000003</v>
      </c>
      <c r="Z150" s="8">
        <v>17.3</v>
      </c>
      <c r="AA150" s="8">
        <v>38.6</v>
      </c>
      <c r="AB150" s="8">
        <v>1154069.97</v>
      </c>
      <c r="AC150" s="8">
        <f>2.58*1000</f>
        <v>2580</v>
      </c>
      <c r="AD150" s="8">
        <v>3313.21</v>
      </c>
      <c r="AE150" s="8">
        <v>15.3</v>
      </c>
      <c r="AF150" s="8">
        <v>10.1</v>
      </c>
      <c r="AG150" s="8"/>
      <c r="AH150" s="8">
        <v>0.05</v>
      </c>
      <c r="AI150" s="8">
        <v>24</v>
      </c>
      <c r="AJ150" s="8">
        <v>30</v>
      </c>
      <c r="AK150" s="8">
        <v>53</v>
      </c>
      <c r="AL150" s="8">
        <v>3355522</v>
      </c>
      <c r="AM150" s="8">
        <v>13.8</v>
      </c>
      <c r="AN150" s="17">
        <v>83.593000000000004</v>
      </c>
      <c r="AO150" s="8">
        <v>56.955352158997101</v>
      </c>
      <c r="AP150">
        <v>55.400001525878899</v>
      </c>
      <c r="AQ150" s="8">
        <v>33.299999999999997</v>
      </c>
      <c r="AR150" s="8">
        <v>12.7</v>
      </c>
      <c r="AS150" s="8">
        <v>29.6</v>
      </c>
      <c r="AT150" s="8">
        <v>2.7250000000000001</v>
      </c>
    </row>
    <row r="151" spans="1:46">
      <c r="A151" s="22" t="s">
        <v>227</v>
      </c>
      <c r="B151">
        <v>4.4963710562272198E-2</v>
      </c>
      <c r="C151">
        <v>3.3100763427272202E-2</v>
      </c>
      <c r="D151" s="8">
        <v>0</v>
      </c>
      <c r="E151" s="8">
        <v>0</v>
      </c>
      <c r="F151" s="8">
        <v>0</v>
      </c>
      <c r="G151">
        <v>1.1862947134999999E-2</v>
      </c>
      <c r="H151" s="17">
        <v>68</v>
      </c>
      <c r="I151" s="8">
        <v>16.2</v>
      </c>
      <c r="J151" s="8">
        <v>56</v>
      </c>
      <c r="K151" s="8">
        <v>45</v>
      </c>
      <c r="L151" s="8">
        <v>44</v>
      </c>
      <c r="M151" s="8">
        <v>53</v>
      </c>
      <c r="N151" s="17">
        <v>97.742999999999995</v>
      </c>
      <c r="O151" s="23">
        <v>5.5</v>
      </c>
      <c r="P151" s="8">
        <v>-0.4</v>
      </c>
      <c r="Q151" s="13">
        <v>2065.09</v>
      </c>
      <c r="R151" s="8">
        <v>-2196967.75</v>
      </c>
      <c r="S151" s="8">
        <v>10.199999999999999</v>
      </c>
      <c r="T151" s="8">
        <v>73.8</v>
      </c>
      <c r="U151" s="17">
        <v>0.56600000000000006</v>
      </c>
      <c r="V151" s="17">
        <v>3</v>
      </c>
      <c r="W151" s="21">
        <v>916180</v>
      </c>
      <c r="X151" s="8">
        <v>32</v>
      </c>
      <c r="Y151" s="8">
        <v>66.900000000000006</v>
      </c>
      <c r="Z151" s="8">
        <v>4.5</v>
      </c>
      <c r="AA151" s="8">
        <v>51.4</v>
      </c>
      <c r="AB151" s="8">
        <v>37630.699999999997</v>
      </c>
      <c r="AC151" s="8">
        <f>7.26*1000</f>
        <v>7260</v>
      </c>
      <c r="AD151" s="8">
        <v>744.89</v>
      </c>
      <c r="AE151" s="8">
        <v>33.700000000000003</v>
      </c>
      <c r="AF151" s="8">
        <v>13.6</v>
      </c>
      <c r="AG151" s="8"/>
      <c r="AH151" s="8">
        <v>0.10100000000000001</v>
      </c>
      <c r="AI151" s="8">
        <v>39</v>
      </c>
      <c r="AJ151" s="8">
        <v>10</v>
      </c>
      <c r="AK151" s="8">
        <v>1</v>
      </c>
      <c r="AL151" s="8" t="s">
        <v>78</v>
      </c>
      <c r="AM151" s="8">
        <v>22.6</v>
      </c>
      <c r="AN151" s="17">
        <v>29.182000000000002</v>
      </c>
      <c r="AO151" s="8">
        <v>69.165965397726495</v>
      </c>
      <c r="AP151" s="17">
        <v>100</v>
      </c>
      <c r="AQ151" s="8">
        <v>48.7</v>
      </c>
      <c r="AR151" s="8">
        <v>42.1</v>
      </c>
      <c r="AS151" s="8">
        <v>69.900000000000006</v>
      </c>
      <c r="AT151" s="8">
        <v>1.704</v>
      </c>
    </row>
    <row r="152" spans="1:46">
      <c r="A152" s="4" t="s">
        <v>228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18" t="s">
        <v>78</v>
      </c>
      <c r="I152" s="18" t="s">
        <v>78</v>
      </c>
      <c r="J152" s="18" t="s">
        <v>78</v>
      </c>
      <c r="K152" s="24" t="s">
        <v>78</v>
      </c>
      <c r="L152" s="24" t="s">
        <v>78</v>
      </c>
      <c r="M152" s="24" t="s">
        <v>78</v>
      </c>
      <c r="N152" s="18" t="s">
        <v>77</v>
      </c>
      <c r="O152" s="18" t="s">
        <v>77</v>
      </c>
      <c r="P152" s="8">
        <v>-0.2</v>
      </c>
      <c r="Q152" s="13">
        <v>49.48</v>
      </c>
      <c r="R152" s="24" t="s">
        <v>78</v>
      </c>
      <c r="S152" s="24" t="s">
        <v>78</v>
      </c>
      <c r="T152" s="24" t="s">
        <v>78</v>
      </c>
      <c r="U152" s="24" t="s">
        <v>78</v>
      </c>
      <c r="V152" s="18" t="s">
        <v>78</v>
      </c>
      <c r="W152" s="18" t="s">
        <v>78</v>
      </c>
      <c r="X152" s="18" t="s">
        <v>78</v>
      </c>
      <c r="Y152" s="18" t="s">
        <v>78</v>
      </c>
      <c r="Z152" s="24" t="s">
        <v>78</v>
      </c>
      <c r="AA152" s="24" t="s">
        <v>78</v>
      </c>
      <c r="AB152" s="24" t="s">
        <v>78</v>
      </c>
      <c r="AC152" s="24" t="s">
        <v>78</v>
      </c>
      <c r="AD152" s="24" t="s">
        <v>78</v>
      </c>
      <c r="AE152" s="41" t="s">
        <v>78</v>
      </c>
      <c r="AF152" s="24" t="s">
        <v>78</v>
      </c>
      <c r="AG152" s="8"/>
      <c r="AH152" s="24" t="s">
        <v>78</v>
      </c>
      <c r="AI152" s="24" t="s">
        <v>78</v>
      </c>
      <c r="AJ152" s="8">
        <v>21</v>
      </c>
      <c r="AK152" s="8">
        <v>0</v>
      </c>
      <c r="AL152" s="8" t="s">
        <v>78</v>
      </c>
      <c r="AM152" s="24" t="s">
        <v>78</v>
      </c>
      <c r="AN152" s="24" t="s">
        <v>78</v>
      </c>
      <c r="AO152" s="8">
        <v>68.513484837767606</v>
      </c>
      <c r="AP152" s="17">
        <v>100</v>
      </c>
      <c r="AQ152" s="24" t="s">
        <v>78</v>
      </c>
      <c r="AR152" s="24" t="s">
        <v>78</v>
      </c>
      <c r="AS152" s="24" t="s">
        <v>78</v>
      </c>
      <c r="AT152" s="24" t="s">
        <v>78</v>
      </c>
    </row>
    <row r="153" spans="1:46">
      <c r="A153" s="22" t="s">
        <v>229</v>
      </c>
      <c r="B153">
        <v>8.8695090074519207</v>
      </c>
      <c r="C153">
        <v>3.3928440360429502E-3</v>
      </c>
      <c r="D153">
        <v>4.28547675230522</v>
      </c>
      <c r="E153">
        <v>3.42317989746565</v>
      </c>
      <c r="F153" s="8">
        <v>0</v>
      </c>
      <c r="G153" s="38">
        <v>1.15745951</v>
      </c>
      <c r="H153" s="17">
        <v>86</v>
      </c>
      <c r="I153" s="8">
        <v>5</v>
      </c>
      <c r="J153" s="8">
        <v>57.6</v>
      </c>
      <c r="K153" s="8">
        <v>99</v>
      </c>
      <c r="L153" s="8">
        <v>88</v>
      </c>
      <c r="M153" s="8">
        <v>68</v>
      </c>
      <c r="N153" s="17">
        <v>100</v>
      </c>
      <c r="O153" s="23">
        <v>0.31</v>
      </c>
      <c r="P153" s="8">
        <v>0.5</v>
      </c>
      <c r="Q153" s="13">
        <v>5408.32</v>
      </c>
      <c r="R153" s="8">
        <v>58629334.240000002</v>
      </c>
      <c r="S153" s="8">
        <v>13</v>
      </c>
      <c r="T153" s="8">
        <v>83.2</v>
      </c>
      <c r="U153" s="17">
        <v>0.88300000000000001</v>
      </c>
      <c r="V153" s="17">
        <v>1</v>
      </c>
      <c r="W153" s="21">
        <v>2971470</v>
      </c>
      <c r="X153" s="8">
        <v>68</v>
      </c>
      <c r="Y153" s="8">
        <v>75.8</v>
      </c>
      <c r="Z153" s="8">
        <v>3.8</v>
      </c>
      <c r="AA153" s="8">
        <v>39.5</v>
      </c>
      <c r="AB153" s="8">
        <v>428345.59999999998</v>
      </c>
      <c r="AC153" s="8">
        <f>88.75*1000</f>
        <v>88750</v>
      </c>
      <c r="AD153" s="8">
        <v>10696.79</v>
      </c>
      <c r="AE153" s="8">
        <v>71</v>
      </c>
      <c r="AF153" s="8">
        <v>18.2</v>
      </c>
      <c r="AG153" s="8"/>
      <c r="AH153" s="8">
        <v>0.14000000000000001</v>
      </c>
      <c r="AI153" s="8">
        <v>85</v>
      </c>
      <c r="AJ153" s="8">
        <v>22</v>
      </c>
      <c r="AK153" s="8">
        <v>0</v>
      </c>
      <c r="AL153" s="8" t="s">
        <v>78</v>
      </c>
      <c r="AM153" s="8">
        <v>92.4</v>
      </c>
      <c r="AN153" s="17">
        <v>6.5230000000000006</v>
      </c>
      <c r="AO153" s="8">
        <v>64.935357460206106</v>
      </c>
      <c r="AP153" s="17">
        <v>100</v>
      </c>
      <c r="AQ153" s="8">
        <v>57.6</v>
      </c>
      <c r="AR153" s="8">
        <v>70.7</v>
      </c>
      <c r="AS153" s="8">
        <v>43.9</v>
      </c>
      <c r="AT153" s="8">
        <v>1.4650000000000001</v>
      </c>
    </row>
    <row r="154" spans="1:46">
      <c r="A154" s="44" t="s">
        <v>230</v>
      </c>
      <c r="B154">
        <v>3.39341408325746</v>
      </c>
      <c r="C154" s="26">
        <v>0</v>
      </c>
      <c r="D154">
        <v>1.3004552728300001</v>
      </c>
      <c r="E154">
        <v>2.09280742542746</v>
      </c>
      <c r="F154" s="8">
        <v>0</v>
      </c>
      <c r="G154" s="38">
        <v>1.5139E-4</v>
      </c>
      <c r="H154" s="17">
        <v>69</v>
      </c>
      <c r="I154" s="8">
        <v>3.1</v>
      </c>
      <c r="J154" s="8">
        <v>64.3</v>
      </c>
      <c r="K154" s="8">
        <v>41</v>
      </c>
      <c r="L154" s="29">
        <v>59</v>
      </c>
      <c r="M154" s="8">
        <v>23</v>
      </c>
      <c r="N154" s="17">
        <v>92.168000000000006</v>
      </c>
      <c r="O154" s="18" t="s">
        <v>77</v>
      </c>
      <c r="P154" s="8">
        <v>-0.5</v>
      </c>
      <c r="Q154" s="13">
        <v>4520.47</v>
      </c>
      <c r="R154" s="8">
        <v>9821991.7699999996</v>
      </c>
      <c r="S154" s="26">
        <v>11.7</v>
      </c>
      <c r="T154" s="26">
        <v>72.5</v>
      </c>
      <c r="U154" s="24" t="s">
        <v>78</v>
      </c>
      <c r="V154" s="29">
        <v>4</v>
      </c>
      <c r="W154" s="21">
        <v>2258726</v>
      </c>
      <c r="X154" s="8">
        <v>41</v>
      </c>
      <c r="Y154" s="8">
        <v>80.5</v>
      </c>
      <c r="Z154" s="8">
        <v>1.9</v>
      </c>
      <c r="AA154" s="8">
        <v>41.1</v>
      </c>
      <c r="AB154" s="8">
        <v>170313.52</v>
      </c>
      <c r="AC154" s="8">
        <f>23.19*1000</f>
        <v>23190</v>
      </c>
      <c r="AD154" s="8">
        <v>3619</v>
      </c>
      <c r="AE154" s="8">
        <v>49.3</v>
      </c>
      <c r="AF154" s="26">
        <v>14.6</v>
      </c>
      <c r="AG154" s="26"/>
      <c r="AH154" s="26">
        <v>2.5999999999999999E-2</v>
      </c>
      <c r="AI154" s="26">
        <v>52</v>
      </c>
      <c r="AJ154" s="8">
        <v>15</v>
      </c>
      <c r="AK154" s="8">
        <v>3</v>
      </c>
      <c r="AL154" s="26">
        <v>28799</v>
      </c>
      <c r="AM154" s="8">
        <v>31.8</v>
      </c>
      <c r="AN154" s="17">
        <v>45.131</v>
      </c>
      <c r="AO154" s="8">
        <v>70.4394519951571</v>
      </c>
      <c r="AP154" s="17">
        <v>100</v>
      </c>
      <c r="AQ154" s="8">
        <v>33.5</v>
      </c>
      <c r="AR154" s="8">
        <v>32.799999999999997</v>
      </c>
      <c r="AS154" s="8">
        <v>23.2</v>
      </c>
      <c r="AT154" s="8">
        <v>1.889</v>
      </c>
    </row>
    <row r="155" spans="1:46">
      <c r="A155" s="22" t="s">
        <v>231</v>
      </c>
      <c r="B155">
        <v>1.8563134225745801</v>
      </c>
      <c r="C155">
        <v>0.134293084142631</v>
      </c>
      <c r="D155">
        <v>1.045685766072</v>
      </c>
      <c r="E155">
        <v>0.20791654435995799</v>
      </c>
      <c r="F155">
        <v>9.5718828000000006E-2</v>
      </c>
      <c r="G155">
        <v>0.37269920000000001</v>
      </c>
      <c r="H155" s="17">
        <v>45</v>
      </c>
      <c r="I155" s="8">
        <v>4.4000000000000004</v>
      </c>
      <c r="J155" s="8">
        <v>41.5</v>
      </c>
      <c r="K155" s="8">
        <v>23</v>
      </c>
      <c r="L155" s="29">
        <v>42</v>
      </c>
      <c r="M155" s="8">
        <v>36</v>
      </c>
      <c r="N155" s="17">
        <v>90.149000000000001</v>
      </c>
      <c r="O155" s="23">
        <v>36.99</v>
      </c>
      <c r="P155" s="8">
        <v>1.8</v>
      </c>
      <c r="Q155" s="13">
        <v>231402.12</v>
      </c>
      <c r="R155" s="8">
        <v>-40826247</v>
      </c>
      <c r="S155" s="8">
        <v>4.5</v>
      </c>
      <c r="T155" s="8">
        <v>66.099999999999994</v>
      </c>
      <c r="U155" s="17">
        <v>0.32900000000000001</v>
      </c>
      <c r="V155" s="17">
        <v>5</v>
      </c>
      <c r="W155" s="21">
        <v>73133159</v>
      </c>
      <c r="X155" s="8">
        <v>36</v>
      </c>
      <c r="Y155" s="8">
        <v>55.6</v>
      </c>
      <c r="Z155" s="8">
        <v>19.899999999999999</v>
      </c>
      <c r="AA155" s="8">
        <v>71.099999999999994</v>
      </c>
      <c r="AB155" s="8">
        <v>1330100.75</v>
      </c>
      <c r="AC155" s="41" t="s">
        <v>78</v>
      </c>
      <c r="AD155" s="8">
        <v>2102</v>
      </c>
      <c r="AE155" s="8">
        <v>30.7</v>
      </c>
      <c r="AF155" s="8">
        <v>8.6999999999999993</v>
      </c>
      <c r="AG155" s="8"/>
      <c r="AH155" s="8">
        <v>5.3999999999999999E-2</v>
      </c>
      <c r="AI155" s="8">
        <v>28</v>
      </c>
      <c r="AJ155" s="8">
        <v>29</v>
      </c>
      <c r="AK155" s="8">
        <v>14</v>
      </c>
      <c r="AL155" s="8">
        <v>4909548</v>
      </c>
      <c r="AM155" s="8">
        <v>5.7</v>
      </c>
      <c r="AN155" s="17">
        <v>57.749000000000002</v>
      </c>
      <c r="AO155" s="8">
        <v>58.838485170035199</v>
      </c>
      <c r="AP155">
        <v>75.379692077636705</v>
      </c>
      <c r="AQ155" s="8">
        <v>37.799999999999997</v>
      </c>
      <c r="AR155" s="8">
        <v>15.8</v>
      </c>
      <c r="AS155" s="8">
        <v>16.899999999999999</v>
      </c>
      <c r="AT155" s="8">
        <v>2.7890000000000001</v>
      </c>
    </row>
    <row r="156" spans="1:46">
      <c r="A156" s="4" t="s">
        <v>232</v>
      </c>
      <c r="B156" s="18" t="s">
        <v>78</v>
      </c>
      <c r="C156" s="18" t="s">
        <v>78</v>
      </c>
      <c r="D156" s="18" t="s">
        <v>78</v>
      </c>
      <c r="E156" s="18" t="s">
        <v>78</v>
      </c>
      <c r="F156" s="18" t="s">
        <v>78</v>
      </c>
      <c r="G156" s="18" t="s">
        <v>78</v>
      </c>
      <c r="H156" s="18" t="s">
        <v>78</v>
      </c>
      <c r="I156" s="18" t="s">
        <v>78</v>
      </c>
      <c r="J156" s="18" t="s">
        <v>78</v>
      </c>
      <c r="K156" s="24" t="s">
        <v>78</v>
      </c>
      <c r="L156" s="24" t="s">
        <v>78</v>
      </c>
      <c r="M156" s="24" t="s">
        <v>78</v>
      </c>
      <c r="N156" s="17">
        <v>99.658000000000001</v>
      </c>
      <c r="O156" s="18" t="s">
        <v>77</v>
      </c>
      <c r="P156" s="8">
        <v>0.3</v>
      </c>
      <c r="Q156" s="13">
        <v>18.02</v>
      </c>
      <c r="R156" s="8">
        <v>-168310</v>
      </c>
      <c r="S156" s="8">
        <v>12.5</v>
      </c>
      <c r="T156" s="8">
        <v>66</v>
      </c>
      <c r="U156" s="24" t="s">
        <v>78</v>
      </c>
      <c r="V156" s="18" t="s">
        <v>78</v>
      </c>
      <c r="W156" s="18" t="s">
        <v>78</v>
      </c>
      <c r="X156" s="18" t="s">
        <v>78</v>
      </c>
      <c r="Y156" s="18" t="s">
        <v>78</v>
      </c>
      <c r="Z156" s="8">
        <v>8.1</v>
      </c>
      <c r="AA156" s="24" t="s">
        <v>78</v>
      </c>
      <c r="AB156" s="8">
        <v>272.97000000000003</v>
      </c>
      <c r="AC156" s="8">
        <f>15.08*1000</f>
        <v>15080</v>
      </c>
      <c r="AD156" s="8">
        <v>23</v>
      </c>
      <c r="AE156" s="41" t="s">
        <v>78</v>
      </c>
      <c r="AF156" s="8">
        <v>15.8</v>
      </c>
      <c r="AG156" s="8"/>
      <c r="AH156" s="24" t="s">
        <v>78</v>
      </c>
      <c r="AI156" s="24" t="s">
        <v>78</v>
      </c>
      <c r="AJ156" s="18" t="s">
        <v>78</v>
      </c>
      <c r="AK156" s="8">
        <v>0</v>
      </c>
      <c r="AL156" s="8" t="s">
        <v>78</v>
      </c>
      <c r="AM156" s="24" t="s">
        <v>78</v>
      </c>
      <c r="AN156" s="17">
        <v>11.452999999999999</v>
      </c>
      <c r="AO156" s="8">
        <v>69.521193963604105</v>
      </c>
      <c r="AP156" s="17">
        <v>100</v>
      </c>
      <c r="AQ156" s="24" t="s">
        <v>78</v>
      </c>
      <c r="AR156" s="24" t="s">
        <v>78</v>
      </c>
      <c r="AS156" s="24" t="s">
        <v>78</v>
      </c>
      <c r="AT156" s="24" t="s">
        <v>78</v>
      </c>
    </row>
    <row r="157" spans="1:46">
      <c r="A157" s="22" t="s">
        <v>233</v>
      </c>
      <c r="B157">
        <v>5.5284911499999999E-2</v>
      </c>
      <c r="C157" s="8">
        <v>0</v>
      </c>
      <c r="D157" s="8">
        <v>0</v>
      </c>
      <c r="E157" s="8">
        <v>0</v>
      </c>
      <c r="F157" s="8">
        <v>0</v>
      </c>
      <c r="G157">
        <v>5.5284911499999999E-2</v>
      </c>
      <c r="H157" s="17">
        <v>77</v>
      </c>
      <c r="I157" s="8">
        <v>12.1</v>
      </c>
      <c r="J157" s="8">
        <v>66.3</v>
      </c>
      <c r="K157" s="8">
        <v>58</v>
      </c>
      <c r="L157" s="29">
        <v>58</v>
      </c>
      <c r="M157" s="8">
        <v>54</v>
      </c>
      <c r="N157" s="17">
        <v>94.373000000000005</v>
      </c>
      <c r="O157" s="13">
        <v>0.46</v>
      </c>
      <c r="P157" s="8">
        <v>1.3</v>
      </c>
      <c r="Q157" s="13">
        <v>4351.2700000000004</v>
      </c>
      <c r="R157" s="8">
        <v>2610178.2599999998</v>
      </c>
      <c r="S157" s="8">
        <v>10.5</v>
      </c>
      <c r="T157" s="8">
        <v>76.2</v>
      </c>
      <c r="U157" s="17">
        <v>0.67200000000000004</v>
      </c>
      <c r="V157" s="17">
        <v>3</v>
      </c>
      <c r="W157" s="21">
        <v>1966360</v>
      </c>
      <c r="X157" s="8">
        <v>37</v>
      </c>
      <c r="Y157" s="8">
        <v>69.5</v>
      </c>
      <c r="Z157" s="8">
        <v>3.3</v>
      </c>
      <c r="AA157" s="8">
        <v>55.1</v>
      </c>
      <c r="AB157" s="8">
        <v>138809.51999999999</v>
      </c>
      <c r="AC157" s="8">
        <f>17.15*1000</f>
        <v>17150</v>
      </c>
      <c r="AD157" s="8">
        <v>1350.13</v>
      </c>
      <c r="AE157" s="8">
        <v>48.9</v>
      </c>
      <c r="AF157" s="8">
        <v>13.1</v>
      </c>
      <c r="AG157" s="8"/>
      <c r="AH157" s="8">
        <v>0.17</v>
      </c>
      <c r="AI157" s="8">
        <v>36</v>
      </c>
      <c r="AJ157" s="8">
        <v>25</v>
      </c>
      <c r="AK157" s="8">
        <v>5</v>
      </c>
      <c r="AL157" s="8">
        <v>2741053</v>
      </c>
      <c r="AM157" s="8">
        <v>51.9</v>
      </c>
      <c r="AN157" s="17">
        <v>10.506</v>
      </c>
      <c r="AO157" s="8">
        <v>65.026450916480201</v>
      </c>
      <c r="AP157">
        <v>96.704635620117202</v>
      </c>
      <c r="AQ157" s="8">
        <v>57.5</v>
      </c>
      <c r="AR157" s="8">
        <v>38.6</v>
      </c>
      <c r="AS157" s="8">
        <v>43.5</v>
      </c>
      <c r="AT157" s="8">
        <v>1.8759999999999999</v>
      </c>
    </row>
    <row r="158" spans="1:46">
      <c r="A158" s="4" t="s">
        <v>234</v>
      </c>
      <c r="B158">
        <v>0.50906465541539703</v>
      </c>
      <c r="C158" s="8">
        <v>0</v>
      </c>
      <c r="D158">
        <v>0.425651356715397</v>
      </c>
      <c r="E158">
        <v>7.2353288700000004E-2</v>
      </c>
      <c r="F158" s="8">
        <v>0</v>
      </c>
      <c r="G158" s="38">
        <v>1.106001E-2</v>
      </c>
      <c r="H158" s="17">
        <v>33</v>
      </c>
      <c r="I158" s="8">
        <v>2.8</v>
      </c>
      <c r="J158" s="18" t="s">
        <v>78</v>
      </c>
      <c r="K158" s="8">
        <v>27</v>
      </c>
      <c r="L158" s="29">
        <v>36</v>
      </c>
      <c r="M158" s="8">
        <v>33</v>
      </c>
      <c r="N158" s="17">
        <v>45.344000000000001</v>
      </c>
      <c r="O158" s="23">
        <v>53.38</v>
      </c>
      <c r="P158" s="8">
        <v>2</v>
      </c>
      <c r="Q158" s="13">
        <v>9949.44</v>
      </c>
      <c r="R158" s="8">
        <v>5753226.0199999996</v>
      </c>
      <c r="S158" s="8">
        <v>4.7</v>
      </c>
      <c r="T158" s="8">
        <v>65.400000000000006</v>
      </c>
      <c r="U158" s="24" t="s">
        <v>78</v>
      </c>
      <c r="V158" s="18" t="s">
        <v>78</v>
      </c>
      <c r="W158" s="21">
        <v>3072798</v>
      </c>
      <c r="X158" s="18" t="s">
        <v>78</v>
      </c>
      <c r="Y158" s="18" t="s">
        <v>78</v>
      </c>
      <c r="Z158" s="8">
        <v>5.4</v>
      </c>
      <c r="AA158" s="8">
        <v>49.3</v>
      </c>
      <c r="AB158" s="8">
        <v>40196.120000000003</v>
      </c>
      <c r="AC158" s="8">
        <f>3.57*1000</f>
        <v>3570</v>
      </c>
      <c r="AD158" s="8">
        <v>86.83</v>
      </c>
      <c r="AE158" s="41" t="s">
        <v>78</v>
      </c>
      <c r="AF158" s="8">
        <v>10.4</v>
      </c>
      <c r="AG158" s="8"/>
      <c r="AH158" s="24" t="s">
        <v>78</v>
      </c>
      <c r="AI158" s="8">
        <v>31</v>
      </c>
      <c r="AJ158" s="8">
        <v>30</v>
      </c>
      <c r="AK158" s="8">
        <v>10</v>
      </c>
      <c r="AL158" s="8">
        <v>2042098</v>
      </c>
      <c r="AM158" s="8">
        <v>31.7</v>
      </c>
      <c r="AN158" s="17">
        <v>11.045</v>
      </c>
      <c r="AO158" s="8">
        <v>62.313189178442997</v>
      </c>
      <c r="AP158">
        <v>60.400001525878899</v>
      </c>
      <c r="AQ158" s="8">
        <v>21.9</v>
      </c>
      <c r="AR158" s="8">
        <v>25.8</v>
      </c>
      <c r="AS158" s="8">
        <v>25.4</v>
      </c>
      <c r="AT158" s="8">
        <v>2.0459999999999998</v>
      </c>
    </row>
    <row r="159" spans="1:46">
      <c r="A159" s="22" t="s">
        <v>235</v>
      </c>
      <c r="B159">
        <v>0.44862367255000002</v>
      </c>
      <c r="C159" s="8">
        <v>0</v>
      </c>
      <c r="D159" s="8">
        <v>0</v>
      </c>
      <c r="E159" s="8">
        <v>0</v>
      </c>
      <c r="F159" s="8">
        <v>0</v>
      </c>
      <c r="G159">
        <v>0.44862367255000002</v>
      </c>
      <c r="H159" s="17">
        <v>61</v>
      </c>
      <c r="I159" s="8">
        <v>7.2</v>
      </c>
      <c r="J159" s="8">
        <v>62.2</v>
      </c>
      <c r="K159" s="8">
        <v>48</v>
      </c>
      <c r="L159" s="29">
        <v>24</v>
      </c>
      <c r="M159" s="8">
        <v>28</v>
      </c>
      <c r="N159" s="17">
        <v>99.593000000000004</v>
      </c>
      <c r="O159" s="23">
        <v>4.2</v>
      </c>
      <c r="P159" s="8">
        <v>1.3</v>
      </c>
      <c r="Q159" s="13">
        <v>6703.8</v>
      </c>
      <c r="R159" s="8">
        <v>700271.61</v>
      </c>
      <c r="S159" s="8">
        <v>8.9</v>
      </c>
      <c r="T159" s="8">
        <v>70.3</v>
      </c>
      <c r="U159" s="17">
        <v>0.52</v>
      </c>
      <c r="V159" s="17">
        <v>3</v>
      </c>
      <c r="W159" s="21">
        <v>3430255</v>
      </c>
      <c r="X159" s="8">
        <v>22</v>
      </c>
      <c r="Y159" s="8">
        <v>59.8</v>
      </c>
      <c r="Z159" s="8">
        <v>4.5</v>
      </c>
      <c r="AA159" s="8">
        <v>38.9</v>
      </c>
      <c r="AB159" s="8">
        <v>100806.3</v>
      </c>
      <c r="AC159" s="8">
        <f>5.91*1000</f>
        <v>5910</v>
      </c>
      <c r="AD159" s="8">
        <v>27.18</v>
      </c>
      <c r="AE159" s="8">
        <v>26.6</v>
      </c>
      <c r="AF159" s="8">
        <v>13</v>
      </c>
      <c r="AG159" s="8"/>
      <c r="AH159" s="8">
        <v>5.5E-2</v>
      </c>
      <c r="AI159" s="8">
        <v>30</v>
      </c>
      <c r="AJ159" s="8">
        <v>10</v>
      </c>
      <c r="AK159" s="8">
        <v>12</v>
      </c>
      <c r="AL159" s="8">
        <v>690445</v>
      </c>
      <c r="AM159" s="8">
        <v>43.3</v>
      </c>
      <c r="AN159" s="17">
        <v>10.664</v>
      </c>
      <c r="AO159" s="8">
        <v>64.750643627590904</v>
      </c>
      <c r="AP159" s="17">
        <v>100</v>
      </c>
      <c r="AQ159" s="8">
        <v>48.9</v>
      </c>
      <c r="AR159" s="8">
        <v>41</v>
      </c>
      <c r="AS159" s="8">
        <v>30.1</v>
      </c>
      <c r="AT159" s="8">
        <v>1.976</v>
      </c>
    </row>
    <row r="160" spans="1:46">
      <c r="A160" s="22" t="s">
        <v>236</v>
      </c>
      <c r="B160">
        <v>1.1614671639076899</v>
      </c>
      <c r="C160">
        <v>1.84464487422152E-2</v>
      </c>
      <c r="D160">
        <v>0.57376316486879997</v>
      </c>
      <c r="E160">
        <v>0.25893697284667899</v>
      </c>
      <c r="F160" s="8">
        <v>0</v>
      </c>
      <c r="G160" s="38">
        <v>0.31032058000000001</v>
      </c>
      <c r="H160" s="17">
        <v>78</v>
      </c>
      <c r="I160" s="8">
        <v>4.8</v>
      </c>
      <c r="J160" s="8">
        <v>66.5</v>
      </c>
      <c r="K160" s="8">
        <v>61</v>
      </c>
      <c r="L160" s="29">
        <v>55</v>
      </c>
      <c r="M160" s="8">
        <v>39</v>
      </c>
      <c r="N160" s="17">
        <v>93.138999999999996</v>
      </c>
      <c r="O160" s="23">
        <v>7.08</v>
      </c>
      <c r="P160" s="8">
        <v>1.2</v>
      </c>
      <c r="Q160" s="13">
        <v>33715.47</v>
      </c>
      <c r="R160" s="8">
        <v>7486325.4800000004</v>
      </c>
      <c r="S160" s="8">
        <v>9.9</v>
      </c>
      <c r="T160" s="8">
        <v>72.400000000000006</v>
      </c>
      <c r="U160" s="17">
        <v>0.51700000000000002</v>
      </c>
      <c r="V160" s="17">
        <v>4</v>
      </c>
      <c r="W160" s="21">
        <v>18351926</v>
      </c>
      <c r="X160" s="8">
        <v>33</v>
      </c>
      <c r="Y160" s="8">
        <v>62.3</v>
      </c>
      <c r="Z160" s="8">
        <v>4.4000000000000004</v>
      </c>
      <c r="AA160" s="8">
        <v>35.700000000000003</v>
      </c>
      <c r="AB160" s="8">
        <v>463538.29</v>
      </c>
      <c r="AC160" s="8">
        <f>7.35*1000</f>
        <v>7350</v>
      </c>
      <c r="AD160" s="8">
        <v>7455.12</v>
      </c>
      <c r="AE160" s="8">
        <v>38.1</v>
      </c>
      <c r="AF160" s="8">
        <v>15.4</v>
      </c>
      <c r="AG160" s="8"/>
      <c r="AH160" s="8">
        <v>0.223</v>
      </c>
      <c r="AI160" s="8">
        <v>36</v>
      </c>
      <c r="AJ160" s="8">
        <v>29.5</v>
      </c>
      <c r="AK160" s="8">
        <v>49</v>
      </c>
      <c r="AL160" s="8">
        <v>73361685</v>
      </c>
      <c r="AM160" s="8">
        <v>41.5</v>
      </c>
      <c r="AN160" s="17">
        <v>23.295999999999999</v>
      </c>
      <c r="AO160" s="8">
        <v>65.349283340142506</v>
      </c>
      <c r="AP160">
        <v>99.311813354492202</v>
      </c>
      <c r="AQ160" s="8">
        <v>45.2</v>
      </c>
      <c r="AR160" s="8">
        <v>27.7</v>
      </c>
      <c r="AS160" s="8">
        <v>32.200000000000003</v>
      </c>
      <c r="AT160" s="8">
        <v>2.0910000000000002</v>
      </c>
    </row>
    <row r="161" spans="1:46">
      <c r="A161" s="22" t="s">
        <v>237</v>
      </c>
      <c r="B161">
        <v>0.67939692340608604</v>
      </c>
      <c r="C161">
        <v>0.33672685003093</v>
      </c>
      <c r="D161">
        <v>0.1292663712645</v>
      </c>
      <c r="E161">
        <v>2.1540983606557298E-3</v>
      </c>
      <c r="F161" s="31">
        <v>0</v>
      </c>
      <c r="G161" s="38">
        <v>0.21124960000000001</v>
      </c>
      <c r="H161" s="17">
        <v>55</v>
      </c>
      <c r="I161" s="8">
        <v>2.4</v>
      </c>
      <c r="J161" s="8">
        <v>63.5</v>
      </c>
      <c r="K161" s="8">
        <v>61</v>
      </c>
      <c r="L161" s="8">
        <v>54</v>
      </c>
      <c r="M161" s="8">
        <v>55</v>
      </c>
      <c r="N161" s="17">
        <v>94.109000000000009</v>
      </c>
      <c r="O161" s="23">
        <v>25.25</v>
      </c>
      <c r="P161" s="8">
        <v>1.5</v>
      </c>
      <c r="Q161" s="35">
        <v>113880.33</v>
      </c>
      <c r="R161" s="8">
        <v>-38718370.57</v>
      </c>
      <c r="S161" s="8">
        <v>9</v>
      </c>
      <c r="T161" s="8">
        <v>69.3</v>
      </c>
      <c r="U161" s="17">
        <v>0.435</v>
      </c>
      <c r="V161" s="17">
        <v>5</v>
      </c>
      <c r="W161" s="21">
        <v>44242102</v>
      </c>
      <c r="X161" s="8">
        <v>38</v>
      </c>
      <c r="Y161" s="8">
        <v>58</v>
      </c>
      <c r="Z161" s="8">
        <v>4.3</v>
      </c>
      <c r="AA161" s="8">
        <v>61</v>
      </c>
      <c r="AB161" s="34">
        <v>1012713.77</v>
      </c>
      <c r="AC161" s="34">
        <f>3.76*1000</f>
        <v>3760</v>
      </c>
      <c r="AD161" s="34">
        <v>10518.04</v>
      </c>
      <c r="AE161" s="8">
        <v>50.3</v>
      </c>
      <c r="AF161" s="8">
        <v>13.1</v>
      </c>
      <c r="AG161" s="8">
        <v>46</v>
      </c>
      <c r="AH161" s="8">
        <v>0.17499999999999999</v>
      </c>
      <c r="AI161" s="8">
        <v>33</v>
      </c>
      <c r="AJ161" s="8">
        <v>25</v>
      </c>
      <c r="AK161" s="8">
        <v>13</v>
      </c>
      <c r="AL161" s="8">
        <v>678886</v>
      </c>
      <c r="AM161" s="8">
        <v>25.9</v>
      </c>
      <c r="AN161" s="17">
        <v>16.887</v>
      </c>
      <c r="AO161" s="8">
        <v>64.037052123699496</v>
      </c>
      <c r="AP161">
        <v>96.842384338378906</v>
      </c>
      <c r="AQ161" s="8">
        <v>38.6</v>
      </c>
      <c r="AR161" s="8">
        <v>23.4</v>
      </c>
      <c r="AS161" s="8">
        <v>16.899999999999999</v>
      </c>
      <c r="AT161" s="8">
        <v>2.339</v>
      </c>
    </row>
    <row r="162" spans="1:46">
      <c r="A162" s="22" t="s">
        <v>238</v>
      </c>
      <c r="B162">
        <v>2.3518896507066702</v>
      </c>
      <c r="C162">
        <v>1.8929207373744901</v>
      </c>
      <c r="D162">
        <v>0.153431926870299</v>
      </c>
      <c r="E162">
        <v>4.3043082786884901E-2</v>
      </c>
      <c r="F162" s="8">
        <v>0</v>
      </c>
      <c r="G162" s="38">
        <v>0.2624939</v>
      </c>
      <c r="H162" s="17">
        <v>74</v>
      </c>
      <c r="I162" s="8">
        <v>3.4</v>
      </c>
      <c r="J162" s="8">
        <v>59.5</v>
      </c>
      <c r="K162" s="8">
        <v>71</v>
      </c>
      <c r="L162" s="8">
        <v>54</v>
      </c>
      <c r="M162" s="8">
        <v>55</v>
      </c>
      <c r="N162" s="17">
        <v>99.966999999999999</v>
      </c>
      <c r="O162" s="23">
        <v>0.08</v>
      </c>
      <c r="P162" s="8">
        <v>-0.4</v>
      </c>
      <c r="Q162" s="13">
        <v>37747.120000000003</v>
      </c>
      <c r="R162" s="8">
        <v>30922000</v>
      </c>
      <c r="S162" s="8">
        <v>13.2</v>
      </c>
      <c r="T162" s="8">
        <v>76.5</v>
      </c>
      <c r="U162" s="17">
        <v>0.66300000000000003</v>
      </c>
      <c r="V162" s="17">
        <v>3</v>
      </c>
      <c r="W162" s="21">
        <v>18211900</v>
      </c>
      <c r="X162" s="8">
        <v>50</v>
      </c>
      <c r="Y162" s="8">
        <v>81.2</v>
      </c>
      <c r="Z162" s="8">
        <v>14.3</v>
      </c>
      <c r="AA162" s="8">
        <v>45.1</v>
      </c>
      <c r="AB162" s="8">
        <v>1428228.98</v>
      </c>
      <c r="AC162" s="8">
        <f>20.05*1000</f>
        <v>20050</v>
      </c>
      <c r="AD162" s="8">
        <v>33684</v>
      </c>
      <c r="AE162" s="8">
        <v>42.3</v>
      </c>
      <c r="AF162" s="8">
        <v>16</v>
      </c>
      <c r="AG162" s="8"/>
      <c r="AH162" s="8">
        <v>0.17899999999999999</v>
      </c>
      <c r="AI162" s="8">
        <v>56</v>
      </c>
      <c r="AJ162" s="8">
        <v>19</v>
      </c>
      <c r="AK162" s="8">
        <v>0</v>
      </c>
      <c r="AL162" s="8" t="s">
        <v>78</v>
      </c>
      <c r="AM162" s="8">
        <v>40.4</v>
      </c>
      <c r="AN162" s="17">
        <v>19.728000000000002</v>
      </c>
      <c r="AO162" s="8">
        <v>65.7944426901566</v>
      </c>
      <c r="AP162" s="17">
        <v>100</v>
      </c>
      <c r="AQ162" s="8">
        <v>60</v>
      </c>
      <c r="AR162" s="8">
        <v>63.7</v>
      </c>
      <c r="AS162" s="8">
        <v>38.799999999999997</v>
      </c>
      <c r="AT162" s="8">
        <v>1.552</v>
      </c>
    </row>
    <row r="163" spans="1:46">
      <c r="A163" s="22" t="s">
        <v>239</v>
      </c>
      <c r="B163">
        <v>0.25796302379500002</v>
      </c>
      <c r="C163" s="8">
        <v>0</v>
      </c>
      <c r="D163" s="8">
        <v>0</v>
      </c>
      <c r="E163" s="8">
        <v>0</v>
      </c>
      <c r="F163" s="8">
        <v>0</v>
      </c>
      <c r="G163">
        <v>0.25796302379500002</v>
      </c>
      <c r="H163" s="17">
        <v>84</v>
      </c>
      <c r="I163" s="8">
        <v>6.6</v>
      </c>
      <c r="J163" s="8">
        <v>62.9</v>
      </c>
      <c r="K163" s="8">
        <v>72</v>
      </c>
      <c r="L163" s="8">
        <v>83</v>
      </c>
      <c r="M163" s="8">
        <v>84</v>
      </c>
      <c r="N163" s="17">
        <v>99.912000000000006</v>
      </c>
      <c r="O163" s="23">
        <v>0.46</v>
      </c>
      <c r="P163" s="8">
        <v>0.3</v>
      </c>
      <c r="Q163" s="13">
        <v>10325.15</v>
      </c>
      <c r="R163" s="8">
        <v>-6766334.7300000004</v>
      </c>
      <c r="S163" s="8">
        <v>9.6</v>
      </c>
      <c r="T163" s="8">
        <v>81</v>
      </c>
      <c r="U163" s="17">
        <v>0.68900000000000006</v>
      </c>
      <c r="V163" s="17">
        <v>2</v>
      </c>
      <c r="W163" s="21">
        <v>5173674</v>
      </c>
      <c r="X163" s="8">
        <v>54</v>
      </c>
      <c r="Y163" s="8">
        <v>83.6</v>
      </c>
      <c r="Z163" s="8">
        <v>4.7</v>
      </c>
      <c r="AA163" s="8">
        <v>111.2</v>
      </c>
      <c r="AB163" s="8">
        <v>369627.4</v>
      </c>
      <c r="AC163" s="8">
        <f>25.49*1000</f>
        <v>25490</v>
      </c>
      <c r="AD163" s="8">
        <v>7359.96</v>
      </c>
      <c r="AE163" s="8">
        <v>63.7</v>
      </c>
      <c r="AF163" s="8">
        <v>16.899999999999999</v>
      </c>
      <c r="AG163" s="8"/>
      <c r="AH163" s="8">
        <v>0.253</v>
      </c>
      <c r="AI163" s="8">
        <v>62</v>
      </c>
      <c r="AJ163" s="8">
        <v>31.5</v>
      </c>
      <c r="AK163" s="8">
        <v>0</v>
      </c>
      <c r="AL163" s="8" t="s">
        <v>78</v>
      </c>
      <c r="AM163" s="8">
        <v>78.099999999999994</v>
      </c>
      <c r="AN163" s="17">
        <v>7.516</v>
      </c>
      <c r="AO163" s="8">
        <v>64.096029942557394</v>
      </c>
      <c r="AP163" s="17">
        <v>100</v>
      </c>
      <c r="AQ163" s="8">
        <v>49.6</v>
      </c>
      <c r="AR163" s="8">
        <v>62.5</v>
      </c>
      <c r="AS163" s="8">
        <v>37.6</v>
      </c>
      <c r="AT163" s="8">
        <v>1.3009999999999999</v>
      </c>
    </row>
    <row r="164" spans="1:46">
      <c r="A164" s="4" t="s">
        <v>240</v>
      </c>
      <c r="B164">
        <v>4.1586349999999999E-3</v>
      </c>
      <c r="C164" s="8">
        <v>0</v>
      </c>
      <c r="D164" s="8">
        <v>0</v>
      </c>
      <c r="E164" s="8">
        <v>0</v>
      </c>
      <c r="F164" s="8">
        <v>0</v>
      </c>
      <c r="G164">
        <v>4.1586349999999999E-3</v>
      </c>
      <c r="H164" s="18" t="s">
        <v>78</v>
      </c>
      <c r="I164" s="8">
        <v>8.3000000000000007</v>
      </c>
      <c r="J164" s="18" t="s">
        <v>78</v>
      </c>
      <c r="K164" s="8">
        <v>0</v>
      </c>
      <c r="L164" s="24" t="s">
        <v>78</v>
      </c>
      <c r="M164" s="24" t="s">
        <v>78</v>
      </c>
      <c r="N164" s="18" t="s">
        <v>77</v>
      </c>
      <c r="O164" s="18" t="s">
        <v>77</v>
      </c>
      <c r="P164" s="8">
        <v>-0.5</v>
      </c>
      <c r="Q164" s="13">
        <v>3263.58</v>
      </c>
      <c r="R164" s="24" t="s">
        <v>78</v>
      </c>
      <c r="S164" s="24" t="s">
        <v>78</v>
      </c>
      <c r="T164" s="24" t="s">
        <v>78</v>
      </c>
      <c r="U164" s="24" t="s">
        <v>78</v>
      </c>
      <c r="V164" s="18" t="s">
        <v>78</v>
      </c>
      <c r="W164" s="21">
        <v>1136398</v>
      </c>
      <c r="X164" s="18" t="s">
        <v>78</v>
      </c>
      <c r="Y164" s="18" t="s">
        <v>78</v>
      </c>
      <c r="Z164" s="8">
        <v>3.5</v>
      </c>
      <c r="AA164" s="8">
        <v>14.8</v>
      </c>
      <c r="AB164" s="8">
        <v>117000.54</v>
      </c>
      <c r="AC164" s="8">
        <f>40.36*1000</f>
        <v>40360</v>
      </c>
      <c r="AD164" s="24" t="s">
        <v>78</v>
      </c>
      <c r="AE164" s="41" t="s">
        <v>78</v>
      </c>
      <c r="AF164" s="24" t="s">
        <v>78</v>
      </c>
      <c r="AG164" s="8"/>
      <c r="AH164" s="24" t="s">
        <v>78</v>
      </c>
      <c r="AI164" s="24" t="s">
        <v>78</v>
      </c>
      <c r="AJ164" s="8">
        <v>37.5</v>
      </c>
      <c r="AK164" s="8">
        <v>0</v>
      </c>
      <c r="AL164" s="8" t="s">
        <v>78</v>
      </c>
      <c r="AM164" s="24" t="s">
        <v>78</v>
      </c>
      <c r="AN164" s="24" t="s">
        <v>78</v>
      </c>
      <c r="AO164" s="8">
        <v>63.993393790439399</v>
      </c>
      <c r="AP164" s="17">
        <v>100</v>
      </c>
      <c r="AQ164" s="24" t="s">
        <v>78</v>
      </c>
      <c r="AR164" s="24" t="s">
        <v>78</v>
      </c>
      <c r="AS164" s="24" t="s">
        <v>78</v>
      </c>
      <c r="AT164" s="24" t="s">
        <v>78</v>
      </c>
    </row>
    <row r="165" spans="1:46">
      <c r="A165" s="44" t="s">
        <v>241</v>
      </c>
      <c r="B165">
        <v>9.6535677982010597</v>
      </c>
      <c r="C165" s="26">
        <v>0</v>
      </c>
      <c r="D165">
        <v>6.5702754667440004</v>
      </c>
      <c r="E165">
        <v>3.0821670600370599</v>
      </c>
      <c r="F165" s="8">
        <v>0</v>
      </c>
      <c r="G165" s="38">
        <v>1.12527E-3</v>
      </c>
      <c r="H165" s="17">
        <v>74</v>
      </c>
      <c r="I165" s="8">
        <v>0.3</v>
      </c>
      <c r="J165" s="18">
        <v>66.2</v>
      </c>
      <c r="K165" s="8">
        <v>85</v>
      </c>
      <c r="L165" s="29">
        <v>48</v>
      </c>
      <c r="M165" s="8">
        <v>62</v>
      </c>
      <c r="N165" s="17">
        <v>99.567999999999998</v>
      </c>
      <c r="O165" s="18" t="s">
        <v>77</v>
      </c>
      <c r="P165" s="8">
        <v>-2.6</v>
      </c>
      <c r="Q165" s="13">
        <v>2688.24</v>
      </c>
      <c r="R165" s="8">
        <v>44345054.950000003</v>
      </c>
      <c r="S165" s="8">
        <v>10</v>
      </c>
      <c r="T165" s="26">
        <v>79.3</v>
      </c>
      <c r="U165" s="24" t="s">
        <v>78</v>
      </c>
      <c r="V165" s="29">
        <v>4</v>
      </c>
      <c r="W165" s="21">
        <v>1976691</v>
      </c>
      <c r="X165" s="8">
        <v>50</v>
      </c>
      <c r="Y165" s="8">
        <v>81.599999999999994</v>
      </c>
      <c r="Z165" s="8">
        <v>3.3</v>
      </c>
      <c r="AA165" s="8">
        <v>43.4</v>
      </c>
      <c r="AB165" s="8">
        <v>274258.67</v>
      </c>
      <c r="AC165" s="8">
        <f>89.42*1000</f>
        <v>89420</v>
      </c>
      <c r="AD165" s="8">
        <v>-1093.4100000000001</v>
      </c>
      <c r="AE165" s="8">
        <v>77</v>
      </c>
      <c r="AF165" s="26">
        <v>12.6</v>
      </c>
      <c r="AG165" s="26"/>
      <c r="AH165" s="26">
        <v>3.2000000000000001E-2</v>
      </c>
      <c r="AI165" s="26">
        <v>63</v>
      </c>
      <c r="AJ165" s="8">
        <v>10</v>
      </c>
      <c r="AK165" s="8">
        <v>0</v>
      </c>
      <c r="AL165" s="8" t="s">
        <v>78</v>
      </c>
      <c r="AM165" s="8">
        <v>42.1</v>
      </c>
      <c r="AN165" s="17">
        <v>93.844000000000008</v>
      </c>
      <c r="AO165" s="8">
        <v>82.835391995119494</v>
      </c>
      <c r="AP165" s="17">
        <v>100</v>
      </c>
      <c r="AQ165" s="8">
        <v>34.5</v>
      </c>
      <c r="AR165" s="8">
        <v>60.6</v>
      </c>
      <c r="AS165" s="8">
        <v>21.5</v>
      </c>
      <c r="AT165" s="8">
        <v>1.5329999999999999</v>
      </c>
    </row>
    <row r="166" spans="1:46">
      <c r="A166" s="22" t="s">
        <v>242</v>
      </c>
      <c r="B166">
        <v>1.0307423146324799</v>
      </c>
      <c r="C166">
        <v>0.16664201899179801</v>
      </c>
      <c r="D166">
        <v>0.35924867917370001</v>
      </c>
      <c r="E166">
        <v>0.15250397602049001</v>
      </c>
      <c r="F166">
        <v>0.123421098007</v>
      </c>
      <c r="G166">
        <v>0.2289265424395</v>
      </c>
      <c r="H166" s="17">
        <v>71</v>
      </c>
      <c r="I166" s="8">
        <v>5.2</v>
      </c>
      <c r="J166" s="8">
        <v>56.6</v>
      </c>
      <c r="K166" s="8">
        <v>55</v>
      </c>
      <c r="L166" s="29">
        <v>75</v>
      </c>
      <c r="M166" s="8">
        <v>81</v>
      </c>
      <c r="N166" s="17">
        <v>100</v>
      </c>
      <c r="O166" s="23">
        <v>3.13</v>
      </c>
      <c r="P166" s="8">
        <v>-0.8</v>
      </c>
      <c r="Q166" s="13">
        <v>19119.88</v>
      </c>
      <c r="R166" s="8">
        <v>-16177203.810000001</v>
      </c>
      <c r="S166">
        <v>11.3</v>
      </c>
      <c r="T166" s="8">
        <v>74.2</v>
      </c>
      <c r="U166" s="17">
        <v>0.72699999999999998</v>
      </c>
      <c r="V166" s="17">
        <v>4</v>
      </c>
      <c r="W166" s="21">
        <v>8380691</v>
      </c>
      <c r="X166" s="8">
        <v>42</v>
      </c>
      <c r="Y166" s="8">
        <v>71.7</v>
      </c>
      <c r="Z166" s="8">
        <v>11</v>
      </c>
      <c r="AA166" s="8">
        <v>51.6</v>
      </c>
      <c r="AB166" s="8">
        <v>685823.09</v>
      </c>
      <c r="AC166" s="8">
        <f>16.23*1000</f>
        <v>16230</v>
      </c>
      <c r="AD166" s="8">
        <v>10456.5</v>
      </c>
      <c r="AE166" s="8">
        <v>31.8</v>
      </c>
      <c r="AF166" s="8">
        <v>14.2</v>
      </c>
      <c r="AG166" s="8"/>
      <c r="AH166" s="8">
        <v>0.2</v>
      </c>
      <c r="AI166" s="8">
        <v>45</v>
      </c>
      <c r="AJ166" s="8">
        <v>16</v>
      </c>
      <c r="AK166" s="8">
        <v>4</v>
      </c>
      <c r="AL166" s="8">
        <v>69527</v>
      </c>
      <c r="AM166" s="8">
        <v>39.200000000000003</v>
      </c>
      <c r="AN166" s="17">
        <v>14.171000000000001</v>
      </c>
      <c r="AO166" s="8">
        <v>65.049579482382597</v>
      </c>
      <c r="AP166" s="17">
        <v>100</v>
      </c>
      <c r="AQ166" s="8">
        <v>65.400000000000006</v>
      </c>
      <c r="AR166" s="8">
        <v>45.6</v>
      </c>
      <c r="AS166" s="8">
        <v>51.3</v>
      </c>
      <c r="AT166" s="8">
        <v>1.64</v>
      </c>
    </row>
    <row r="167" spans="1:46">
      <c r="A167" s="4" t="s">
        <v>243</v>
      </c>
      <c r="B167">
        <v>64.3030142790616</v>
      </c>
      <c r="C167">
        <v>10.5165844033311</v>
      </c>
      <c r="D167">
        <v>25.713639151095698</v>
      </c>
      <c r="E167">
        <v>24.189463730734701</v>
      </c>
      <c r="F167">
        <v>2.1057164149999998</v>
      </c>
      <c r="G167">
        <v>1.7776105789000001</v>
      </c>
      <c r="H167" s="17">
        <v>75</v>
      </c>
      <c r="I167" s="8">
        <v>5</v>
      </c>
      <c r="J167" s="8">
        <v>50.7</v>
      </c>
      <c r="K167" s="8">
        <v>14</v>
      </c>
      <c r="L167" s="29">
        <v>67</v>
      </c>
      <c r="M167" s="8">
        <v>52</v>
      </c>
      <c r="N167" s="17">
        <v>96.992999999999995</v>
      </c>
      <c r="O167" s="23">
        <v>0.1</v>
      </c>
      <c r="P167" s="8">
        <v>-0.4</v>
      </c>
      <c r="Q167" s="13">
        <v>143449.29</v>
      </c>
      <c r="R167" s="8">
        <v>170087920</v>
      </c>
      <c r="S167" s="8">
        <v>12.8</v>
      </c>
      <c r="T167" s="8">
        <v>69.400000000000006</v>
      </c>
      <c r="U167" s="17">
        <v>0.58899999999999997</v>
      </c>
      <c r="V167" s="18" t="s">
        <v>78</v>
      </c>
      <c r="W167" s="21">
        <v>72443662</v>
      </c>
      <c r="X167" s="8">
        <v>53</v>
      </c>
      <c r="Y167" s="8">
        <v>73.8</v>
      </c>
      <c r="Z167" s="8">
        <v>5</v>
      </c>
      <c r="AA167" s="8">
        <v>16.899999999999999</v>
      </c>
      <c r="AB167" s="8">
        <v>4793482.8499999996</v>
      </c>
      <c r="AC167" s="8">
        <f>14.7*1000</f>
        <v>14700</v>
      </c>
      <c r="AD167" s="8">
        <v>40450</v>
      </c>
      <c r="AE167" s="8">
        <v>36.299999999999997</v>
      </c>
      <c r="AF167" s="8">
        <v>15.8</v>
      </c>
      <c r="AG167" s="8"/>
      <c r="AH167" s="8">
        <v>6.9000000000000006E-2</v>
      </c>
      <c r="AI167" s="8">
        <v>29</v>
      </c>
      <c r="AJ167" s="8">
        <v>20</v>
      </c>
      <c r="AK167" s="8">
        <v>6</v>
      </c>
      <c r="AL167" s="8">
        <v>1329474</v>
      </c>
      <c r="AM167" s="8">
        <v>48.8</v>
      </c>
      <c r="AN167" s="17">
        <v>15.611000000000001</v>
      </c>
      <c r="AO167" s="8">
        <v>66.6869722769909</v>
      </c>
      <c r="AP167" s="17">
        <v>100</v>
      </c>
      <c r="AQ167" s="8">
        <v>39</v>
      </c>
      <c r="AR167" s="8">
        <v>27.7</v>
      </c>
      <c r="AS167" s="8">
        <v>29.1</v>
      </c>
      <c r="AT167" s="8">
        <v>3.2749999999999999</v>
      </c>
    </row>
    <row r="168" spans="1:46">
      <c r="A168" s="22" t="s">
        <v>244</v>
      </c>
      <c r="B168">
        <v>6.2312511065999998E-3</v>
      </c>
      <c r="C168" s="8">
        <v>0</v>
      </c>
      <c r="D168">
        <v>2.1271948515999999E-3</v>
      </c>
      <c r="E168" s="8">
        <v>0</v>
      </c>
      <c r="F168" s="8">
        <v>0</v>
      </c>
      <c r="G168" s="38">
        <v>4.1040599999999997E-3</v>
      </c>
      <c r="H168" s="17">
        <v>54</v>
      </c>
      <c r="I168" s="8">
        <v>1.6</v>
      </c>
      <c r="J168" s="8">
        <v>54</v>
      </c>
      <c r="K168" s="8">
        <v>33</v>
      </c>
      <c r="L168" s="29">
        <v>91</v>
      </c>
      <c r="M168" s="8">
        <v>55</v>
      </c>
      <c r="N168" s="17">
        <v>60.414999999999999</v>
      </c>
      <c r="O168" s="23">
        <v>74.36</v>
      </c>
      <c r="P168" s="8">
        <v>2.4</v>
      </c>
      <c r="Q168" s="13">
        <v>13461.89</v>
      </c>
      <c r="R168" s="8">
        <v>-1745970.65</v>
      </c>
      <c r="S168" s="8">
        <v>4.4000000000000004</v>
      </c>
      <c r="T168" s="8">
        <v>66.099999999999994</v>
      </c>
      <c r="U168" s="17">
        <v>0.67500000000000004</v>
      </c>
      <c r="V168" s="17">
        <v>3</v>
      </c>
      <c r="W168" s="21">
        <v>6776063</v>
      </c>
      <c r="X168" s="8">
        <v>31</v>
      </c>
      <c r="Y168" s="8">
        <v>52</v>
      </c>
      <c r="Z168" s="8">
        <v>8</v>
      </c>
      <c r="AA168" s="8">
        <v>68.599999999999994</v>
      </c>
      <c r="AB168" s="8">
        <v>33112.300000000003</v>
      </c>
      <c r="AC168" s="8">
        <f>967.74</f>
        <v>967.74</v>
      </c>
      <c r="AD168" s="8">
        <v>211.9</v>
      </c>
      <c r="AE168" s="8">
        <v>32.299999999999997</v>
      </c>
      <c r="AF168" s="8">
        <v>11.2</v>
      </c>
      <c r="AG168" s="8"/>
      <c r="AH168" s="8">
        <v>0.24099999999999999</v>
      </c>
      <c r="AI168" s="8">
        <v>53</v>
      </c>
      <c r="AJ168" s="8">
        <v>30</v>
      </c>
      <c r="AK168" s="8">
        <v>182</v>
      </c>
      <c r="AL168" s="8">
        <v>8984680</v>
      </c>
      <c r="AM168" s="8">
        <v>24.7</v>
      </c>
      <c r="AN168" s="17">
        <v>42.295000000000002</v>
      </c>
      <c r="AO168" s="8">
        <v>57.967094138916302</v>
      </c>
      <c r="AP168">
        <v>46.599998474121101</v>
      </c>
      <c r="AQ168" s="8">
        <v>37.700000000000003</v>
      </c>
      <c r="AR168" s="8">
        <v>4.5</v>
      </c>
      <c r="AS168" s="8">
        <v>32.6</v>
      </c>
      <c r="AT168" s="8">
        <v>1.9450000000000001</v>
      </c>
    </row>
    <row r="169" spans="1:46">
      <c r="A169" s="4" t="s">
        <v>245</v>
      </c>
      <c r="B169">
        <v>5.7107765000000003E-4</v>
      </c>
      <c r="C169" s="8">
        <v>0</v>
      </c>
      <c r="D169" s="8">
        <v>0</v>
      </c>
      <c r="E169" s="8">
        <v>0</v>
      </c>
      <c r="F169" s="8">
        <v>0</v>
      </c>
      <c r="G169">
        <v>5.7107765000000003E-4</v>
      </c>
      <c r="H169" s="17">
        <v>53</v>
      </c>
      <c r="I169" s="8">
        <v>9.8000000000000007</v>
      </c>
      <c r="J169" s="18" t="s">
        <v>78</v>
      </c>
      <c r="K169" s="24" t="s">
        <v>78</v>
      </c>
      <c r="L169" s="24" t="s">
        <v>78</v>
      </c>
      <c r="M169" s="24" t="s">
        <v>78</v>
      </c>
      <c r="N169" s="17">
        <v>91.838000000000008</v>
      </c>
      <c r="O169" s="23">
        <v>9</v>
      </c>
      <c r="P169" s="8">
        <v>1.8</v>
      </c>
      <c r="Q169" s="13">
        <v>218.76</v>
      </c>
      <c r="R169" s="8">
        <v>-332236.64</v>
      </c>
      <c r="S169" s="8">
        <v>11.4</v>
      </c>
      <c r="T169" s="8">
        <v>72.8</v>
      </c>
      <c r="U169" s="24" t="s">
        <v>78</v>
      </c>
      <c r="V169" s="18" t="s">
        <v>78</v>
      </c>
      <c r="W169" s="21">
        <v>58397</v>
      </c>
      <c r="X169" s="18" t="s">
        <v>78</v>
      </c>
      <c r="Y169" s="18" t="s">
        <v>78</v>
      </c>
      <c r="Z169" s="8">
        <v>6.3</v>
      </c>
      <c r="AA169" s="8">
        <v>45.1</v>
      </c>
      <c r="AB169" s="8">
        <v>1330.03</v>
      </c>
      <c r="AC169" s="8">
        <f>4.14*1000</f>
        <v>4140</v>
      </c>
      <c r="AD169" s="8">
        <v>8.7200000000000006</v>
      </c>
      <c r="AE169" s="41" t="s">
        <v>78</v>
      </c>
      <c r="AF169" s="8">
        <v>12.4</v>
      </c>
      <c r="AG169" s="8"/>
      <c r="AH169" s="24" t="s">
        <v>78</v>
      </c>
      <c r="AI169" s="24" t="s">
        <v>78</v>
      </c>
      <c r="AJ169" s="8">
        <v>27</v>
      </c>
      <c r="AK169" s="8">
        <v>0</v>
      </c>
      <c r="AL169" s="8" t="s">
        <v>78</v>
      </c>
      <c r="AM169" s="8">
        <v>36</v>
      </c>
      <c r="AN169" s="17">
        <v>10.829000000000001</v>
      </c>
      <c r="AO169" s="8">
        <v>57.1711981861732</v>
      </c>
      <c r="AP169" s="17">
        <v>100</v>
      </c>
      <c r="AQ169" s="8">
        <v>25.6</v>
      </c>
      <c r="AR169" s="8">
        <v>51.2</v>
      </c>
      <c r="AS169" s="8">
        <v>44.2</v>
      </c>
      <c r="AT169" s="24" t="s">
        <v>78</v>
      </c>
    </row>
    <row r="170" spans="1:46">
      <c r="A170" s="4" t="s">
        <v>246</v>
      </c>
      <c r="B170" s="18" t="s">
        <v>78</v>
      </c>
      <c r="C170" s="18" t="s">
        <v>78</v>
      </c>
      <c r="D170" s="18" t="s">
        <v>78</v>
      </c>
      <c r="E170" s="18" t="s">
        <v>78</v>
      </c>
      <c r="F170" s="18" t="s">
        <v>78</v>
      </c>
      <c r="G170" s="18" t="s">
        <v>78</v>
      </c>
      <c r="H170" s="17" t="s">
        <v>85</v>
      </c>
      <c r="I170" s="18" t="s">
        <v>78</v>
      </c>
      <c r="J170" s="18" t="s">
        <v>78</v>
      </c>
      <c r="K170" s="48">
        <v>50</v>
      </c>
      <c r="L170" s="24" t="s">
        <v>78</v>
      </c>
      <c r="M170" s="24" t="s">
        <v>78</v>
      </c>
      <c r="N170" s="17">
        <v>100</v>
      </c>
      <c r="O170" s="24" t="s">
        <v>78</v>
      </c>
      <c r="P170" s="8">
        <v>-0.8</v>
      </c>
      <c r="Q170" s="13">
        <v>33.74</v>
      </c>
      <c r="R170" s="8">
        <v>206942.04</v>
      </c>
      <c r="S170" s="8">
        <v>10.8</v>
      </c>
      <c r="T170" s="8">
        <v>80.900000000000006</v>
      </c>
      <c r="U170" s="24" t="s">
        <v>78</v>
      </c>
      <c r="V170" s="18" t="s">
        <v>78</v>
      </c>
      <c r="W170" s="18" t="s">
        <v>78</v>
      </c>
      <c r="X170" s="18" t="s">
        <v>78</v>
      </c>
      <c r="Y170" s="18" t="s">
        <v>78</v>
      </c>
      <c r="Z170" s="8">
        <v>4.5</v>
      </c>
      <c r="AA170" s="8">
        <v>88</v>
      </c>
      <c r="AB170" s="8">
        <v>2021.75</v>
      </c>
      <c r="AC170" s="8">
        <f>47.48*1000</f>
        <v>47480</v>
      </c>
      <c r="AD170" s="24" t="s">
        <v>78</v>
      </c>
      <c r="AE170" s="41" t="s">
        <v>78</v>
      </c>
      <c r="AF170" s="8">
        <v>12.3</v>
      </c>
      <c r="AG170" s="8"/>
      <c r="AH170" s="24" t="s">
        <v>78</v>
      </c>
      <c r="AI170" s="24" t="s">
        <v>78</v>
      </c>
      <c r="AJ170" s="8">
        <v>17</v>
      </c>
      <c r="AK170" s="8">
        <v>0</v>
      </c>
      <c r="AL170" s="8" t="s">
        <v>78</v>
      </c>
      <c r="AM170" s="24" t="s">
        <v>78</v>
      </c>
      <c r="AN170" s="17">
        <v>13.322000000000001</v>
      </c>
      <c r="AO170" s="8">
        <v>66.854839904579904</v>
      </c>
      <c r="AP170">
        <v>100</v>
      </c>
      <c r="AQ170" s="24" t="s">
        <v>78</v>
      </c>
      <c r="AR170" s="24" t="s">
        <v>78</v>
      </c>
      <c r="AS170" s="24" t="s">
        <v>78</v>
      </c>
      <c r="AT170" s="24" t="s">
        <v>78</v>
      </c>
    </row>
    <row r="171" spans="1:46">
      <c r="A171" s="4" t="s">
        <v>247</v>
      </c>
      <c r="B171">
        <v>8.9049999999999996E-5</v>
      </c>
      <c r="C171" s="8">
        <v>0</v>
      </c>
      <c r="D171" s="8">
        <v>0</v>
      </c>
      <c r="E171" s="8">
        <v>0</v>
      </c>
      <c r="F171" s="8">
        <v>0</v>
      </c>
      <c r="G171">
        <v>8.9049999999999996E-5</v>
      </c>
      <c r="H171" s="17">
        <v>60</v>
      </c>
      <c r="I171" s="8">
        <v>15.9</v>
      </c>
      <c r="J171" s="18" t="s">
        <v>78</v>
      </c>
      <c r="K171" s="24" t="s">
        <v>78</v>
      </c>
      <c r="L171" s="24" t="s">
        <v>78</v>
      </c>
      <c r="M171" s="24" t="s">
        <v>78</v>
      </c>
      <c r="N171" s="17">
        <v>78.225999999999999</v>
      </c>
      <c r="O171" s="23">
        <v>63.410000000000004</v>
      </c>
      <c r="P171" s="8">
        <v>2</v>
      </c>
      <c r="Q171" s="13">
        <v>223.11</v>
      </c>
      <c r="R171" s="8">
        <v>-125888.22</v>
      </c>
      <c r="S171" s="8">
        <v>6.2</v>
      </c>
      <c r="T171" s="8">
        <v>67.599999999999994</v>
      </c>
      <c r="U171" s="24" t="s">
        <v>78</v>
      </c>
      <c r="V171" s="18" t="s">
        <v>78</v>
      </c>
      <c r="W171" s="21">
        <v>71445</v>
      </c>
      <c r="X171" s="18" t="s">
        <v>78</v>
      </c>
      <c r="Y171" s="18" t="s">
        <v>78</v>
      </c>
      <c r="Z171" s="8">
        <v>11.2</v>
      </c>
      <c r="AA171" s="8">
        <v>63.1</v>
      </c>
      <c r="AB171" s="8">
        <v>993.19</v>
      </c>
      <c r="AC171" s="8">
        <f>2.3*1000</f>
        <v>2300</v>
      </c>
      <c r="AD171" s="8">
        <v>59</v>
      </c>
      <c r="AE171" s="41" t="s">
        <v>78</v>
      </c>
      <c r="AF171" s="8">
        <v>13.4</v>
      </c>
      <c r="AG171" s="8"/>
      <c r="AH171" s="24" t="s">
        <v>78</v>
      </c>
      <c r="AI171" s="8">
        <v>45</v>
      </c>
      <c r="AJ171" s="8">
        <v>25</v>
      </c>
      <c r="AK171" s="8">
        <v>0</v>
      </c>
      <c r="AL171" s="8" t="s">
        <v>78</v>
      </c>
      <c r="AM171" s="8">
        <v>26.8</v>
      </c>
      <c r="AN171" s="17">
        <v>29.028000000000002</v>
      </c>
      <c r="AO171" s="8">
        <v>56.202279170355098</v>
      </c>
      <c r="AP171">
        <v>76.559089660644503</v>
      </c>
      <c r="AQ171" s="8">
        <v>54.5</v>
      </c>
      <c r="AR171" s="8">
        <v>20.399999999999999</v>
      </c>
      <c r="AS171" s="8">
        <v>63.2</v>
      </c>
      <c r="AT171" s="24" t="s">
        <v>78</v>
      </c>
    </row>
    <row r="172" spans="1:46">
      <c r="A172" s="30" t="s">
        <v>248</v>
      </c>
      <c r="B172">
        <v>27.8601652910172</v>
      </c>
      <c r="C172" s="8">
        <v>0</v>
      </c>
      <c r="D172">
        <v>4.1693365203689998</v>
      </c>
      <c r="E172">
        <v>23.6879257406482</v>
      </c>
      <c r="F172" s="8">
        <v>0</v>
      </c>
      <c r="G172">
        <v>2.90303E-3</v>
      </c>
      <c r="H172" s="17">
        <v>73</v>
      </c>
      <c r="I172" s="8">
        <v>7.4</v>
      </c>
      <c r="J172" s="8">
        <v>62.7</v>
      </c>
      <c r="K172" s="8">
        <v>75</v>
      </c>
      <c r="L172" s="29">
        <v>51</v>
      </c>
      <c r="M172" s="8">
        <v>68</v>
      </c>
      <c r="N172" s="17">
        <v>100</v>
      </c>
      <c r="O172" s="18" t="s">
        <v>77</v>
      </c>
      <c r="P172" s="8">
        <v>-0.1</v>
      </c>
      <c r="Q172" s="13">
        <v>35960.400000000001</v>
      </c>
      <c r="R172" s="8">
        <v>73485768.180000007</v>
      </c>
      <c r="S172" s="8">
        <v>11.3</v>
      </c>
      <c r="T172" s="8">
        <v>76.900000000000006</v>
      </c>
      <c r="U172" s="24" t="s">
        <v>78</v>
      </c>
      <c r="V172" s="29">
        <v>4</v>
      </c>
      <c r="W172" s="21">
        <v>16059717</v>
      </c>
      <c r="X172" s="8">
        <v>51</v>
      </c>
      <c r="Y172" s="8">
        <v>78.099999999999994</v>
      </c>
      <c r="Z172" s="8">
        <v>2.2000000000000002</v>
      </c>
      <c r="AA172" s="8">
        <v>25.1</v>
      </c>
      <c r="AB172" s="8">
        <v>1751177.86</v>
      </c>
      <c r="AC172" s="8">
        <f>27.01*1000</f>
        <v>27010</v>
      </c>
      <c r="AD172" s="8">
        <v>19285.64</v>
      </c>
      <c r="AE172" s="8">
        <v>51.1</v>
      </c>
      <c r="AF172" s="8">
        <v>16.100000000000001</v>
      </c>
      <c r="AG172" s="8"/>
      <c r="AH172" s="8">
        <v>4.8000000000000001E-2</v>
      </c>
      <c r="AI172" s="8">
        <v>53</v>
      </c>
      <c r="AJ172" s="8">
        <v>20</v>
      </c>
      <c r="AK172" s="8">
        <v>3</v>
      </c>
      <c r="AL172" s="8" t="s">
        <v>78</v>
      </c>
      <c r="AM172" s="8">
        <v>32.799999999999997</v>
      </c>
      <c r="AN172" s="17">
        <v>88.34</v>
      </c>
      <c r="AO172" s="8">
        <v>71.219514522176596</v>
      </c>
      <c r="AP172" s="17">
        <v>100</v>
      </c>
      <c r="AQ172" s="8">
        <v>47.7</v>
      </c>
      <c r="AR172" s="8">
        <v>60.3</v>
      </c>
      <c r="AS172" s="8">
        <v>24.8</v>
      </c>
      <c r="AT172" s="8">
        <v>2.2879999999999998</v>
      </c>
    </row>
    <row r="173" spans="1:46">
      <c r="A173" s="22" t="s">
        <v>249</v>
      </c>
      <c r="B173">
        <v>8.5124016393999993E-3</v>
      </c>
      <c r="C173" s="8">
        <v>0</v>
      </c>
      <c r="D173">
        <v>1.9048916394000001E-3</v>
      </c>
      <c r="E173" s="8">
        <v>0</v>
      </c>
      <c r="F173" s="8">
        <v>0</v>
      </c>
      <c r="G173" s="38">
        <v>6.6075099999999996E-3</v>
      </c>
      <c r="H173" s="17">
        <v>49</v>
      </c>
      <c r="I173" s="8">
        <v>3.7</v>
      </c>
      <c r="J173" s="8">
        <v>52.6</v>
      </c>
      <c r="K173" s="8">
        <v>37</v>
      </c>
      <c r="L173" s="29">
        <v>60</v>
      </c>
      <c r="M173" s="8">
        <v>39</v>
      </c>
      <c r="N173" s="17">
        <v>84.905000000000001</v>
      </c>
      <c r="O173" s="23">
        <v>57.21</v>
      </c>
      <c r="P173" s="8">
        <v>2.6</v>
      </c>
      <c r="Q173" s="13">
        <v>16876.72</v>
      </c>
      <c r="R173" s="8">
        <v>-3673057.36</v>
      </c>
      <c r="S173" s="8">
        <v>2.9</v>
      </c>
      <c r="T173" s="8">
        <v>67.099999999999994</v>
      </c>
      <c r="U173" s="17">
        <v>0.65700000000000003</v>
      </c>
      <c r="V173" s="17">
        <v>4</v>
      </c>
      <c r="W173" s="21">
        <v>4377305</v>
      </c>
      <c r="X173" s="8">
        <v>32</v>
      </c>
      <c r="Y173" s="8">
        <v>51.3</v>
      </c>
      <c r="Z173" s="8">
        <v>3.1</v>
      </c>
      <c r="AA173" s="8">
        <v>74.3</v>
      </c>
      <c r="AB173" s="8">
        <v>64801.16</v>
      </c>
      <c r="AC173" s="8">
        <f>1.64*1000</f>
        <v>1640</v>
      </c>
      <c r="AD173" s="8">
        <v>2231.9</v>
      </c>
      <c r="AE173" s="8">
        <v>25.1</v>
      </c>
      <c r="AF173" s="8">
        <v>0</v>
      </c>
      <c r="AG173" s="8"/>
      <c r="AH173" s="8">
        <v>0.16800000000000001</v>
      </c>
      <c r="AI173" s="8">
        <v>43</v>
      </c>
      <c r="AJ173" s="8">
        <v>30</v>
      </c>
      <c r="AK173" s="8">
        <v>19</v>
      </c>
      <c r="AL173" s="8">
        <v>1272179</v>
      </c>
      <c r="AM173" s="8">
        <v>22.1</v>
      </c>
      <c r="AN173" s="17">
        <v>41.573999999999998</v>
      </c>
      <c r="AO173" s="8">
        <v>55.081950165671998</v>
      </c>
      <c r="AP173">
        <v>70.368942260742202</v>
      </c>
      <c r="AQ173" s="8">
        <v>40.200000000000003</v>
      </c>
      <c r="AR173" s="8">
        <v>11.2</v>
      </c>
      <c r="AS173" s="8">
        <v>33.6</v>
      </c>
      <c r="AT173" s="8">
        <v>1.9159999999999999</v>
      </c>
    </row>
    <row r="174" spans="1:46">
      <c r="A174" s="22" t="s">
        <v>250</v>
      </c>
      <c r="B174">
        <v>0.44998740733183401</v>
      </c>
      <c r="C174">
        <v>0.30423887629892898</v>
      </c>
      <c r="D174">
        <v>1.599945194134E-2</v>
      </c>
      <c r="E174">
        <v>3.6131409836065297E-2</v>
      </c>
      <c r="F174" s="8">
        <v>0</v>
      </c>
      <c r="G174" s="38">
        <v>9.361767E-2</v>
      </c>
      <c r="H174" s="17">
        <v>71</v>
      </c>
      <c r="I174" s="8">
        <v>11.8</v>
      </c>
      <c r="J174" s="8">
        <v>61.5</v>
      </c>
      <c r="K174" s="8">
        <v>48</v>
      </c>
      <c r="L174" s="29">
        <v>57</v>
      </c>
      <c r="M174" s="8">
        <v>55</v>
      </c>
      <c r="N174" s="17">
        <v>95.296000000000006</v>
      </c>
      <c r="O174" s="23">
        <v>0.19</v>
      </c>
      <c r="P174" s="8">
        <v>-0.9</v>
      </c>
      <c r="Q174" s="13">
        <v>6834.33</v>
      </c>
      <c r="R174" s="8">
        <v>-5312331.7699999996</v>
      </c>
      <c r="S174" s="8">
        <v>11.4</v>
      </c>
      <c r="T174" s="8">
        <v>74.2</v>
      </c>
      <c r="U174" s="17">
        <v>0.63900000000000001</v>
      </c>
      <c r="V174" s="17">
        <v>4</v>
      </c>
      <c r="W174" s="21">
        <v>3176077</v>
      </c>
      <c r="X174" s="8">
        <v>40</v>
      </c>
      <c r="Y174" s="8">
        <v>73.8</v>
      </c>
      <c r="Z174" s="8">
        <v>8.3000000000000007</v>
      </c>
      <c r="AA174" s="8">
        <v>50.3</v>
      </c>
      <c r="AB174" s="8">
        <v>146960.95999999999</v>
      </c>
      <c r="AC174" s="8">
        <f>10.08*1000</f>
        <v>10080</v>
      </c>
      <c r="AD174" s="8">
        <v>4567.7</v>
      </c>
      <c r="AE174" s="8">
        <v>34.700000000000003</v>
      </c>
      <c r="AF174" s="8">
        <v>14.4</v>
      </c>
      <c r="AG174" s="8"/>
      <c r="AH174" s="8">
        <v>9.2999999999999999E-2</v>
      </c>
      <c r="AI174" s="8">
        <v>38</v>
      </c>
      <c r="AJ174" s="8">
        <v>15</v>
      </c>
      <c r="AK174" s="8">
        <v>1</v>
      </c>
      <c r="AL174" s="8" t="s">
        <v>78</v>
      </c>
      <c r="AM174" s="8">
        <v>29.4</v>
      </c>
      <c r="AN174" s="17">
        <v>23.844000000000001</v>
      </c>
      <c r="AO174" s="8">
        <v>65.011278622858896</v>
      </c>
      <c r="AP174" s="17">
        <v>100</v>
      </c>
      <c r="AQ174" s="8">
        <v>47</v>
      </c>
      <c r="AR174" s="8">
        <v>40.299999999999997</v>
      </c>
      <c r="AS174" s="8">
        <v>41.7</v>
      </c>
      <c r="AT174" s="8">
        <v>1.8320000000000001</v>
      </c>
    </row>
    <row r="175" spans="1:46">
      <c r="A175" s="4" t="s">
        <v>251</v>
      </c>
      <c r="B175">
        <v>4.1853499999999999E-4</v>
      </c>
      <c r="C175" s="8">
        <v>0</v>
      </c>
      <c r="D175" s="8">
        <v>0</v>
      </c>
      <c r="E175" s="8">
        <v>0</v>
      </c>
      <c r="F175" s="8">
        <v>0</v>
      </c>
      <c r="G175">
        <v>4.1853499999999999E-4</v>
      </c>
      <c r="H175" s="17">
        <v>70</v>
      </c>
      <c r="I175" s="18" t="s">
        <v>78</v>
      </c>
      <c r="J175" s="8">
        <v>65</v>
      </c>
      <c r="K175" s="8">
        <v>35</v>
      </c>
      <c r="L175" s="24" t="s">
        <v>78</v>
      </c>
      <c r="M175" s="24" t="s">
        <v>78</v>
      </c>
      <c r="N175" s="17">
        <v>96.852000000000004</v>
      </c>
      <c r="O175" s="24" t="s">
        <v>78</v>
      </c>
      <c r="P175" s="8">
        <v>0.8</v>
      </c>
      <c r="Q175" s="13">
        <v>99.26</v>
      </c>
      <c r="R175" s="8">
        <v>-69833.66</v>
      </c>
      <c r="S175" s="8">
        <v>10.3</v>
      </c>
      <c r="T175" s="8">
        <v>71.3</v>
      </c>
      <c r="U175" s="24" t="s">
        <v>78</v>
      </c>
      <c r="V175" s="18" t="s">
        <v>78</v>
      </c>
      <c r="W175" s="18" t="s">
        <v>78</v>
      </c>
      <c r="X175" s="8">
        <v>46</v>
      </c>
      <c r="Y175" s="8">
        <v>62.3</v>
      </c>
      <c r="Z175" s="8">
        <v>3.3</v>
      </c>
      <c r="AA175" s="8">
        <v>61.7</v>
      </c>
      <c r="AB175" s="8">
        <v>3136.17</v>
      </c>
      <c r="AC175" s="8">
        <f>21.32*1000</f>
        <v>21320</v>
      </c>
      <c r="AD175" s="8">
        <v>156.9</v>
      </c>
      <c r="AE175" s="8">
        <v>34.6</v>
      </c>
      <c r="AF175" s="8">
        <v>13.9</v>
      </c>
      <c r="AG175" s="8"/>
      <c r="AH175" s="24" t="s">
        <v>78</v>
      </c>
      <c r="AI175" s="8">
        <v>70</v>
      </c>
      <c r="AJ175" s="8">
        <v>25</v>
      </c>
      <c r="AK175" s="8">
        <v>0</v>
      </c>
      <c r="AL175" s="8" t="s">
        <v>78</v>
      </c>
      <c r="AM175" s="8">
        <v>54.8</v>
      </c>
      <c r="AN175" s="17">
        <v>19.818000000000001</v>
      </c>
      <c r="AO175" s="8">
        <v>68.955720129049794</v>
      </c>
      <c r="AP175" s="17">
        <v>100</v>
      </c>
      <c r="AQ175" s="8">
        <v>57.8</v>
      </c>
      <c r="AR175" s="8">
        <v>44.4</v>
      </c>
      <c r="AS175" s="8">
        <v>53.9</v>
      </c>
      <c r="AT175" s="24" t="s">
        <v>78</v>
      </c>
    </row>
    <row r="176" spans="1:46">
      <c r="A176" s="4" t="s">
        <v>252</v>
      </c>
      <c r="B176">
        <v>1.6914335099999999E-3</v>
      </c>
      <c r="C176" s="8">
        <v>0</v>
      </c>
      <c r="D176" s="8">
        <v>0</v>
      </c>
      <c r="E176" s="8">
        <v>0</v>
      </c>
      <c r="F176" s="8">
        <v>0</v>
      </c>
      <c r="G176">
        <v>1.6914335099999999E-3</v>
      </c>
      <c r="H176" s="17">
        <v>39</v>
      </c>
      <c r="I176" s="8">
        <v>5.3</v>
      </c>
      <c r="J176" s="18" t="s">
        <v>78</v>
      </c>
      <c r="K176" s="24" t="s">
        <v>78</v>
      </c>
      <c r="L176" s="29">
        <v>37</v>
      </c>
      <c r="M176" s="8">
        <v>20</v>
      </c>
      <c r="N176" s="17">
        <v>63.765999999999998</v>
      </c>
      <c r="O176" s="23">
        <v>70.02</v>
      </c>
      <c r="P176" s="8">
        <v>2.2000000000000002</v>
      </c>
      <c r="Q176" s="13">
        <v>8420.64</v>
      </c>
      <c r="R176" s="8">
        <v>-716822.45</v>
      </c>
      <c r="S176" s="8">
        <v>4.5999999999999996</v>
      </c>
      <c r="T176" s="8">
        <v>60.1</v>
      </c>
      <c r="U176" s="17">
        <v>0.502</v>
      </c>
      <c r="V176" s="17">
        <v>4</v>
      </c>
      <c r="W176" s="21">
        <v>2858414</v>
      </c>
      <c r="X176" s="18" t="s">
        <v>78</v>
      </c>
      <c r="Y176" s="18" t="s">
        <v>78</v>
      </c>
      <c r="Z176" s="8">
        <v>26.8</v>
      </c>
      <c r="AA176" s="8">
        <v>78.099999999999994</v>
      </c>
      <c r="AB176" s="8">
        <v>14937.37</v>
      </c>
      <c r="AC176" s="8">
        <v>471.61</v>
      </c>
      <c r="AD176" s="8">
        <v>218.3</v>
      </c>
      <c r="AE176" s="41" t="s">
        <v>78</v>
      </c>
      <c r="AF176" s="8">
        <v>9.6</v>
      </c>
      <c r="AG176" s="8"/>
      <c r="AH176" s="8">
        <v>8.5000000000000006E-2</v>
      </c>
      <c r="AI176" s="8">
        <v>34</v>
      </c>
      <c r="AJ176" s="8">
        <v>25</v>
      </c>
      <c r="AK176" s="8">
        <v>23</v>
      </c>
      <c r="AL176" s="8">
        <v>1191496</v>
      </c>
      <c r="AM176" s="8">
        <v>21.6</v>
      </c>
      <c r="AN176" s="17">
        <v>22.875</v>
      </c>
      <c r="AO176" s="8">
        <v>57.4697995081372</v>
      </c>
      <c r="AP176">
        <v>26.200885772705099</v>
      </c>
      <c r="AQ176" s="8">
        <v>36.4</v>
      </c>
      <c r="AR176" s="8">
        <v>12.1</v>
      </c>
      <c r="AS176" s="8">
        <v>35.5</v>
      </c>
      <c r="AT176" s="8">
        <v>1.8029999999999999</v>
      </c>
    </row>
    <row r="177" spans="1:46">
      <c r="A177" s="22" t="s">
        <v>253</v>
      </c>
      <c r="B177">
        <v>5.72775352E-2</v>
      </c>
      <c r="C177" s="31">
        <v>0</v>
      </c>
      <c r="D177" s="31">
        <v>0</v>
      </c>
      <c r="E177" s="31">
        <v>0</v>
      </c>
      <c r="F177" s="31" t="s">
        <v>254</v>
      </c>
      <c r="G177">
        <v>5.72775352E-2</v>
      </c>
      <c r="H177" s="17">
        <v>86</v>
      </c>
      <c r="I177" s="8">
        <v>3.6</v>
      </c>
      <c r="J177" s="8">
        <v>88.7</v>
      </c>
      <c r="K177" s="8">
        <v>98</v>
      </c>
      <c r="L177" s="8">
        <v>65</v>
      </c>
      <c r="M177" s="8">
        <v>78</v>
      </c>
      <c r="N177" s="17">
        <v>100</v>
      </c>
      <c r="O177" s="23">
        <v>0.99</v>
      </c>
      <c r="P177" s="8">
        <v>-4.2</v>
      </c>
      <c r="Q177" s="35">
        <v>5453.57</v>
      </c>
      <c r="R177" s="8">
        <v>124501507.28</v>
      </c>
      <c r="S177" s="8">
        <v>11.9</v>
      </c>
      <c r="T177" s="8">
        <v>82.8</v>
      </c>
      <c r="U177" s="17">
        <v>0.72599999999999998</v>
      </c>
      <c r="V177" s="17">
        <v>2</v>
      </c>
      <c r="W177" s="21">
        <v>3289682</v>
      </c>
      <c r="X177" s="8">
        <v>75</v>
      </c>
      <c r="Y177" s="8">
        <v>95</v>
      </c>
      <c r="Z177" s="8">
        <v>3</v>
      </c>
      <c r="AA177" s="8">
        <v>140</v>
      </c>
      <c r="AB177" s="34">
        <v>635266.67000000004</v>
      </c>
      <c r="AC177" s="34">
        <f>84.5*1000</f>
        <v>84500</v>
      </c>
      <c r="AD177" s="34">
        <v>105490.7</v>
      </c>
      <c r="AE177" s="8">
        <v>86.7</v>
      </c>
      <c r="AF177" s="8">
        <v>16.5</v>
      </c>
      <c r="AG177" s="8">
        <v>98</v>
      </c>
      <c r="AH177" s="8">
        <v>0.20200000000000001</v>
      </c>
      <c r="AI177" s="8">
        <v>85</v>
      </c>
      <c r="AJ177" s="8">
        <v>21</v>
      </c>
      <c r="AK177" s="8">
        <v>5</v>
      </c>
      <c r="AL177" s="8">
        <v>1285477</v>
      </c>
      <c r="AM177" s="8">
        <v>69.2</v>
      </c>
      <c r="AN177" s="17">
        <v>19.042000000000002</v>
      </c>
      <c r="AO177" s="8">
        <v>73.880883724378805</v>
      </c>
      <c r="AP177" s="17">
        <v>100</v>
      </c>
      <c r="AQ177" s="8">
        <v>42.5</v>
      </c>
      <c r="AR177" s="8">
        <v>71.7</v>
      </c>
      <c r="AS177" s="8">
        <v>46.5</v>
      </c>
      <c r="AT177" s="8">
        <v>1.3260000000000001</v>
      </c>
    </row>
    <row r="178" spans="1:46">
      <c r="A178" s="4" t="s">
        <v>255</v>
      </c>
      <c r="B178" s="18" t="s">
        <v>78</v>
      </c>
      <c r="C178" s="18" t="s">
        <v>78</v>
      </c>
      <c r="D178" s="18" t="s">
        <v>78</v>
      </c>
      <c r="E178" s="18" t="s">
        <v>78</v>
      </c>
      <c r="F178" s="18" t="s">
        <v>78</v>
      </c>
      <c r="G178" s="18" t="s">
        <v>78</v>
      </c>
      <c r="H178" s="18" t="s">
        <v>78</v>
      </c>
      <c r="I178" s="18" t="s">
        <v>78</v>
      </c>
      <c r="J178" s="18" t="s">
        <v>78</v>
      </c>
      <c r="K178" s="24" t="s">
        <v>78</v>
      </c>
      <c r="L178" s="24" t="s">
        <v>78</v>
      </c>
      <c r="M178" s="24" t="s">
        <v>78</v>
      </c>
      <c r="N178" s="18" t="s">
        <v>77</v>
      </c>
      <c r="O178" s="24" t="s">
        <v>78</v>
      </c>
      <c r="P178" s="8">
        <v>1.3</v>
      </c>
      <c r="Q178" s="35">
        <v>42.85</v>
      </c>
      <c r="R178" s="8">
        <v>-204735.55</v>
      </c>
      <c r="S178" s="24" t="s">
        <v>78</v>
      </c>
      <c r="T178" s="24" t="s">
        <v>78</v>
      </c>
      <c r="U178" s="24" t="s">
        <v>78</v>
      </c>
      <c r="V178" s="18" t="s">
        <v>78</v>
      </c>
      <c r="W178" s="18" t="s">
        <v>78</v>
      </c>
      <c r="X178" s="18" t="s">
        <v>78</v>
      </c>
      <c r="Y178" s="18" t="s">
        <v>78</v>
      </c>
      <c r="Z178" s="24" t="s">
        <v>78</v>
      </c>
      <c r="AA178" s="24" t="s">
        <v>78</v>
      </c>
      <c r="AB178" s="34">
        <v>1471.12</v>
      </c>
      <c r="AC178" s="24" t="s">
        <v>78</v>
      </c>
      <c r="AD178" s="34">
        <v>31.49</v>
      </c>
      <c r="AE178" s="41" t="s">
        <v>78</v>
      </c>
      <c r="AF178" s="24" t="s">
        <v>78</v>
      </c>
      <c r="AG178" s="8"/>
      <c r="AH178" s="24" t="s">
        <v>78</v>
      </c>
      <c r="AI178" s="24" t="s">
        <v>78</v>
      </c>
      <c r="AJ178" s="8">
        <v>34.5</v>
      </c>
      <c r="AK178" s="8">
        <v>0</v>
      </c>
      <c r="AL178" s="8" t="s">
        <v>78</v>
      </c>
      <c r="AM178" s="24" t="s">
        <v>78</v>
      </c>
      <c r="AN178" s="24" t="s">
        <v>78</v>
      </c>
      <c r="AO178" s="8">
        <v>78.632895872122106</v>
      </c>
      <c r="AP178" s="17">
        <v>100</v>
      </c>
      <c r="AQ178" s="24" t="s">
        <v>78</v>
      </c>
      <c r="AR178" s="24" t="s">
        <v>78</v>
      </c>
      <c r="AS178" s="24" t="s">
        <v>78</v>
      </c>
      <c r="AT178" s="24" t="s">
        <v>78</v>
      </c>
    </row>
    <row r="179" spans="1:46">
      <c r="A179" s="22" t="s">
        <v>256</v>
      </c>
      <c r="B179">
        <v>0.246111020034224</v>
      </c>
      <c r="C179">
        <v>1.4967112046383201E-2</v>
      </c>
      <c r="D179">
        <v>2.55572882252588E-3</v>
      </c>
      <c r="E179">
        <v>4.7213282331511899E-4</v>
      </c>
      <c r="F179">
        <v>0.16943361019200001</v>
      </c>
      <c r="G179">
        <v>5.8682436150000003E-2</v>
      </c>
      <c r="H179" s="17">
        <v>77</v>
      </c>
      <c r="I179" s="8">
        <v>6.7</v>
      </c>
      <c r="J179" s="8">
        <v>57.5</v>
      </c>
      <c r="K179" s="8">
        <v>76</v>
      </c>
      <c r="L179" s="8">
        <v>82</v>
      </c>
      <c r="M179" s="8">
        <v>81</v>
      </c>
      <c r="N179" s="17">
        <v>99.787999999999997</v>
      </c>
      <c r="O179" s="23">
        <v>0.75</v>
      </c>
      <c r="P179" s="8">
        <v>-0.2</v>
      </c>
      <c r="Q179" s="13">
        <v>5447.25</v>
      </c>
      <c r="R179" s="8">
        <v>71827.83</v>
      </c>
      <c r="S179" s="8">
        <v>12.9</v>
      </c>
      <c r="T179" s="8">
        <v>74.900000000000006</v>
      </c>
      <c r="U179" s="17">
        <v>0.73199999999999998</v>
      </c>
      <c r="V179" s="17">
        <v>2</v>
      </c>
      <c r="W179" s="21">
        <v>2766437</v>
      </c>
      <c r="X179" s="8">
        <v>46</v>
      </c>
      <c r="Y179" s="8">
        <v>78.599999999999994</v>
      </c>
      <c r="Z179" s="8">
        <v>10.1</v>
      </c>
      <c r="AA179" s="8">
        <v>57.4</v>
      </c>
      <c r="AB179" s="8">
        <v>179815.21</v>
      </c>
      <c r="AC179" s="8">
        <f>22.3*1000</f>
        <v>22300</v>
      </c>
      <c r="AD179" s="8">
        <v>970.9</v>
      </c>
      <c r="AE179" s="8">
        <v>40.6</v>
      </c>
      <c r="AF179" s="8">
        <v>14.5</v>
      </c>
      <c r="AG179" s="8"/>
      <c r="AH179" s="8">
        <v>0.2</v>
      </c>
      <c r="AI179" s="8">
        <v>52</v>
      </c>
      <c r="AJ179" s="8">
        <v>21</v>
      </c>
      <c r="AK179" s="8">
        <v>0</v>
      </c>
      <c r="AL179" s="8" t="s">
        <v>78</v>
      </c>
      <c r="AM179" s="8">
        <v>50.9</v>
      </c>
      <c r="AN179" s="17">
        <v>16.865000000000002</v>
      </c>
      <c r="AO179" s="8">
        <v>66.890489097811894</v>
      </c>
      <c r="AP179" s="17">
        <v>100</v>
      </c>
      <c r="AQ179" s="8">
        <v>66.3</v>
      </c>
      <c r="AR179" s="8">
        <v>62.2</v>
      </c>
      <c r="AS179" s="8">
        <v>53.5</v>
      </c>
      <c r="AT179" s="8">
        <v>1.4990000000000001</v>
      </c>
    </row>
    <row r="180" spans="1:46">
      <c r="A180" s="4" t="s">
        <v>257</v>
      </c>
      <c r="B180">
        <v>0.13733209115766601</v>
      </c>
      <c r="C180">
        <v>3.6921522907027E-2</v>
      </c>
      <c r="D180">
        <v>3.8142553263972601E-4</v>
      </c>
      <c r="E180" s="8">
        <v>0</v>
      </c>
      <c r="F180">
        <v>5.5523468349000002E-2</v>
      </c>
      <c r="G180">
        <v>4.4505674368999999E-2</v>
      </c>
      <c r="H180" s="17">
        <v>80</v>
      </c>
      <c r="I180" s="8">
        <v>4.4000000000000004</v>
      </c>
      <c r="J180" s="8">
        <v>63.1</v>
      </c>
      <c r="K180" s="8">
        <v>75</v>
      </c>
      <c r="L180" s="24" t="s">
        <v>78</v>
      </c>
      <c r="M180" s="24" t="s">
        <v>78</v>
      </c>
      <c r="N180" s="17">
        <v>99.5</v>
      </c>
      <c r="O180" s="23">
        <v>0.09</v>
      </c>
      <c r="P180" s="8">
        <v>0.3</v>
      </c>
      <c r="Q180" s="13">
        <v>2108.08</v>
      </c>
      <c r="R180" s="8">
        <v>3968686.0800000001</v>
      </c>
      <c r="S180" s="8">
        <v>12.8</v>
      </c>
      <c r="T180" s="8">
        <v>80.7</v>
      </c>
      <c r="U180" s="17">
        <v>0.753</v>
      </c>
      <c r="V180" s="18" t="s">
        <v>78</v>
      </c>
      <c r="W180" s="21">
        <v>1035817</v>
      </c>
      <c r="X180" s="8">
        <v>58</v>
      </c>
      <c r="Y180" s="8">
        <v>78.099999999999994</v>
      </c>
      <c r="Z180" s="8">
        <v>5.0999999999999996</v>
      </c>
      <c r="AA180" s="8">
        <v>66.7</v>
      </c>
      <c r="AB180" s="8">
        <v>91917.49</v>
      </c>
      <c r="AC180" s="8">
        <f>30.84*1000</f>
        <v>30840</v>
      </c>
      <c r="AD180" s="8">
        <v>2148.39</v>
      </c>
      <c r="AE180" s="8">
        <v>43</v>
      </c>
      <c r="AF180" s="8">
        <v>17.7</v>
      </c>
      <c r="AG180" s="8"/>
      <c r="AH180" s="8">
        <v>0.2</v>
      </c>
      <c r="AI180" s="8">
        <v>57</v>
      </c>
      <c r="AJ180" s="8">
        <v>19</v>
      </c>
      <c r="AK180" s="8">
        <v>0</v>
      </c>
      <c r="AL180" s="8" t="s">
        <v>78</v>
      </c>
      <c r="AM180" s="8">
        <v>55.1</v>
      </c>
      <c r="AN180" s="17">
        <v>15.372</v>
      </c>
      <c r="AO180" s="8">
        <v>64.310625200085198</v>
      </c>
      <c r="AP180" s="17">
        <v>100</v>
      </c>
      <c r="AQ180" s="8">
        <v>72.7</v>
      </c>
      <c r="AR180" s="8">
        <v>66.7</v>
      </c>
      <c r="AS180" s="8">
        <v>62.9</v>
      </c>
      <c r="AT180" s="8">
        <v>1.3160000000000001</v>
      </c>
    </row>
    <row r="181" spans="1:46">
      <c r="A181" s="4" t="s">
        <v>258</v>
      </c>
      <c r="B181">
        <v>6.1399975000000007E-5</v>
      </c>
      <c r="C181" s="8">
        <v>0</v>
      </c>
      <c r="D181" s="8">
        <v>0</v>
      </c>
      <c r="E181" s="8">
        <v>0</v>
      </c>
      <c r="F181" s="8">
        <v>0</v>
      </c>
      <c r="G181">
        <v>6.1399975000000007E-5</v>
      </c>
      <c r="H181" s="17">
        <v>50</v>
      </c>
      <c r="I181" s="8">
        <v>1</v>
      </c>
      <c r="J181" s="18" t="s">
        <v>78</v>
      </c>
      <c r="K181" s="8">
        <v>25</v>
      </c>
      <c r="L181" s="29">
        <v>26</v>
      </c>
      <c r="M181" s="8">
        <v>21</v>
      </c>
      <c r="N181" s="17">
        <v>67.301000000000002</v>
      </c>
      <c r="O181" s="23">
        <v>55.59</v>
      </c>
      <c r="P181" s="8">
        <v>2.4</v>
      </c>
      <c r="Q181" s="13">
        <v>707.85</v>
      </c>
      <c r="R181" s="8">
        <v>-205803.24</v>
      </c>
      <c r="S181" s="8">
        <v>5.7</v>
      </c>
      <c r="T181" s="8">
        <v>70.3</v>
      </c>
      <c r="U181" s="24" t="s">
        <v>78</v>
      </c>
      <c r="V181" s="18" t="s">
        <v>78</v>
      </c>
      <c r="W181" s="21">
        <v>366039</v>
      </c>
      <c r="X181" s="18" t="s">
        <v>78</v>
      </c>
      <c r="Y181" s="18" t="s">
        <v>78</v>
      </c>
      <c r="Z181" s="8">
        <v>3.6</v>
      </c>
      <c r="AA181" s="8">
        <v>21.7</v>
      </c>
      <c r="AB181" s="8">
        <v>1874.91</v>
      </c>
      <c r="AC181" s="8">
        <f>2.33*1000</f>
        <v>2330</v>
      </c>
      <c r="AD181" s="8">
        <v>27.92</v>
      </c>
      <c r="AE181" s="41" t="s">
        <v>78</v>
      </c>
      <c r="AF181" s="8">
        <v>10.3</v>
      </c>
      <c r="AG181" s="8"/>
      <c r="AH181" s="24" t="s">
        <v>78</v>
      </c>
      <c r="AI181" s="8">
        <v>43</v>
      </c>
      <c r="AJ181" s="8">
        <v>30</v>
      </c>
      <c r="AK181" s="8">
        <v>0</v>
      </c>
      <c r="AL181" s="8" t="s">
        <v>78</v>
      </c>
      <c r="AM181" s="8">
        <v>28.6</v>
      </c>
      <c r="AN181" s="17">
        <v>11.157999999999999</v>
      </c>
      <c r="AO181" s="8">
        <v>57.205329935254703</v>
      </c>
      <c r="AP181">
        <v>73.346481323242202</v>
      </c>
      <c r="AQ181" s="8">
        <v>14.6</v>
      </c>
      <c r="AR181" s="8">
        <v>11.1</v>
      </c>
      <c r="AS181" s="8">
        <v>63.9</v>
      </c>
      <c r="AT181" s="24" t="s">
        <v>78</v>
      </c>
    </row>
    <row r="182" spans="1:46">
      <c r="A182" s="4" t="s">
        <v>259</v>
      </c>
      <c r="B182">
        <v>1.5316599999999999E-4</v>
      </c>
      <c r="C182" s="8">
        <v>0</v>
      </c>
      <c r="D182" s="8">
        <v>0</v>
      </c>
      <c r="E182" s="8">
        <v>0</v>
      </c>
      <c r="F182" s="8">
        <v>0</v>
      </c>
      <c r="G182">
        <v>1.5316599999999999E-4</v>
      </c>
      <c r="H182" s="17">
        <v>27</v>
      </c>
      <c r="I182" s="8">
        <v>19.899999999999999</v>
      </c>
      <c r="J182" s="18" t="s">
        <v>78</v>
      </c>
      <c r="K182" s="24" t="s">
        <v>78</v>
      </c>
      <c r="L182" s="29">
        <v>23</v>
      </c>
      <c r="M182" s="29">
        <v>7</v>
      </c>
      <c r="N182" s="17">
        <v>56.477000000000004</v>
      </c>
      <c r="O182" s="23">
        <v>82.29</v>
      </c>
      <c r="P182" s="8">
        <v>3.1</v>
      </c>
      <c r="Q182" s="13">
        <v>17065.580000000002</v>
      </c>
      <c r="R182" s="24" t="s">
        <v>78</v>
      </c>
      <c r="S182" s="24" t="s">
        <v>78</v>
      </c>
      <c r="T182" s="29">
        <v>55.3</v>
      </c>
      <c r="U182" s="24" t="s">
        <v>78</v>
      </c>
      <c r="V182" s="29">
        <v>6</v>
      </c>
      <c r="W182" s="21">
        <v>3042038</v>
      </c>
      <c r="X182" s="18" t="s">
        <v>78</v>
      </c>
      <c r="Y182" s="18" t="s">
        <v>78</v>
      </c>
      <c r="Z182" s="8">
        <v>3.9</v>
      </c>
      <c r="AA182" s="24" t="s">
        <v>78</v>
      </c>
      <c r="AB182" s="8">
        <v>21311.71</v>
      </c>
      <c r="AC182" s="8">
        <f>2.33*1000</f>
        <v>2330</v>
      </c>
      <c r="AD182" s="8">
        <v>455.5</v>
      </c>
      <c r="AE182" s="41" t="s">
        <v>78</v>
      </c>
      <c r="AF182" s="24" t="s">
        <v>78</v>
      </c>
      <c r="AG182" s="8"/>
      <c r="AH182" s="24" t="s">
        <v>78</v>
      </c>
      <c r="AI182" s="8">
        <v>13</v>
      </c>
      <c r="AJ182" s="8"/>
      <c r="AK182" s="8">
        <v>1</v>
      </c>
      <c r="AL182" s="8">
        <v>1062310</v>
      </c>
      <c r="AM182" s="24" t="s">
        <v>78</v>
      </c>
      <c r="AN182" s="17">
        <v>32.872999999999998</v>
      </c>
      <c r="AO182" s="8">
        <v>50.151163912907499</v>
      </c>
      <c r="AP182">
        <v>49.730869293212898</v>
      </c>
      <c r="AQ182" s="24" t="s">
        <v>78</v>
      </c>
      <c r="AR182" s="24" t="s">
        <v>78</v>
      </c>
      <c r="AS182" s="24" t="s">
        <v>78</v>
      </c>
      <c r="AT182" s="8">
        <v>3.125</v>
      </c>
    </row>
    <row r="183" spans="1:46">
      <c r="A183" s="22" t="s">
        <v>260</v>
      </c>
      <c r="B183">
        <v>5.9235683923049196</v>
      </c>
      <c r="C183">
        <v>5.6235443198555997</v>
      </c>
      <c r="D183">
        <v>4.5461724766320002E-2</v>
      </c>
      <c r="E183">
        <v>6.2854476829999999E-3</v>
      </c>
      <c r="F183">
        <v>0.13650610499999999</v>
      </c>
      <c r="G183">
        <v>0.11177079500000001</v>
      </c>
      <c r="H183" s="17">
        <v>67</v>
      </c>
      <c r="I183" s="8">
        <v>33.6</v>
      </c>
      <c r="J183" s="8">
        <v>56.5</v>
      </c>
      <c r="K183" s="8">
        <v>41</v>
      </c>
      <c r="L183" s="29">
        <v>85</v>
      </c>
      <c r="M183" s="29">
        <v>74</v>
      </c>
      <c r="N183" s="17">
        <v>93.885000000000005</v>
      </c>
      <c r="O183" s="23">
        <v>37.119999999999997</v>
      </c>
      <c r="P183" s="8">
        <v>1</v>
      </c>
      <c r="Q183" s="13">
        <v>59392.25</v>
      </c>
      <c r="R183" s="8">
        <v>26078868.890000001</v>
      </c>
      <c r="S183" s="8">
        <v>11.4</v>
      </c>
      <c r="T183" s="8">
        <v>62.3</v>
      </c>
      <c r="U183" s="17">
        <v>0.67400000000000004</v>
      </c>
      <c r="V183" s="17">
        <v>3</v>
      </c>
      <c r="W183" s="21">
        <v>22397601</v>
      </c>
      <c r="X183" s="8">
        <v>45</v>
      </c>
      <c r="Y183" s="8">
        <v>68.099999999999994</v>
      </c>
      <c r="Z183" s="8">
        <v>5.0999999999999996</v>
      </c>
      <c r="AA183" s="8">
        <v>70.7</v>
      </c>
      <c r="AB183" s="8">
        <v>868557</v>
      </c>
      <c r="AC183" s="8">
        <f>6.81*1000</f>
        <v>6810</v>
      </c>
      <c r="AD183" s="8">
        <v>41296.14</v>
      </c>
      <c r="AE183" s="8">
        <v>75.599999999999994</v>
      </c>
      <c r="AF183" s="8">
        <v>13.6</v>
      </c>
      <c r="AG183" s="8"/>
      <c r="AH183" s="8">
        <v>0.14799999999999999</v>
      </c>
      <c r="AI183" s="8">
        <v>44</v>
      </c>
      <c r="AJ183" s="8">
        <v>28</v>
      </c>
      <c r="AK183" s="8">
        <v>72</v>
      </c>
      <c r="AL183" s="8">
        <v>7089096</v>
      </c>
      <c r="AM183" s="8">
        <v>22.2</v>
      </c>
      <c r="AN183" s="17">
        <v>24.312999999999999</v>
      </c>
      <c r="AO183" s="8">
        <v>65.354906965563103</v>
      </c>
      <c r="AP183">
        <v>84.385536193847699</v>
      </c>
      <c r="AQ183" s="8">
        <v>44.2</v>
      </c>
      <c r="AR183" s="8">
        <v>39.200000000000003</v>
      </c>
      <c r="AS183" s="8">
        <v>34.1</v>
      </c>
      <c r="AT183" s="8">
        <v>2.2829999999999999</v>
      </c>
    </row>
    <row r="184" spans="1:46">
      <c r="A184" s="22" t="s">
        <v>261</v>
      </c>
      <c r="B184">
        <v>1.6326379149280701</v>
      </c>
      <c r="C184">
        <v>2.8929539095700198E-2</v>
      </c>
      <c r="D184">
        <v>9.49026675217895E-3</v>
      </c>
      <c r="E184" s="8">
        <v>0</v>
      </c>
      <c r="F184">
        <v>1.3429694095992</v>
      </c>
      <c r="G184">
        <v>0.25124869948099998</v>
      </c>
      <c r="H184" s="17">
        <v>87</v>
      </c>
      <c r="I184" s="8">
        <v>3.5</v>
      </c>
      <c r="J184" s="8">
        <v>58.6</v>
      </c>
      <c r="K184" s="8">
        <v>86</v>
      </c>
      <c r="L184" s="8">
        <v>87</v>
      </c>
      <c r="M184" s="8">
        <v>87</v>
      </c>
      <c r="N184" s="17">
        <v>99.930999999999997</v>
      </c>
      <c r="O184" s="13">
        <v>0.46</v>
      </c>
      <c r="P184" s="8">
        <v>-0.2</v>
      </c>
      <c r="Q184" s="13">
        <v>51744.88</v>
      </c>
      <c r="R184" s="8">
        <v>73098900</v>
      </c>
      <c r="S184" s="8">
        <v>12.5</v>
      </c>
      <c r="T184" s="8">
        <v>83.7</v>
      </c>
      <c r="U184" s="8">
        <v>0.624</v>
      </c>
      <c r="V184" s="8">
        <v>5</v>
      </c>
      <c r="W184" s="17">
        <v>28673.67</v>
      </c>
      <c r="X184" s="8">
        <v>79</v>
      </c>
      <c r="Y184" s="8">
        <v>92.1</v>
      </c>
      <c r="Z184" s="8">
        <v>3.8</v>
      </c>
      <c r="AA184" s="8">
        <v>54.4</v>
      </c>
      <c r="AB184" s="8">
        <v>2444558.71</v>
      </c>
      <c r="AC184" s="8">
        <f>34.77*1000</f>
        <v>34770</v>
      </c>
      <c r="AD184" s="8">
        <v>16819.7</v>
      </c>
      <c r="AE184" s="8">
        <v>78.599999999999994</v>
      </c>
      <c r="AF184" s="8">
        <v>16.5</v>
      </c>
      <c r="AG184" s="8"/>
      <c r="AH184" s="8">
        <v>8.7999999999999995E-2</v>
      </c>
      <c r="AI184" s="8">
        <v>62</v>
      </c>
      <c r="AJ184" s="8">
        <v>27.5</v>
      </c>
      <c r="AK184" s="8">
        <v>12</v>
      </c>
      <c r="AL184" s="8">
        <v>17196455</v>
      </c>
      <c r="AM184" s="8">
        <v>62.9</v>
      </c>
      <c r="AN184" s="17">
        <v>23.808</v>
      </c>
      <c r="AO184">
        <v>71.456879558050204</v>
      </c>
      <c r="AP184" s="17">
        <v>100</v>
      </c>
      <c r="AQ184" s="8">
        <v>48.8</v>
      </c>
      <c r="AR184" s="8">
        <v>72</v>
      </c>
      <c r="AS184" s="8">
        <v>30.9</v>
      </c>
      <c r="AT184" s="8">
        <v>1.7789999999999999</v>
      </c>
    </row>
    <row r="185" spans="1:46">
      <c r="A185" s="4" t="s">
        <v>262</v>
      </c>
      <c r="B185">
        <v>0.29163235209331001</v>
      </c>
      <c r="C185" s="8">
        <v>0</v>
      </c>
      <c r="D185" s="8">
        <v>0</v>
      </c>
      <c r="E185">
        <v>0.29154330209330998</v>
      </c>
      <c r="F185" s="8">
        <v>0</v>
      </c>
      <c r="G185">
        <v>8.9049999999999996E-5</v>
      </c>
      <c r="H185" s="17">
        <v>32</v>
      </c>
      <c r="I185" s="8">
        <v>13.9</v>
      </c>
      <c r="J185" s="18" t="s">
        <v>78</v>
      </c>
      <c r="K185" s="24" t="s">
        <v>78</v>
      </c>
      <c r="L185" s="29">
        <v>8</v>
      </c>
      <c r="M185" s="8">
        <v>1</v>
      </c>
      <c r="N185" s="17">
        <v>40.951000000000001</v>
      </c>
      <c r="O185" s="23">
        <v>95.53</v>
      </c>
      <c r="P185" s="8">
        <v>1.3</v>
      </c>
      <c r="Q185" s="13">
        <v>10748.27</v>
      </c>
      <c r="R185" s="8">
        <v>615260</v>
      </c>
      <c r="S185" s="8">
        <v>5.7</v>
      </c>
      <c r="T185" s="8">
        <v>55</v>
      </c>
      <c r="U185" s="24" t="s">
        <v>78</v>
      </c>
      <c r="V185" s="29">
        <v>6</v>
      </c>
      <c r="W185" s="21">
        <v>4278292</v>
      </c>
      <c r="X185" s="18" t="s">
        <v>78</v>
      </c>
      <c r="Y185" s="18" t="s">
        <v>78</v>
      </c>
      <c r="Z185" s="8">
        <v>21.7</v>
      </c>
      <c r="AA185" s="8">
        <v>29.7</v>
      </c>
      <c r="AB185" s="8">
        <v>13239.9</v>
      </c>
      <c r="AC185" s="8">
        <v>569.41</v>
      </c>
      <c r="AD185" s="8">
        <v>67.5</v>
      </c>
      <c r="AE185" s="41" t="s">
        <v>78</v>
      </c>
      <c r="AF185" s="8">
        <v>5.5</v>
      </c>
      <c r="AG185" s="8"/>
      <c r="AH185" s="8"/>
      <c r="AI185" s="8">
        <v>11</v>
      </c>
      <c r="AJ185" s="8">
        <v>30</v>
      </c>
      <c r="AK185" s="8">
        <v>0</v>
      </c>
      <c r="AL185" s="8" t="s">
        <v>78</v>
      </c>
      <c r="AM185" s="24" t="s">
        <v>78</v>
      </c>
      <c r="AN185" s="17">
        <v>46.140999999999998</v>
      </c>
      <c r="AO185" s="8">
        <v>52.439464109232397</v>
      </c>
      <c r="AP185">
        <v>7.2413382530212402</v>
      </c>
      <c r="AQ185" s="24" t="s">
        <v>78</v>
      </c>
      <c r="AR185" s="24" t="s">
        <v>78</v>
      </c>
      <c r="AS185" s="24" t="s">
        <v>78</v>
      </c>
      <c r="AT185" s="8">
        <v>3.1840000000000002</v>
      </c>
    </row>
    <row r="186" spans="1:46">
      <c r="A186" s="22" t="s">
        <v>263</v>
      </c>
      <c r="B186">
        <v>1.53179472794517</v>
      </c>
      <c r="C186" s="8">
        <v>0</v>
      </c>
      <c r="D186">
        <v>5.1214208094733796E-3</v>
      </c>
      <c r="E186">
        <v>1.7196388488160399E-3</v>
      </c>
      <c r="F186">
        <v>0.55551539703688002</v>
      </c>
      <c r="G186">
        <v>0.96943827125000004</v>
      </c>
      <c r="H186" s="17">
        <v>86</v>
      </c>
      <c r="I186" s="8">
        <v>14.7</v>
      </c>
      <c r="J186" s="8">
        <v>63.9</v>
      </c>
      <c r="K186" s="8">
        <v>71</v>
      </c>
      <c r="L186" s="8">
        <v>81</v>
      </c>
      <c r="M186" s="8">
        <v>83</v>
      </c>
      <c r="N186" s="17">
        <v>99.926000000000002</v>
      </c>
      <c r="O186" s="23">
        <v>1.03</v>
      </c>
      <c r="P186" s="8">
        <v>0.1</v>
      </c>
      <c r="Q186" s="13">
        <v>47415.75</v>
      </c>
      <c r="R186" s="8">
        <v>21189981.510000002</v>
      </c>
      <c r="S186" s="8">
        <v>10.6</v>
      </c>
      <c r="T186" s="8">
        <v>83</v>
      </c>
      <c r="U186" s="17">
        <v>0.753</v>
      </c>
      <c r="V186" s="17">
        <v>2</v>
      </c>
      <c r="W186" s="21">
        <v>23381693</v>
      </c>
      <c r="X186" s="8">
        <v>64</v>
      </c>
      <c r="Y186" s="8">
        <v>90.3</v>
      </c>
      <c r="Z186" s="8">
        <v>4.9000000000000004</v>
      </c>
      <c r="AA186" s="8">
        <v>112.1</v>
      </c>
      <c r="AB186" s="8">
        <v>1929758.85</v>
      </c>
      <c r="AC186" s="8">
        <f>29.73*1000</f>
        <v>29730</v>
      </c>
      <c r="AD186" s="8">
        <v>36609.61</v>
      </c>
      <c r="AE186" s="8">
        <v>68.3</v>
      </c>
      <c r="AF186" s="8">
        <v>17.899999999999999</v>
      </c>
      <c r="AG186" s="8"/>
      <c r="AH186" s="8">
        <v>0.34399999999999997</v>
      </c>
      <c r="AI186" s="8">
        <v>61</v>
      </c>
      <c r="AJ186" s="8">
        <v>25</v>
      </c>
      <c r="AK186" s="8">
        <v>3</v>
      </c>
      <c r="AL186" s="8" t="s">
        <v>78</v>
      </c>
      <c r="AM186" s="8">
        <v>74</v>
      </c>
      <c r="AN186" s="17">
        <v>9.36</v>
      </c>
      <c r="AO186" s="8">
        <v>65.9902065694491</v>
      </c>
      <c r="AP186" s="17">
        <v>100</v>
      </c>
      <c r="AQ186" s="8">
        <v>60.3</v>
      </c>
      <c r="AR186" s="8">
        <v>61.4</v>
      </c>
      <c r="AS186" s="8">
        <v>41.3</v>
      </c>
      <c r="AT186" s="8">
        <v>1.603</v>
      </c>
    </row>
    <row r="187" spans="1:46" ht="15" customHeight="1">
      <c r="A187" s="22" t="s">
        <v>264</v>
      </c>
      <c r="B187">
        <v>5.0178276915E-2</v>
      </c>
      <c r="C187" s="8">
        <v>0</v>
      </c>
      <c r="D187" s="8">
        <v>0</v>
      </c>
      <c r="E187" s="8">
        <v>0</v>
      </c>
      <c r="F187" s="8">
        <v>0</v>
      </c>
      <c r="G187">
        <v>5.0178276915E-2</v>
      </c>
      <c r="H187" s="17">
        <v>67</v>
      </c>
      <c r="I187" s="8">
        <v>5.4</v>
      </c>
      <c r="J187" s="8">
        <v>38.4</v>
      </c>
      <c r="K187" s="8">
        <v>11</v>
      </c>
      <c r="L187" s="29">
        <v>44</v>
      </c>
      <c r="M187" s="8">
        <v>42</v>
      </c>
      <c r="N187" s="17">
        <v>92.228000000000009</v>
      </c>
      <c r="O187" s="23">
        <v>7.3900000000000006</v>
      </c>
      <c r="P187" s="8">
        <v>1.1000000000000001</v>
      </c>
      <c r="Q187" s="13">
        <v>22156</v>
      </c>
      <c r="R187" s="8">
        <v>-5188536.22</v>
      </c>
      <c r="S187" s="8">
        <v>10.8</v>
      </c>
      <c r="T187" s="8">
        <v>76.400000000000006</v>
      </c>
      <c r="U187" s="17">
        <v>0.60299999999999998</v>
      </c>
      <c r="V187" s="17">
        <v>4</v>
      </c>
      <c r="W187" s="21">
        <v>8267764</v>
      </c>
      <c r="X187" s="8">
        <v>35</v>
      </c>
      <c r="Y187" s="8">
        <v>69.2</v>
      </c>
      <c r="Z187" s="8">
        <v>29.5</v>
      </c>
      <c r="AA187" s="29">
        <v>130.52600000000001</v>
      </c>
      <c r="AB187" s="8">
        <v>325838.13</v>
      </c>
      <c r="AC187" s="18" t="s">
        <v>78</v>
      </c>
      <c r="AD187" s="8">
        <v>597.52</v>
      </c>
      <c r="AE187" s="8">
        <v>35.299999999999997</v>
      </c>
      <c r="AF187" s="8">
        <v>14.1</v>
      </c>
      <c r="AG187" s="8"/>
      <c r="AH187" s="8">
        <v>0.04</v>
      </c>
      <c r="AI187" s="8">
        <v>37</v>
      </c>
      <c r="AJ187" s="8">
        <v>24</v>
      </c>
      <c r="AK187" s="8">
        <v>16</v>
      </c>
      <c r="AL187" s="8">
        <v>141730</v>
      </c>
      <c r="AM187" s="8">
        <v>32.5</v>
      </c>
      <c r="AN187" s="17">
        <v>7.2210000000000001</v>
      </c>
      <c r="AO187" s="8">
        <v>65.628695657904899</v>
      </c>
      <c r="AP187" s="17">
        <v>100</v>
      </c>
      <c r="AQ187" s="8">
        <v>40.1</v>
      </c>
      <c r="AR187" s="8">
        <v>19.100000000000001</v>
      </c>
      <c r="AS187" s="8">
        <v>26.4</v>
      </c>
      <c r="AT187" s="8">
        <v>2.02</v>
      </c>
    </row>
    <row r="188" spans="1:46">
      <c r="A188" s="4" t="s">
        <v>265</v>
      </c>
      <c r="B188">
        <v>5.3430000000000002E-5</v>
      </c>
      <c r="C188" s="8">
        <v>0</v>
      </c>
      <c r="D188" s="8">
        <v>0</v>
      </c>
      <c r="E188" s="8">
        <v>0</v>
      </c>
      <c r="F188" s="8">
        <v>0</v>
      </c>
      <c r="G188">
        <v>5.3430000000000002E-5</v>
      </c>
      <c r="H188" s="17" t="s">
        <v>85</v>
      </c>
      <c r="I188" s="18" t="s">
        <v>78</v>
      </c>
      <c r="J188" s="18" t="s">
        <v>78</v>
      </c>
      <c r="K188" s="24" t="s">
        <v>78</v>
      </c>
      <c r="L188" s="24" t="s">
        <v>78</v>
      </c>
      <c r="M188" s="24" t="s">
        <v>78</v>
      </c>
      <c r="N188" s="17">
        <v>98.612000000000009</v>
      </c>
      <c r="O188" s="24" t="s">
        <v>78</v>
      </c>
      <c r="P188" s="8">
        <v>-0.1</v>
      </c>
      <c r="Q188" s="13">
        <v>47.61</v>
      </c>
      <c r="R188" s="8">
        <v>-32721.18</v>
      </c>
      <c r="S188" s="8">
        <v>8.6999999999999993</v>
      </c>
      <c r="T188" s="8">
        <v>71.7</v>
      </c>
      <c r="U188" s="17">
        <v>0.753</v>
      </c>
      <c r="V188" s="18" t="s">
        <v>78</v>
      </c>
      <c r="W188" s="18" t="s">
        <v>78</v>
      </c>
      <c r="X188" s="18" t="s">
        <v>78</v>
      </c>
      <c r="Y188" s="18" t="s">
        <v>78</v>
      </c>
      <c r="Z188" s="8">
        <v>2.8</v>
      </c>
      <c r="AA188" s="8">
        <v>55.2</v>
      </c>
      <c r="AB188" s="8">
        <v>1385.2</v>
      </c>
      <c r="AC188" s="8">
        <f>20.39*1000</f>
        <v>20390</v>
      </c>
      <c r="AD188" s="8">
        <v>40.01</v>
      </c>
      <c r="AE188" s="41" t="s">
        <v>78</v>
      </c>
      <c r="AF188" s="8">
        <v>15.4</v>
      </c>
      <c r="AG188" s="8"/>
      <c r="AH188" s="24" t="s">
        <v>78</v>
      </c>
      <c r="AI188" s="24" t="s">
        <v>78</v>
      </c>
      <c r="AJ188" s="8">
        <v>33</v>
      </c>
      <c r="AK188" s="8">
        <v>0</v>
      </c>
      <c r="AL188" s="8" t="s">
        <v>78</v>
      </c>
      <c r="AM188" s="24" t="s">
        <v>78</v>
      </c>
      <c r="AN188" s="17">
        <v>11.790000000000001</v>
      </c>
      <c r="AO188" s="8">
        <v>70.569144969699494</v>
      </c>
      <c r="AP188" s="17">
        <v>100</v>
      </c>
      <c r="AQ188" s="24" t="s">
        <v>78</v>
      </c>
      <c r="AR188" s="24" t="s">
        <v>78</v>
      </c>
      <c r="AS188" s="24" t="s">
        <v>78</v>
      </c>
      <c r="AT188" s="24" t="s">
        <v>78</v>
      </c>
    </row>
    <row r="189" spans="1:46">
      <c r="A189" s="4" t="s">
        <v>266</v>
      </c>
      <c r="B189">
        <v>2.815761E-5</v>
      </c>
      <c r="C189" s="8">
        <v>0</v>
      </c>
      <c r="D189" s="8">
        <v>0</v>
      </c>
      <c r="E189" s="8">
        <v>0</v>
      </c>
      <c r="F189" s="8">
        <v>0</v>
      </c>
      <c r="G189">
        <v>2.815761E-5</v>
      </c>
      <c r="H189" s="17">
        <v>72</v>
      </c>
      <c r="I189" s="8">
        <v>16.899999999999999</v>
      </c>
      <c r="J189" s="18" t="s">
        <v>78</v>
      </c>
      <c r="K189" s="24" t="s">
        <v>78</v>
      </c>
      <c r="L189" s="24" t="s">
        <v>78</v>
      </c>
      <c r="M189" s="24" t="s">
        <v>78</v>
      </c>
      <c r="N189" s="17">
        <v>96.888000000000005</v>
      </c>
      <c r="O189" s="23">
        <v>10.4</v>
      </c>
      <c r="P189" s="8">
        <v>0.2</v>
      </c>
      <c r="Q189" s="13">
        <v>179.65</v>
      </c>
      <c r="R189" s="8">
        <v>44240.39</v>
      </c>
      <c r="S189">
        <v>8.5</v>
      </c>
      <c r="T189" s="8">
        <v>71.099999999999994</v>
      </c>
      <c r="U189" s="17">
        <v>0.68800000000000006</v>
      </c>
      <c r="V189" s="18" t="s">
        <v>78</v>
      </c>
      <c r="W189" s="21">
        <v>99938</v>
      </c>
      <c r="X189" s="18" t="s">
        <v>78</v>
      </c>
      <c r="Y189" s="18" t="s">
        <v>78</v>
      </c>
      <c r="Z189" s="8">
        <v>2.7</v>
      </c>
      <c r="AA189" s="8">
        <v>88.3</v>
      </c>
      <c r="AB189" s="8">
        <v>2574.8000000000002</v>
      </c>
      <c r="AC189" s="8">
        <f>11.68*1000</f>
        <v>11680</v>
      </c>
      <c r="AD189" s="8">
        <v>46.72</v>
      </c>
      <c r="AE189" s="41" t="s">
        <v>78</v>
      </c>
      <c r="AF189" s="8">
        <v>12.9</v>
      </c>
      <c r="AG189" s="8"/>
      <c r="AH189" s="24" t="s">
        <v>78</v>
      </c>
      <c r="AI189" s="8">
        <v>56</v>
      </c>
      <c r="AJ189" s="8">
        <v>30</v>
      </c>
      <c r="AK189" s="8">
        <v>0</v>
      </c>
      <c r="AL189" s="8" t="s">
        <v>78</v>
      </c>
      <c r="AM189" s="8">
        <v>46</v>
      </c>
      <c r="AN189" s="17">
        <v>21.036000000000001</v>
      </c>
      <c r="AO189" s="8">
        <v>72.627281152676204</v>
      </c>
      <c r="AP189" s="17">
        <v>100</v>
      </c>
      <c r="AQ189" s="8">
        <v>36.4</v>
      </c>
      <c r="AR189" s="8">
        <v>55.4</v>
      </c>
      <c r="AS189" s="8">
        <v>64.8</v>
      </c>
      <c r="AT189" s="24" t="s">
        <v>78</v>
      </c>
    </row>
    <row r="190" spans="1:46">
      <c r="A190" s="4" t="s">
        <v>267</v>
      </c>
      <c r="B190" s="18" t="s">
        <v>78</v>
      </c>
      <c r="C190" s="18" t="s">
        <v>78</v>
      </c>
      <c r="D190" s="18" t="s">
        <v>78</v>
      </c>
      <c r="E190" s="18" t="s">
        <v>78</v>
      </c>
      <c r="F190" s="18" t="s">
        <v>78</v>
      </c>
      <c r="G190" s="18" t="s">
        <v>78</v>
      </c>
      <c r="H190" s="18" t="s">
        <v>78</v>
      </c>
      <c r="I190" s="18" t="s">
        <v>78</v>
      </c>
      <c r="J190" s="18" t="s">
        <v>78</v>
      </c>
      <c r="K190" s="24" t="s">
        <v>78</v>
      </c>
      <c r="L190" s="24" t="s">
        <v>78</v>
      </c>
      <c r="M190" s="24" t="s">
        <v>78</v>
      </c>
      <c r="N190" s="18" t="s">
        <v>77</v>
      </c>
      <c r="O190" s="24" t="s">
        <v>78</v>
      </c>
      <c r="P190" s="8">
        <v>-1.9</v>
      </c>
      <c r="Q190" s="13">
        <v>31.95</v>
      </c>
      <c r="R190" s="24" t="s">
        <v>78</v>
      </c>
      <c r="S190" s="24" t="s">
        <v>78</v>
      </c>
      <c r="T190" s="24" t="s">
        <v>78</v>
      </c>
      <c r="U190" s="24" t="s">
        <v>78</v>
      </c>
      <c r="V190" s="18" t="s">
        <v>78</v>
      </c>
      <c r="W190" s="18" t="s">
        <v>78</v>
      </c>
      <c r="X190" s="18" t="s">
        <v>78</v>
      </c>
      <c r="Y190" s="18" t="s">
        <v>78</v>
      </c>
      <c r="Z190" s="24" t="s">
        <v>78</v>
      </c>
      <c r="AA190" s="24" t="s">
        <v>78</v>
      </c>
      <c r="AB190" s="24" t="s">
        <v>78</v>
      </c>
      <c r="AC190" s="24" t="s">
        <v>78</v>
      </c>
      <c r="AD190" s="24" t="s">
        <v>78</v>
      </c>
      <c r="AE190" s="41" t="s">
        <v>78</v>
      </c>
      <c r="AF190" s="24" t="s">
        <v>78</v>
      </c>
      <c r="AG190" s="8"/>
      <c r="AH190" s="24" t="s">
        <v>78</v>
      </c>
      <c r="AI190" s="24" t="s">
        <v>78</v>
      </c>
      <c r="AJ190" s="8">
        <v>20</v>
      </c>
      <c r="AK190" s="8">
        <v>0</v>
      </c>
      <c r="AL190" s="8" t="s">
        <v>78</v>
      </c>
      <c r="AM190" s="24" t="s">
        <v>78</v>
      </c>
      <c r="AN190" s="24" t="s">
        <v>78</v>
      </c>
      <c r="AO190" s="8">
        <v>67.072540887393401</v>
      </c>
      <c r="AP190" s="17">
        <v>100</v>
      </c>
      <c r="AQ190" s="24" t="s">
        <v>78</v>
      </c>
      <c r="AR190" s="24" t="s">
        <v>78</v>
      </c>
      <c r="AS190" s="24" t="s">
        <v>78</v>
      </c>
      <c r="AT190" s="24" t="s">
        <v>78</v>
      </c>
    </row>
    <row r="191" spans="1:46">
      <c r="A191" s="4" t="s">
        <v>268</v>
      </c>
      <c r="B191">
        <v>2.40435E-4</v>
      </c>
      <c r="C191" s="8">
        <v>0</v>
      </c>
      <c r="D191" s="8">
        <v>0</v>
      </c>
      <c r="E191" s="8">
        <v>0</v>
      </c>
      <c r="F191" s="8">
        <v>0</v>
      </c>
      <c r="G191">
        <v>2.40435E-4</v>
      </c>
      <c r="H191" s="17">
        <v>73</v>
      </c>
      <c r="I191" s="8">
        <v>21.6</v>
      </c>
      <c r="J191" s="18" t="s">
        <v>78</v>
      </c>
      <c r="K191" s="8">
        <v>25</v>
      </c>
      <c r="L191" s="24" t="s">
        <v>78</v>
      </c>
      <c r="M191" s="24" t="s">
        <v>78</v>
      </c>
      <c r="N191" s="17">
        <v>95.144999999999996</v>
      </c>
      <c r="O191" s="24" t="s">
        <v>78</v>
      </c>
      <c r="P191" s="8">
        <v>-0.3</v>
      </c>
      <c r="Q191" s="13">
        <v>104.33</v>
      </c>
      <c r="R191" s="8">
        <v>-289948.24</v>
      </c>
      <c r="S191" s="8">
        <v>10.8</v>
      </c>
      <c r="T191" s="8">
        <v>69.599999999999994</v>
      </c>
      <c r="U191" s="17">
        <v>0.627</v>
      </c>
      <c r="V191" s="18" t="s">
        <v>78</v>
      </c>
      <c r="W191" s="21">
        <v>51738</v>
      </c>
      <c r="X191" s="18" t="s">
        <v>78</v>
      </c>
      <c r="Y191" s="18" t="s">
        <v>78</v>
      </c>
      <c r="Z191" s="8">
        <v>4.5999999999999996</v>
      </c>
      <c r="AA191" s="8">
        <v>88</v>
      </c>
      <c r="AB191" s="8">
        <v>1569.71</v>
      </c>
      <c r="AC191" s="8">
        <f>9.43*1000</f>
        <v>9430</v>
      </c>
      <c r="AD191" s="8">
        <v>65.3</v>
      </c>
      <c r="AE191" s="41" t="s">
        <v>78</v>
      </c>
      <c r="AF191" s="8">
        <v>14.7</v>
      </c>
      <c r="AG191" s="8"/>
      <c r="AH191" s="24" t="s">
        <v>78</v>
      </c>
      <c r="AI191" s="8">
        <v>59</v>
      </c>
      <c r="AJ191" s="8">
        <v>30</v>
      </c>
      <c r="AK191" s="8">
        <v>0</v>
      </c>
      <c r="AL191" s="8" t="s">
        <v>78</v>
      </c>
      <c r="AM191" s="8">
        <v>42.5</v>
      </c>
      <c r="AN191" s="17">
        <v>21.083000000000002</v>
      </c>
      <c r="AO191" s="8">
        <v>67.115554192385801</v>
      </c>
      <c r="AP191" s="17">
        <v>100</v>
      </c>
      <c r="AQ191" s="8">
        <v>51.1</v>
      </c>
      <c r="AR191" s="8">
        <v>47.4</v>
      </c>
      <c r="AS191" s="8">
        <v>61</v>
      </c>
      <c r="AT191" s="24" t="s">
        <v>78</v>
      </c>
    </row>
    <row r="192" spans="1:46">
      <c r="A192" s="27" t="s">
        <v>269</v>
      </c>
      <c r="B192">
        <v>0.21794850947831701</v>
      </c>
      <c r="C192" s="8">
        <v>0</v>
      </c>
      <c r="D192" s="8">
        <v>0</v>
      </c>
      <c r="E192">
        <v>0.12961803347831699</v>
      </c>
      <c r="F192" s="8">
        <v>0</v>
      </c>
      <c r="G192">
        <v>8.8330476000000005E-2</v>
      </c>
      <c r="H192" s="17">
        <v>44</v>
      </c>
      <c r="I192" s="8">
        <v>19.8</v>
      </c>
      <c r="J192" s="18" t="s">
        <v>78</v>
      </c>
      <c r="K192" s="24" t="s">
        <v>78</v>
      </c>
      <c r="L192" s="29">
        <v>22</v>
      </c>
      <c r="M192" s="26">
        <v>12</v>
      </c>
      <c r="N192" s="17">
        <v>60.448999999999998</v>
      </c>
      <c r="O192" s="23">
        <v>49.43</v>
      </c>
      <c r="P192" s="8">
        <v>2.7</v>
      </c>
      <c r="Q192" s="13">
        <v>45657.2</v>
      </c>
      <c r="R192" s="8">
        <v>-3872363.02</v>
      </c>
      <c r="S192" s="26">
        <v>3.8</v>
      </c>
      <c r="T192" s="26"/>
      <c r="U192" s="17">
        <v>0.30099999999999999</v>
      </c>
      <c r="V192" s="17">
        <v>5</v>
      </c>
      <c r="W192" s="21">
        <v>12920987</v>
      </c>
      <c r="X192" s="18" t="s">
        <v>78</v>
      </c>
      <c r="Y192" s="18" t="s">
        <v>78</v>
      </c>
      <c r="Z192" s="8">
        <v>76.900000000000006</v>
      </c>
      <c r="AA192" s="8">
        <v>155.30000000000001</v>
      </c>
      <c r="AB192" s="8">
        <v>185641.09</v>
      </c>
      <c r="AC192" s="8">
        <v>929.4</v>
      </c>
      <c r="AD192" s="8">
        <v>716.94</v>
      </c>
      <c r="AE192" s="41" t="s">
        <v>78</v>
      </c>
      <c r="AF192" s="26">
        <v>7.9</v>
      </c>
      <c r="AG192" s="26"/>
      <c r="AH192" s="26">
        <v>8.9999999999999993E-3</v>
      </c>
      <c r="AI192" s="26">
        <v>20</v>
      </c>
      <c r="AJ192" s="8">
        <v>25</v>
      </c>
      <c r="AK192" s="8">
        <v>5</v>
      </c>
      <c r="AL192" s="26">
        <v>368399</v>
      </c>
      <c r="AM192" s="29">
        <v>15.6</v>
      </c>
      <c r="AN192" s="17">
        <v>58.667999999999999</v>
      </c>
      <c r="AO192" s="8">
        <v>55.490102694971299</v>
      </c>
      <c r="AP192">
        <v>55.389701843261697</v>
      </c>
      <c r="AQ192" s="8">
        <v>34.5</v>
      </c>
      <c r="AR192" s="8">
        <v>28.1</v>
      </c>
      <c r="AS192" s="8">
        <v>25.1</v>
      </c>
      <c r="AT192" s="8">
        <v>3.0070000000000001</v>
      </c>
    </row>
    <row r="193" spans="1:46">
      <c r="A193" s="27" t="s">
        <v>270</v>
      </c>
      <c r="B193">
        <v>4.5763644703045801E-2</v>
      </c>
      <c r="C193" s="8">
        <v>0</v>
      </c>
      <c r="D193">
        <v>2.0568305576000001E-4</v>
      </c>
      <c r="E193">
        <v>3.6912204007285801E-2</v>
      </c>
      <c r="F193" s="8">
        <v>0</v>
      </c>
      <c r="G193">
        <v>8.6457576399999996E-3</v>
      </c>
      <c r="H193" s="17">
        <v>67</v>
      </c>
      <c r="I193" s="8">
        <v>10.1</v>
      </c>
      <c r="J193" s="18" t="s">
        <v>78</v>
      </c>
      <c r="K193" s="26">
        <v>15</v>
      </c>
      <c r="L193" s="24" t="s">
        <v>78</v>
      </c>
      <c r="M193" s="24" t="s">
        <v>78</v>
      </c>
      <c r="N193" s="17">
        <v>97.990000000000009</v>
      </c>
      <c r="O193" s="23">
        <v>19.3</v>
      </c>
      <c r="P193" s="8">
        <v>1</v>
      </c>
      <c r="Q193" s="13">
        <v>612.99</v>
      </c>
      <c r="R193" s="8">
        <v>423044.48</v>
      </c>
      <c r="S193" s="26">
        <v>9.8000000000000007</v>
      </c>
      <c r="T193" s="26">
        <v>70.3</v>
      </c>
      <c r="U193" s="17">
        <v>0.46900000000000003</v>
      </c>
      <c r="V193" s="18" t="s">
        <v>78</v>
      </c>
      <c r="W193" s="21">
        <v>244207</v>
      </c>
      <c r="X193" s="18" t="s">
        <v>78</v>
      </c>
      <c r="Y193" s="18" t="s">
        <v>78</v>
      </c>
      <c r="Z193" s="8">
        <v>27.2</v>
      </c>
      <c r="AA193" s="8">
        <v>117.1</v>
      </c>
      <c r="AB193" s="8">
        <v>9944.26</v>
      </c>
      <c r="AC193" s="8">
        <f>5.04*1000</f>
        <v>5040</v>
      </c>
      <c r="AD193" s="8">
        <v>-174.71</v>
      </c>
      <c r="AE193" s="41" t="s">
        <v>78</v>
      </c>
      <c r="AF193" s="26">
        <v>13</v>
      </c>
      <c r="AG193" s="26"/>
      <c r="AH193" s="26">
        <v>1.0999999999999999E-2</v>
      </c>
      <c r="AI193" s="26">
        <v>39</v>
      </c>
      <c r="AJ193" s="8">
        <v>36</v>
      </c>
      <c r="AK193" s="8">
        <v>1</v>
      </c>
      <c r="AL193" s="8" t="s">
        <v>78</v>
      </c>
      <c r="AM193" s="8">
        <v>36.9</v>
      </c>
      <c r="AN193" s="17">
        <v>23.591999999999999</v>
      </c>
      <c r="AO193" s="8">
        <v>66.252164614276595</v>
      </c>
      <c r="AP193">
        <v>98.204772949218807</v>
      </c>
      <c r="AQ193" s="8">
        <v>46.6</v>
      </c>
      <c r="AR193" s="8">
        <v>15.9</v>
      </c>
      <c r="AS193" s="8">
        <v>50.3</v>
      </c>
      <c r="AT193" s="24" t="s">
        <v>78</v>
      </c>
    </row>
    <row r="194" spans="1:46">
      <c r="A194" s="4" t="s">
        <v>271</v>
      </c>
      <c r="B194" s="18" t="s">
        <v>78</v>
      </c>
      <c r="C194" s="18" t="s">
        <v>78</v>
      </c>
      <c r="D194" s="18" t="s">
        <v>78</v>
      </c>
      <c r="E194" s="18" t="s">
        <v>78</v>
      </c>
      <c r="F194" s="18" t="s">
        <v>78</v>
      </c>
      <c r="G194" s="18" t="s">
        <v>78</v>
      </c>
      <c r="H194" s="18" t="s">
        <v>78</v>
      </c>
      <c r="I194" s="18" t="s">
        <v>78</v>
      </c>
      <c r="J194" s="18" t="s">
        <v>78</v>
      </c>
      <c r="K194" s="8">
        <v>30</v>
      </c>
      <c r="L194" s="24" t="s">
        <v>78</v>
      </c>
      <c r="M194" s="24" t="s">
        <v>78</v>
      </c>
      <c r="N194" s="18" t="s">
        <v>77</v>
      </c>
      <c r="O194" s="24" t="s">
        <v>78</v>
      </c>
      <c r="P194" s="8"/>
      <c r="Q194" s="13"/>
      <c r="R194" s="24" t="s">
        <v>78</v>
      </c>
      <c r="S194" s="24" t="s">
        <v>78</v>
      </c>
      <c r="T194" s="24" t="s">
        <v>78</v>
      </c>
      <c r="U194" s="24" t="s">
        <v>78</v>
      </c>
      <c r="V194" s="18" t="s">
        <v>78</v>
      </c>
      <c r="W194" s="18" t="s">
        <v>78</v>
      </c>
      <c r="X194" s="18" t="s">
        <v>78</v>
      </c>
      <c r="Y194" s="18" t="s">
        <v>78</v>
      </c>
      <c r="Z194" s="24" t="s">
        <v>78</v>
      </c>
      <c r="AA194" s="24" t="s">
        <v>78</v>
      </c>
      <c r="AB194" s="24" t="s">
        <v>78</v>
      </c>
      <c r="AC194" s="24" t="s">
        <v>78</v>
      </c>
      <c r="AD194" s="41" t="s">
        <v>78</v>
      </c>
      <c r="AE194" s="41" t="s">
        <v>78</v>
      </c>
      <c r="AF194" s="24" t="s">
        <v>78</v>
      </c>
      <c r="AG194" s="8"/>
      <c r="AH194" s="8">
        <v>0.10299999999999999</v>
      </c>
      <c r="AI194" s="24" t="s">
        <v>78</v>
      </c>
      <c r="AJ194" s="8">
        <v>27.5</v>
      </c>
      <c r="AK194" s="8">
        <v>0</v>
      </c>
      <c r="AL194" s="8" t="s">
        <v>78</v>
      </c>
      <c r="AM194" s="24" t="s">
        <v>78</v>
      </c>
      <c r="AN194" s="24" t="s">
        <v>78</v>
      </c>
      <c r="AO194" s="24" t="s">
        <v>78</v>
      </c>
      <c r="AP194" s="24" t="s">
        <v>78</v>
      </c>
      <c r="AQ194" s="24" t="s">
        <v>78</v>
      </c>
      <c r="AR194" s="24" t="s">
        <v>78</v>
      </c>
      <c r="AS194" s="24" t="s">
        <v>78</v>
      </c>
      <c r="AT194" s="24" t="s">
        <v>78</v>
      </c>
    </row>
    <row r="195" spans="1:46">
      <c r="A195" s="22" t="s">
        <v>272</v>
      </c>
      <c r="B195">
        <v>1.5534012149253</v>
      </c>
      <c r="C195" s="8">
        <v>0</v>
      </c>
      <c r="D195" s="8">
        <v>0</v>
      </c>
      <c r="E195" s="8">
        <v>0</v>
      </c>
      <c r="F195">
        <v>0.64700703699429996</v>
      </c>
      <c r="G195">
        <v>0.90639417793099997</v>
      </c>
      <c r="H195" s="17">
        <v>87</v>
      </c>
      <c r="I195" s="8">
        <v>8.6999999999999993</v>
      </c>
      <c r="J195" s="8">
        <v>67.7</v>
      </c>
      <c r="K195" s="8">
        <v>99</v>
      </c>
      <c r="L195" s="8">
        <v>73</v>
      </c>
      <c r="M195" s="8">
        <v>64</v>
      </c>
      <c r="N195" s="17">
        <v>99.826999999999998</v>
      </c>
      <c r="O195" s="23">
        <v>0.72</v>
      </c>
      <c r="P195" s="8">
        <v>0.6</v>
      </c>
      <c r="Q195" s="13">
        <v>10415.81</v>
      </c>
      <c r="R195" s="8">
        <v>27523728.559999999</v>
      </c>
      <c r="S195" s="8">
        <v>12.6</v>
      </c>
      <c r="T195" s="8">
        <v>83</v>
      </c>
      <c r="U195" s="17">
        <v>0.76400000000000001</v>
      </c>
      <c r="V195" s="17">
        <v>1</v>
      </c>
      <c r="W195" s="21">
        <v>5555561</v>
      </c>
      <c r="X195" s="8">
        <v>79</v>
      </c>
      <c r="Y195" s="8">
        <v>84</v>
      </c>
      <c r="Z195" s="8">
        <v>8.4</v>
      </c>
      <c r="AA195" s="8">
        <v>31.2</v>
      </c>
      <c r="AB195" s="8">
        <v>617807.19999999995</v>
      </c>
      <c r="AC195" s="8">
        <f>60.47*1000</f>
        <v>60470</v>
      </c>
      <c r="AD195" s="8">
        <v>58324.35</v>
      </c>
      <c r="AE195" s="8">
        <v>83.7</v>
      </c>
      <c r="AF195" s="8">
        <v>19.399999999999999</v>
      </c>
      <c r="AG195" s="8"/>
      <c r="AH195" s="8">
        <v>0.28399999999999997</v>
      </c>
      <c r="AI195" s="8">
        <v>85</v>
      </c>
      <c r="AJ195" s="8">
        <v>20.6</v>
      </c>
      <c r="AK195" s="8">
        <v>0</v>
      </c>
      <c r="AL195" s="8" t="s">
        <v>78</v>
      </c>
      <c r="AM195" s="8">
        <v>94</v>
      </c>
      <c r="AN195" s="17">
        <v>5.9539999999999997</v>
      </c>
      <c r="AO195" s="8">
        <v>62.181687052293498</v>
      </c>
      <c r="AP195" s="17">
        <v>100</v>
      </c>
      <c r="AQ195" s="8">
        <v>60.6</v>
      </c>
      <c r="AR195" s="8">
        <v>70.8</v>
      </c>
      <c r="AS195" s="8">
        <v>75.400000000000006</v>
      </c>
      <c r="AT195" s="8">
        <v>1.5640000000000001</v>
      </c>
    </row>
    <row r="196" spans="1:46">
      <c r="A196" s="22" t="s">
        <v>273</v>
      </c>
      <c r="B196">
        <v>0.62336308501899995</v>
      </c>
      <c r="C196" s="8">
        <v>0</v>
      </c>
      <c r="D196" s="8">
        <v>0</v>
      </c>
      <c r="E196" s="8">
        <v>0</v>
      </c>
      <c r="F196">
        <v>0.26121823999999999</v>
      </c>
      <c r="G196">
        <v>0.36214484501900002</v>
      </c>
      <c r="H196" s="17">
        <v>87</v>
      </c>
      <c r="I196" s="8">
        <v>5.3</v>
      </c>
      <c r="J196" s="8">
        <v>54.7</v>
      </c>
      <c r="K196" s="8">
        <v>100</v>
      </c>
      <c r="L196" s="8">
        <v>87</v>
      </c>
      <c r="M196" s="8">
        <v>73</v>
      </c>
      <c r="N196" s="17">
        <v>100</v>
      </c>
      <c r="O196" s="23">
        <v>0.19</v>
      </c>
      <c r="P196" s="8">
        <v>0.8</v>
      </c>
      <c r="Q196" s="13">
        <v>8703.41</v>
      </c>
      <c r="R196" s="8">
        <v>90854381.329999998</v>
      </c>
      <c r="S196" s="8">
        <v>13.9</v>
      </c>
      <c r="T196" s="8">
        <v>84</v>
      </c>
      <c r="U196" s="24" t="s">
        <v>78</v>
      </c>
      <c r="V196" s="29">
        <v>2</v>
      </c>
      <c r="W196" s="21">
        <v>4963476</v>
      </c>
      <c r="X196" s="8">
        <v>81</v>
      </c>
      <c r="Y196" s="8">
        <v>93.2</v>
      </c>
      <c r="Z196" s="8">
        <v>2.4</v>
      </c>
      <c r="AA196" s="8">
        <v>39.1</v>
      </c>
      <c r="AB196" s="8">
        <v>672543.5</v>
      </c>
      <c r="AC196" s="8">
        <f>94.83*1000</f>
        <v>94830</v>
      </c>
      <c r="AD196" s="8">
        <v>9312.17</v>
      </c>
      <c r="AE196" s="8">
        <v>84.4</v>
      </c>
      <c r="AF196" s="8">
        <v>16.5</v>
      </c>
      <c r="AG196" s="8"/>
      <c r="AH196" s="8">
        <v>0.23100000000000001</v>
      </c>
      <c r="AI196" s="8">
        <v>84</v>
      </c>
      <c r="AJ196" s="8">
        <v>19.7</v>
      </c>
      <c r="AK196" s="8">
        <v>6</v>
      </c>
      <c r="AL196" s="8">
        <v>16586</v>
      </c>
      <c r="AM196" s="8">
        <v>84.3</v>
      </c>
      <c r="AN196" s="17">
        <v>9.34</v>
      </c>
      <c r="AO196" s="8">
        <v>65.9689775181957</v>
      </c>
      <c r="AP196" s="17">
        <v>100</v>
      </c>
      <c r="AQ196" s="8">
        <v>60.2</v>
      </c>
      <c r="AR196" s="8">
        <v>76.400000000000006</v>
      </c>
      <c r="AS196" s="8">
        <v>60.5</v>
      </c>
      <c r="AT196" s="8">
        <v>1.357</v>
      </c>
    </row>
    <row r="197" spans="1:46">
      <c r="A197" s="27" t="s">
        <v>274</v>
      </c>
      <c r="B197">
        <v>0.21915939026475401</v>
      </c>
      <c r="C197" s="8">
        <v>0</v>
      </c>
      <c r="D197">
        <v>0.13055993152500001</v>
      </c>
      <c r="E197">
        <v>8.1555603739754595E-2</v>
      </c>
      <c r="F197" s="26">
        <v>0</v>
      </c>
      <c r="G197">
        <v>7.0438549999999999E-3</v>
      </c>
      <c r="H197" s="17">
        <v>56</v>
      </c>
      <c r="I197" s="8">
        <v>10.6</v>
      </c>
      <c r="J197" s="18" t="s">
        <v>78</v>
      </c>
      <c r="K197" s="24" t="s">
        <v>78</v>
      </c>
      <c r="L197" s="24" t="s">
        <v>78</v>
      </c>
      <c r="M197" s="24" t="s">
        <v>78</v>
      </c>
      <c r="N197" s="17">
        <v>93.926000000000002</v>
      </c>
      <c r="O197" s="24" t="s">
        <v>78</v>
      </c>
      <c r="P197" s="8">
        <v>2.6</v>
      </c>
      <c r="Q197" s="13">
        <v>21324.37</v>
      </c>
      <c r="R197" s="8">
        <v>196994.86</v>
      </c>
      <c r="S197" s="26">
        <v>5.0999999999999996</v>
      </c>
      <c r="T197" s="26">
        <v>72.099999999999994</v>
      </c>
      <c r="U197" s="24" t="s">
        <v>78</v>
      </c>
      <c r="V197" s="29">
        <v>6</v>
      </c>
      <c r="W197" s="21">
        <v>6142683</v>
      </c>
      <c r="X197" s="18" t="s">
        <v>78</v>
      </c>
      <c r="Y197" s="18" t="s">
        <v>78</v>
      </c>
      <c r="Z197" s="24" t="s">
        <v>78</v>
      </c>
      <c r="AA197" s="24" t="s">
        <v>78</v>
      </c>
      <c r="AB197" s="24" t="s">
        <v>78</v>
      </c>
      <c r="AC197" s="24" t="s">
        <v>78</v>
      </c>
      <c r="AD197" s="8">
        <v>804.16</v>
      </c>
      <c r="AE197" s="41" t="s">
        <v>78</v>
      </c>
      <c r="AF197" s="26">
        <v>9.1999999999999993</v>
      </c>
      <c r="AG197" s="26"/>
      <c r="AH197" s="26">
        <v>1.4E-2</v>
      </c>
      <c r="AI197" s="26">
        <v>13</v>
      </c>
      <c r="AJ197" s="8">
        <v>28</v>
      </c>
      <c r="AK197" s="8">
        <v>1</v>
      </c>
      <c r="AL197" s="8" t="s">
        <v>78</v>
      </c>
      <c r="AM197" s="24" t="s">
        <v>78</v>
      </c>
      <c r="AN197" s="17">
        <v>46.155999999999999</v>
      </c>
      <c r="AO197" s="8">
        <v>62.353384276306997</v>
      </c>
      <c r="AP197">
        <v>89.140319824218807</v>
      </c>
      <c r="AQ197" s="24" t="s">
        <v>78</v>
      </c>
      <c r="AR197" s="24" t="s">
        <v>78</v>
      </c>
      <c r="AS197" s="24" t="s">
        <v>78</v>
      </c>
      <c r="AT197" s="8">
        <v>3.3559999999999999</v>
      </c>
    </row>
    <row r="198" spans="1:46">
      <c r="A198" s="27" t="s">
        <v>275</v>
      </c>
      <c r="B198">
        <v>0.217913906901953</v>
      </c>
      <c r="C198">
        <v>4.5853220978279603E-2</v>
      </c>
      <c r="D198">
        <v>6.7363732593900001E-4</v>
      </c>
      <c r="E198">
        <v>6.7819859773531499E-4</v>
      </c>
      <c r="F198" s="26">
        <v>0</v>
      </c>
      <c r="G198">
        <v>0.17070885</v>
      </c>
      <c r="H198" s="17">
        <v>66</v>
      </c>
      <c r="I198" s="8">
        <v>7.8</v>
      </c>
      <c r="J198" s="8">
        <v>56</v>
      </c>
      <c r="K198" s="8">
        <v>25</v>
      </c>
      <c r="L198" s="29">
        <v>26</v>
      </c>
      <c r="M198" s="26">
        <v>36</v>
      </c>
      <c r="N198" s="17">
        <v>81.852000000000004</v>
      </c>
      <c r="O198" s="23">
        <v>8.6300000000000008</v>
      </c>
      <c r="P198" s="8">
        <v>2.1</v>
      </c>
      <c r="Q198" s="13">
        <v>9750.06</v>
      </c>
      <c r="R198" s="8">
        <v>-2096987.47</v>
      </c>
      <c r="S198" s="26">
        <v>11.3</v>
      </c>
      <c r="T198" s="26">
        <v>71.599999999999994</v>
      </c>
      <c r="U198" s="24" t="s">
        <v>78</v>
      </c>
      <c r="V198" s="18" t="s">
        <v>78</v>
      </c>
      <c r="W198" s="21">
        <v>2500071</v>
      </c>
      <c r="X198" s="26">
        <v>28</v>
      </c>
      <c r="Y198" s="26">
        <v>60.6</v>
      </c>
      <c r="Z198" s="8">
        <v>8.1</v>
      </c>
      <c r="AA198" s="8">
        <v>40.5</v>
      </c>
      <c r="AB198" s="8">
        <v>41809.910000000003</v>
      </c>
      <c r="AC198" s="8">
        <f>1.05*1000</f>
        <v>1050</v>
      </c>
      <c r="AD198" s="8">
        <v>84.04</v>
      </c>
      <c r="AE198" s="26">
        <v>25.2</v>
      </c>
      <c r="AF198" s="26">
        <v>11.7</v>
      </c>
      <c r="AG198" s="26"/>
      <c r="AH198" s="24" t="s">
        <v>78</v>
      </c>
      <c r="AI198" s="26">
        <v>25</v>
      </c>
      <c r="AJ198" s="8">
        <v>18</v>
      </c>
      <c r="AK198" s="8">
        <v>1</v>
      </c>
      <c r="AL198" s="26">
        <v>315553</v>
      </c>
      <c r="AM198" s="8">
        <v>12.2</v>
      </c>
      <c r="AN198" s="17">
        <v>44.569000000000003</v>
      </c>
      <c r="AO198" s="8">
        <v>60.264091599808999</v>
      </c>
      <c r="AP198">
        <v>99.779296875</v>
      </c>
      <c r="AQ198" s="8">
        <v>55.7</v>
      </c>
      <c r="AR198" s="8">
        <v>6.4</v>
      </c>
      <c r="AS198" s="8">
        <v>27.3</v>
      </c>
      <c r="AT198" s="8">
        <v>2.0310000000000001</v>
      </c>
    </row>
    <row r="199" spans="1:46">
      <c r="A199" s="27" t="s">
        <v>276</v>
      </c>
      <c r="B199">
        <v>0.23494783318199999</v>
      </c>
      <c r="C199" s="8">
        <v>0</v>
      </c>
      <c r="D199">
        <v>0.190184673182</v>
      </c>
      <c r="E199">
        <v>4.4745350000000003E-2</v>
      </c>
      <c r="F199" s="26">
        <v>0</v>
      </c>
      <c r="G199">
        <v>1.7810000000000001E-5</v>
      </c>
      <c r="H199" s="17">
        <v>53</v>
      </c>
      <c r="I199" s="8">
        <v>5.0999999999999996</v>
      </c>
      <c r="J199" s="18" t="s">
        <v>78</v>
      </c>
      <c r="K199" s="24" t="s">
        <v>78</v>
      </c>
      <c r="L199" s="24" t="s">
        <v>78</v>
      </c>
      <c r="M199" s="24" t="s">
        <v>78</v>
      </c>
      <c r="N199" s="17">
        <v>85.495999999999995</v>
      </c>
      <c r="O199" s="23">
        <v>67.58</v>
      </c>
      <c r="P199" s="8">
        <v>1.6</v>
      </c>
      <c r="Q199" s="13">
        <v>1320.94</v>
      </c>
      <c r="R199" s="8">
        <v>792888.38</v>
      </c>
      <c r="S199" s="26">
        <v>5.4</v>
      </c>
      <c r="T199" s="26">
        <v>67.7</v>
      </c>
      <c r="U199" s="24" t="s">
        <v>78</v>
      </c>
      <c r="V199" s="18" t="s">
        <v>78</v>
      </c>
      <c r="W199" s="21">
        <v>569668</v>
      </c>
      <c r="X199" s="28" t="s">
        <v>78</v>
      </c>
      <c r="Y199" s="28" t="s">
        <v>78</v>
      </c>
      <c r="Z199" s="8">
        <v>4</v>
      </c>
      <c r="AA199" s="8">
        <v>15.4</v>
      </c>
      <c r="AB199" s="8">
        <v>7302.93</v>
      </c>
      <c r="AC199" s="8">
        <f>1.49*1000</f>
        <v>1490</v>
      </c>
      <c r="AD199" s="8">
        <v>85.32</v>
      </c>
      <c r="AE199" s="41" t="s">
        <v>78</v>
      </c>
      <c r="AF199" s="26">
        <v>12.6</v>
      </c>
      <c r="AG199" s="26"/>
      <c r="AH199" s="24" t="s">
        <v>78</v>
      </c>
      <c r="AI199" s="26">
        <v>41</v>
      </c>
      <c r="AJ199" s="8">
        <v>10</v>
      </c>
      <c r="AK199" s="8">
        <v>2</v>
      </c>
      <c r="AL199" s="26">
        <v>74766</v>
      </c>
      <c r="AM199" s="8">
        <v>32.5</v>
      </c>
      <c r="AN199" s="17">
        <v>18.526</v>
      </c>
      <c r="AO199" s="8">
        <v>59.420549880312699</v>
      </c>
      <c r="AP199">
        <v>96.123313903808594</v>
      </c>
      <c r="AQ199" s="8">
        <v>39.9</v>
      </c>
      <c r="AR199" s="8">
        <v>18.3</v>
      </c>
      <c r="AS199" s="8">
        <v>32.799999999999997</v>
      </c>
      <c r="AT199" s="8">
        <v>1.839</v>
      </c>
    </row>
    <row r="200" spans="1:46">
      <c r="A200" s="4" t="s">
        <v>277</v>
      </c>
      <c r="B200">
        <v>0.46602004985129403</v>
      </c>
      <c r="C200" s="8">
        <v>0</v>
      </c>
      <c r="D200">
        <v>5.3182412369999999E-3</v>
      </c>
      <c r="E200">
        <v>4.9405824908925098E-4</v>
      </c>
      <c r="F200">
        <v>0.32436564012000002</v>
      </c>
      <c r="G200">
        <v>0.13584211024520501</v>
      </c>
      <c r="H200" s="18" t="s">
        <v>77</v>
      </c>
      <c r="I200" s="18" t="s">
        <v>78</v>
      </c>
      <c r="J200" s="8">
        <v>64.8</v>
      </c>
      <c r="K200" s="8">
        <v>90</v>
      </c>
      <c r="L200" s="24" t="s">
        <v>78</v>
      </c>
      <c r="M200" s="24" t="s">
        <v>78</v>
      </c>
      <c r="N200" s="18" t="s">
        <v>77</v>
      </c>
      <c r="O200" s="24" t="s">
        <v>78</v>
      </c>
      <c r="P200" s="8"/>
      <c r="Q200" s="13"/>
      <c r="R200" s="9"/>
      <c r="S200" s="24" t="s">
        <v>78</v>
      </c>
      <c r="T200" s="24" t="s">
        <v>78</v>
      </c>
      <c r="U200" s="24" t="s">
        <v>78</v>
      </c>
      <c r="V200" s="29">
        <v>2</v>
      </c>
      <c r="W200" s="18" t="s">
        <v>78</v>
      </c>
      <c r="X200" s="26">
        <v>80</v>
      </c>
      <c r="Y200" s="26">
        <v>86.7</v>
      </c>
      <c r="Z200" s="8">
        <v>2.2000000000000002</v>
      </c>
      <c r="AA200" s="8">
        <v>22.1</v>
      </c>
      <c r="AB200" s="9"/>
      <c r="AC200" s="49">
        <f>36.83*1000</f>
        <v>36830</v>
      </c>
      <c r="AD200" s="9"/>
      <c r="AE200" s="8">
        <v>84.2</v>
      </c>
      <c r="AF200" s="24" t="s">
        <v>78</v>
      </c>
      <c r="AG200" s="8"/>
      <c r="AH200" s="8">
        <v>9.1999999999999998E-2</v>
      </c>
      <c r="AI200" s="8">
        <v>68</v>
      </c>
      <c r="AJ200" s="8">
        <v>20</v>
      </c>
      <c r="AK200" s="8">
        <v>9</v>
      </c>
      <c r="AL200" s="8">
        <v>5778424</v>
      </c>
      <c r="AM200" s="8">
        <v>46.2</v>
      </c>
      <c r="AN200" s="24" t="s">
        <v>78</v>
      </c>
      <c r="AO200" s="24" t="s">
        <v>78</v>
      </c>
      <c r="AP200" s="24" t="s">
        <v>78</v>
      </c>
      <c r="AQ200" s="8">
        <v>46.4</v>
      </c>
      <c r="AR200" s="8">
        <v>59.2</v>
      </c>
      <c r="AS200">
        <v>38.1</v>
      </c>
      <c r="AT200">
        <v>1.6180000000000001</v>
      </c>
    </row>
    <row r="201" spans="1:46">
      <c r="A201" s="22" t="s">
        <v>278</v>
      </c>
      <c r="B201">
        <v>9.3161498831971001E-2</v>
      </c>
      <c r="C201">
        <v>1.8330869831970999E-2</v>
      </c>
      <c r="D201">
        <v>5.0979477000000002E-2</v>
      </c>
      <c r="E201" s="8">
        <v>0</v>
      </c>
      <c r="F201" s="8">
        <v>0</v>
      </c>
      <c r="G201">
        <v>2.3851152E-2</v>
      </c>
      <c r="H201" s="17">
        <v>46</v>
      </c>
      <c r="I201" s="8">
        <v>2.6</v>
      </c>
      <c r="J201" s="8">
        <v>52.3</v>
      </c>
      <c r="K201" s="8">
        <v>30</v>
      </c>
      <c r="L201" s="29">
        <v>50</v>
      </c>
      <c r="M201" s="8">
        <v>17</v>
      </c>
      <c r="N201" s="17">
        <v>60.716999999999999</v>
      </c>
      <c r="O201" s="23">
        <v>75.180000000000007</v>
      </c>
      <c r="P201" s="8">
        <v>3</v>
      </c>
      <c r="Q201" s="13">
        <v>63588.33</v>
      </c>
      <c r="R201" s="8">
        <v>-625517.36</v>
      </c>
      <c r="S201" s="8">
        <v>6.4</v>
      </c>
      <c r="T201" s="8">
        <v>66.2</v>
      </c>
      <c r="U201" s="17">
        <v>0.54300000000000004</v>
      </c>
      <c r="V201" s="17">
        <v>4</v>
      </c>
      <c r="W201" s="21">
        <v>29862778</v>
      </c>
      <c r="X201" s="8">
        <v>28</v>
      </c>
      <c r="Y201" s="8">
        <v>44.9</v>
      </c>
      <c r="Z201" s="8">
        <v>5.3</v>
      </c>
      <c r="AA201" s="8">
        <v>38.1</v>
      </c>
      <c r="AB201" s="8">
        <v>175034.87</v>
      </c>
      <c r="AC201" s="8">
        <f>1.34*1000</f>
        <v>1340</v>
      </c>
      <c r="AD201" s="8">
        <v>921.83</v>
      </c>
      <c r="AE201" s="8">
        <v>23.3</v>
      </c>
      <c r="AF201" s="8">
        <v>9.1999999999999993</v>
      </c>
      <c r="AG201" s="8"/>
      <c r="AH201" s="8">
        <v>9.8000000000000004E-2</v>
      </c>
      <c r="AI201" s="8">
        <v>39</v>
      </c>
      <c r="AJ201" s="8">
        <v>30</v>
      </c>
      <c r="AK201" s="8">
        <v>34</v>
      </c>
      <c r="AL201" s="8">
        <v>3081312</v>
      </c>
      <c r="AM201" s="8">
        <v>33.200000000000003</v>
      </c>
      <c r="AN201" s="17">
        <v>28.512</v>
      </c>
      <c r="AO201" s="8">
        <v>53.274958422405</v>
      </c>
      <c r="AP201">
        <v>39.900001525878899</v>
      </c>
      <c r="AQ201" s="8">
        <v>45.2</v>
      </c>
      <c r="AR201" s="8">
        <v>10.4</v>
      </c>
      <c r="AS201" s="8">
        <v>25.3</v>
      </c>
      <c r="AT201" s="8">
        <v>2.0009999999999999</v>
      </c>
    </row>
    <row r="202" spans="1:46">
      <c r="A202" s="22" t="s">
        <v>279</v>
      </c>
      <c r="B202">
        <v>2.7646371888446502</v>
      </c>
      <c r="C202">
        <v>0.14913655572579801</v>
      </c>
      <c r="D202">
        <v>1.3535412946480001</v>
      </c>
      <c r="E202">
        <v>0.86769166216585203</v>
      </c>
      <c r="F202" s="31" t="s">
        <v>254</v>
      </c>
      <c r="G202">
        <v>0.39426767630499998</v>
      </c>
      <c r="H202" s="17">
        <v>83</v>
      </c>
      <c r="I202" s="8">
        <v>1.4</v>
      </c>
      <c r="J202" s="8">
        <v>53.3</v>
      </c>
      <c r="K202" s="8">
        <v>65</v>
      </c>
      <c r="L202" s="8">
        <v>45</v>
      </c>
      <c r="M202" s="8">
        <v>67</v>
      </c>
      <c r="N202" s="17">
        <v>100</v>
      </c>
      <c r="O202" s="23">
        <v>0.01</v>
      </c>
      <c r="P202" s="8">
        <v>0.2</v>
      </c>
      <c r="Q202" s="35">
        <v>71601.100000000006</v>
      </c>
      <c r="R202" s="8">
        <v>222212.52</v>
      </c>
      <c r="S202" s="8">
        <v>8.6999999999999993</v>
      </c>
      <c r="T202" s="8">
        <v>78.7</v>
      </c>
      <c r="U202" s="17">
        <v>0.51400000000000001</v>
      </c>
      <c r="V202" s="17">
        <v>5</v>
      </c>
      <c r="W202" s="21">
        <v>40213210</v>
      </c>
      <c r="X202" s="8">
        <v>44</v>
      </c>
      <c r="Y202" s="8">
        <v>68</v>
      </c>
      <c r="Z202" s="8">
        <v>2.8</v>
      </c>
      <c r="AA202" s="8">
        <v>61.4</v>
      </c>
      <c r="AB202" s="34">
        <v>1343290.77</v>
      </c>
      <c r="AC202" s="34">
        <f>8.27*1000</f>
        <v>8270</v>
      </c>
      <c r="AD202" s="34">
        <v>12156.21</v>
      </c>
      <c r="AE202" s="8">
        <v>78.3</v>
      </c>
      <c r="AF202" s="8">
        <v>15.9</v>
      </c>
      <c r="AG202" s="8">
        <v>42</v>
      </c>
      <c r="AH202" s="8">
        <v>0.109</v>
      </c>
      <c r="AI202" s="8">
        <v>35</v>
      </c>
      <c r="AJ202" s="8">
        <v>20</v>
      </c>
      <c r="AK202" s="8">
        <v>83</v>
      </c>
      <c r="AL202" s="8">
        <v>16051239</v>
      </c>
      <c r="AM202" s="8">
        <v>34.299999999999997</v>
      </c>
      <c r="AN202" s="17">
        <v>24.192</v>
      </c>
      <c r="AO202" s="8">
        <v>69.688046565427896</v>
      </c>
      <c r="AP202" s="17">
        <v>100</v>
      </c>
      <c r="AQ202" s="8">
        <v>37.299999999999997</v>
      </c>
      <c r="AR202" s="8">
        <v>28.5</v>
      </c>
      <c r="AS202" s="8">
        <v>36</v>
      </c>
      <c r="AT202" s="8">
        <v>2.0979999999999999</v>
      </c>
    </row>
    <row r="203" spans="1:46">
      <c r="A203" s="4" t="s">
        <v>280</v>
      </c>
      <c r="B203">
        <v>2.2121800999999998E-3</v>
      </c>
      <c r="C203" s="8">
        <v>0</v>
      </c>
      <c r="D203" s="8">
        <v>0</v>
      </c>
      <c r="E203" s="8">
        <v>0</v>
      </c>
      <c r="F203" s="8">
        <v>0</v>
      </c>
      <c r="G203">
        <v>2.2121800999999998E-3</v>
      </c>
      <c r="H203" s="17">
        <v>44</v>
      </c>
      <c r="I203" s="8">
        <v>4</v>
      </c>
      <c r="J203" s="18" t="s">
        <v>78</v>
      </c>
      <c r="K203" s="8">
        <v>30</v>
      </c>
      <c r="L203" s="29">
        <v>35</v>
      </c>
      <c r="M203" s="8">
        <v>30</v>
      </c>
      <c r="N203" s="17">
        <v>68.584000000000003</v>
      </c>
      <c r="O203" s="23">
        <v>69.28</v>
      </c>
      <c r="P203" s="8">
        <v>2.4</v>
      </c>
      <c r="Q203" s="13">
        <v>8644.83</v>
      </c>
      <c r="R203" s="8">
        <v>-667629.63</v>
      </c>
      <c r="S203" s="8">
        <v>5</v>
      </c>
      <c r="T203" s="8">
        <v>61.6</v>
      </c>
      <c r="U203" s="17">
        <v>0.53800000000000003</v>
      </c>
      <c r="V203" s="17">
        <v>2</v>
      </c>
      <c r="W203" s="21">
        <v>2965417</v>
      </c>
      <c r="X203" s="18" t="s">
        <v>78</v>
      </c>
      <c r="Y203" s="18" t="s">
        <v>78</v>
      </c>
      <c r="Z203" s="8">
        <v>2.1</v>
      </c>
      <c r="AA203" s="8">
        <v>65.400000000000006</v>
      </c>
      <c r="AB203" s="8">
        <v>20179.62</v>
      </c>
      <c r="AC203" s="8">
        <f>1.01*1000</f>
        <v>1010</v>
      </c>
      <c r="AD203" s="8">
        <v>129.88999999999999</v>
      </c>
      <c r="AE203" s="18" t="s">
        <v>78</v>
      </c>
      <c r="AF203" s="8">
        <v>13</v>
      </c>
      <c r="AG203" s="8"/>
      <c r="AH203" s="8">
        <v>0.188</v>
      </c>
      <c r="AI203" s="8">
        <v>30</v>
      </c>
      <c r="AJ203" s="8">
        <v>27</v>
      </c>
      <c r="AK203" s="8">
        <v>24</v>
      </c>
      <c r="AL203" s="8">
        <v>8351</v>
      </c>
      <c r="AM203" s="8">
        <v>21</v>
      </c>
      <c r="AN203" s="17">
        <v>41.082000000000001</v>
      </c>
      <c r="AO203" s="8">
        <v>56.655678209482197</v>
      </c>
      <c r="AP203">
        <v>53.997432708740199</v>
      </c>
      <c r="AQ203" s="8">
        <v>41.1</v>
      </c>
      <c r="AR203" s="8">
        <v>10.3</v>
      </c>
      <c r="AS203" s="8">
        <v>34.4</v>
      </c>
      <c r="AT203" s="8">
        <v>2.0939999999999999</v>
      </c>
    </row>
    <row r="204" spans="1:46">
      <c r="A204" s="4" t="s">
        <v>281</v>
      </c>
      <c r="B204">
        <v>7.1240000000000002E-5</v>
      </c>
      <c r="C204" s="8">
        <v>0</v>
      </c>
      <c r="D204" s="8">
        <v>0</v>
      </c>
      <c r="E204" s="8">
        <v>0</v>
      </c>
      <c r="F204" s="8">
        <v>0</v>
      </c>
      <c r="G204">
        <v>7.1240000000000002E-5</v>
      </c>
      <c r="H204" s="17">
        <v>56</v>
      </c>
      <c r="I204" s="18" t="s">
        <v>78</v>
      </c>
      <c r="J204" s="18" t="s">
        <v>78</v>
      </c>
      <c r="K204" s="24" t="s">
        <v>78</v>
      </c>
      <c r="L204" s="24" t="s">
        <v>78</v>
      </c>
      <c r="M204" s="24" t="s">
        <v>78</v>
      </c>
      <c r="N204" s="17">
        <v>98.731000000000009</v>
      </c>
      <c r="O204" s="23">
        <v>5</v>
      </c>
      <c r="P204" s="8">
        <v>0.7</v>
      </c>
      <c r="Q204" s="13">
        <v>106.02</v>
      </c>
      <c r="R204" s="8">
        <v>-226930.49</v>
      </c>
      <c r="S204" s="8">
        <v>11.4</v>
      </c>
      <c r="T204" s="8">
        <v>71</v>
      </c>
      <c r="U204" s="24" t="s">
        <v>78</v>
      </c>
      <c r="V204" s="18" t="s">
        <v>78</v>
      </c>
      <c r="W204" s="21">
        <v>31967</v>
      </c>
      <c r="X204" s="18" t="s">
        <v>78</v>
      </c>
      <c r="Y204" s="18" t="s">
        <v>78</v>
      </c>
      <c r="Z204" s="8">
        <v>8.9</v>
      </c>
      <c r="AA204" s="8">
        <v>45.3</v>
      </c>
      <c r="AB204" s="8">
        <v>715.46</v>
      </c>
      <c r="AC204" s="8">
        <f>5.37*1000</f>
        <v>5370</v>
      </c>
      <c r="AD204" s="8">
        <v>0.26</v>
      </c>
      <c r="AE204" s="18" t="s">
        <v>78</v>
      </c>
      <c r="AF204" s="8">
        <v>16</v>
      </c>
      <c r="AG204" s="8"/>
      <c r="AH204" s="24" t="s">
        <v>78</v>
      </c>
      <c r="AI204" s="24" t="s">
        <v>78</v>
      </c>
      <c r="AJ204" s="8">
        <v>25</v>
      </c>
      <c r="AK204" s="8">
        <v>0</v>
      </c>
      <c r="AL204" s="8" t="s">
        <v>78</v>
      </c>
      <c r="AM204" s="8">
        <v>41.9</v>
      </c>
      <c r="AN204" s="17">
        <v>10.117000000000001</v>
      </c>
      <c r="AO204" s="8">
        <v>59.178244998443603</v>
      </c>
      <c r="AP204" s="24" t="s">
        <v>78</v>
      </c>
      <c r="AQ204" s="8">
        <v>40.9</v>
      </c>
      <c r="AR204" s="8">
        <v>31.7</v>
      </c>
      <c r="AS204" s="8">
        <v>46</v>
      </c>
      <c r="AT204" s="24" t="s">
        <v>78</v>
      </c>
    </row>
    <row r="205" spans="1:46">
      <c r="A205" s="4" t="s">
        <v>282</v>
      </c>
      <c r="B205">
        <v>1.4818471594334399</v>
      </c>
      <c r="C205" s="8">
        <v>0</v>
      </c>
      <c r="D205">
        <v>1.3153908407199699</v>
      </c>
      <c r="E205">
        <v>0.16640288871346601</v>
      </c>
      <c r="F205" s="8">
        <v>0</v>
      </c>
      <c r="G205" s="38">
        <v>5.3430000000000002E-5</v>
      </c>
      <c r="H205" s="17">
        <v>73</v>
      </c>
      <c r="I205" s="8">
        <v>4.8</v>
      </c>
      <c r="J205" s="8">
        <v>47.2</v>
      </c>
      <c r="K205" s="8">
        <v>50</v>
      </c>
      <c r="L205" s="24" t="s">
        <v>78</v>
      </c>
      <c r="M205" s="24" t="s">
        <v>78</v>
      </c>
      <c r="N205" s="17">
        <v>98.875</v>
      </c>
      <c r="O205" s="23">
        <v>1.37</v>
      </c>
      <c r="P205" s="8">
        <v>0.5</v>
      </c>
      <c r="Q205" s="13">
        <v>1525.66</v>
      </c>
      <c r="R205" s="8">
        <v>2875442.46</v>
      </c>
      <c r="S205" s="8">
        <v>11.6</v>
      </c>
      <c r="T205" s="8">
        <v>73</v>
      </c>
      <c r="U205" s="17">
        <v>0.69500000000000006</v>
      </c>
      <c r="V205" s="17">
        <v>4</v>
      </c>
      <c r="W205" s="21">
        <v>702940</v>
      </c>
      <c r="X205" s="8">
        <v>34</v>
      </c>
      <c r="Y205" s="8">
        <v>58</v>
      </c>
      <c r="Z205" s="8">
        <v>4.5999999999999996</v>
      </c>
      <c r="AA205" s="8">
        <v>54.4</v>
      </c>
      <c r="AB205" s="8">
        <v>38612.230000000003</v>
      </c>
      <c r="AC205" s="8">
        <f>20.64*1000</f>
        <v>20640</v>
      </c>
      <c r="AD205" s="8">
        <v>-77.58</v>
      </c>
      <c r="AE205" s="8">
        <v>50.3</v>
      </c>
      <c r="AF205" s="8">
        <v>14.5</v>
      </c>
      <c r="AG205" s="8"/>
      <c r="AH205" s="8">
        <v>5.1999999999999998E-2</v>
      </c>
      <c r="AI205" s="8">
        <v>41</v>
      </c>
      <c r="AJ205" s="8">
        <v>30</v>
      </c>
      <c r="AK205" s="8">
        <v>0</v>
      </c>
      <c r="AL205" s="8" t="s">
        <v>78</v>
      </c>
      <c r="AM205" s="8">
        <v>54.3</v>
      </c>
      <c r="AN205" s="17">
        <v>22.905000000000001</v>
      </c>
      <c r="AO205" s="8">
        <v>69.600003408354297</v>
      </c>
      <c r="AP205" s="17">
        <v>100</v>
      </c>
      <c r="AQ205" s="8">
        <v>44</v>
      </c>
      <c r="AR205" s="8">
        <v>13.3</v>
      </c>
      <c r="AS205" s="8">
        <v>49.3</v>
      </c>
      <c r="AT205" s="8">
        <v>2.0049999999999999</v>
      </c>
    </row>
    <row r="206" spans="1:46">
      <c r="A206" s="22" t="s">
        <v>283</v>
      </c>
      <c r="B206">
        <v>0.12605141498893299</v>
      </c>
      <c r="C206" s="8">
        <v>0</v>
      </c>
      <c r="D206">
        <v>4.2114178277400001E-2</v>
      </c>
      <c r="E206">
        <v>7.6716172211532999E-2</v>
      </c>
      <c r="F206" s="8">
        <v>0</v>
      </c>
      <c r="G206">
        <v>7.2210644999999999E-3</v>
      </c>
      <c r="H206" s="17">
        <v>70</v>
      </c>
      <c r="I206" s="8">
        <v>16.8</v>
      </c>
      <c r="J206" s="8">
        <v>51.9</v>
      </c>
      <c r="K206" s="8">
        <v>23</v>
      </c>
      <c r="L206" s="29">
        <v>77</v>
      </c>
      <c r="M206" s="8">
        <v>66</v>
      </c>
      <c r="N206" s="17">
        <v>97.543000000000006</v>
      </c>
      <c r="O206" s="23">
        <v>2.82</v>
      </c>
      <c r="P206" s="8">
        <v>0.8</v>
      </c>
      <c r="Q206" s="13">
        <v>12262.95</v>
      </c>
      <c r="R206" s="8">
        <v>-4525657.8499999996</v>
      </c>
      <c r="S206" s="8">
        <v>7.4</v>
      </c>
      <c r="T206" s="8">
        <v>73.8</v>
      </c>
      <c r="U206" s="17">
        <v>0.505</v>
      </c>
      <c r="V206" s="17">
        <v>5</v>
      </c>
      <c r="W206" s="21">
        <v>4226277</v>
      </c>
      <c r="X206" s="8">
        <v>33</v>
      </c>
      <c r="Y206" s="8">
        <v>62.7</v>
      </c>
      <c r="Z206" s="8">
        <v>8.5</v>
      </c>
      <c r="AA206" s="8">
        <v>89.2</v>
      </c>
      <c r="AB206" s="8">
        <v>138356.5</v>
      </c>
      <c r="AC206" s="8">
        <f>3.76*1000</f>
        <v>3760</v>
      </c>
      <c r="AD206" s="8">
        <v>660.23</v>
      </c>
      <c r="AE206" s="8">
        <v>40.799999999999997</v>
      </c>
      <c r="AF206" s="8">
        <v>15.4</v>
      </c>
      <c r="AG206" s="8"/>
      <c r="AH206" s="8">
        <v>6.7000000000000004E-2</v>
      </c>
      <c r="AI206" s="8">
        <v>44</v>
      </c>
      <c r="AJ206" s="8">
        <v>15</v>
      </c>
      <c r="AK206" s="8">
        <v>1</v>
      </c>
      <c r="AL206" s="8" t="s">
        <v>78</v>
      </c>
      <c r="AM206" s="8">
        <v>43.3</v>
      </c>
      <c r="AN206" s="17">
        <v>40.26</v>
      </c>
      <c r="AO206" s="8">
        <v>66.283623853517696</v>
      </c>
      <c r="AP206" s="17">
        <v>100</v>
      </c>
      <c r="AQ206" s="8">
        <v>32.700000000000003</v>
      </c>
      <c r="AR206" s="8">
        <v>26.2</v>
      </c>
      <c r="AS206" s="8">
        <v>48.3</v>
      </c>
      <c r="AT206" s="8">
        <v>1.996</v>
      </c>
    </row>
    <row r="207" spans="1:46">
      <c r="A207" s="22" t="s">
        <v>284</v>
      </c>
      <c r="B207">
        <v>2.0904842285363299</v>
      </c>
      <c r="C207">
        <v>0.77263872615143903</v>
      </c>
      <c r="D207">
        <v>1.7031130411287801E-2</v>
      </c>
      <c r="E207">
        <v>0.12544472258360601</v>
      </c>
      <c r="F207" s="8">
        <v>0</v>
      </c>
      <c r="G207" s="38">
        <v>1.1753696499999999</v>
      </c>
      <c r="H207" s="17">
        <v>79</v>
      </c>
      <c r="I207" s="8">
        <v>13.4</v>
      </c>
      <c r="J207" s="8">
        <v>54.7</v>
      </c>
      <c r="K207" s="8">
        <v>30</v>
      </c>
      <c r="L207" s="29">
        <v>78</v>
      </c>
      <c r="M207" s="8">
        <v>57</v>
      </c>
      <c r="N207" s="17">
        <v>97.013999999999996</v>
      </c>
      <c r="O207" s="23">
        <v>0.57000000000000006</v>
      </c>
      <c r="P207" s="8">
        <v>0.8</v>
      </c>
      <c r="Q207" s="13">
        <v>84775.4</v>
      </c>
      <c r="R207" s="8">
        <v>2499000</v>
      </c>
      <c r="S207" s="8">
        <v>8.6</v>
      </c>
      <c r="T207" s="8">
        <v>76</v>
      </c>
      <c r="U207" s="17">
        <v>0.44</v>
      </c>
      <c r="V207" s="17">
        <v>5</v>
      </c>
      <c r="W207" s="21">
        <v>32554211</v>
      </c>
      <c r="X207" s="8">
        <v>45</v>
      </c>
      <c r="Y207" s="8">
        <v>74.3</v>
      </c>
      <c r="Z207" s="8">
        <v>51.2</v>
      </c>
      <c r="AA207" s="8">
        <v>37.700000000000003</v>
      </c>
      <c r="AB207" s="8">
        <v>2605742.0800000001</v>
      </c>
      <c r="AC207" s="8">
        <f>10.86*1000</f>
        <v>10860</v>
      </c>
      <c r="AD207" s="8">
        <v>13842</v>
      </c>
      <c r="AE207" s="8">
        <v>39.4</v>
      </c>
      <c r="AF207" s="8">
        <v>18.3</v>
      </c>
      <c r="AG207" s="8"/>
      <c r="AH207" s="8">
        <v>6.9000000000000006E-2</v>
      </c>
      <c r="AI207" s="8">
        <v>38</v>
      </c>
      <c r="AJ207" s="8">
        <v>23</v>
      </c>
      <c r="AK207" s="8">
        <v>500</v>
      </c>
      <c r="AL207" s="8">
        <v>91195856</v>
      </c>
      <c r="AM207" s="8">
        <v>44.6</v>
      </c>
      <c r="AN207" s="17">
        <v>45.212000000000003</v>
      </c>
      <c r="AO207" s="8">
        <v>68.140742615279905</v>
      </c>
      <c r="AP207" s="17">
        <v>100</v>
      </c>
      <c r="AQ207" s="8">
        <v>20.3</v>
      </c>
      <c r="AR207" s="8">
        <v>40.6</v>
      </c>
      <c r="AS207" s="8">
        <v>21.5</v>
      </c>
      <c r="AT207" s="8">
        <v>2.7850000000000001</v>
      </c>
    </row>
    <row r="208" spans="1:46">
      <c r="A208" s="4" t="s">
        <v>285</v>
      </c>
      <c r="B208">
        <v>3.5968750727094601</v>
      </c>
      <c r="C208" s="8">
        <v>0</v>
      </c>
      <c r="D208">
        <v>3.0919164379290298</v>
      </c>
      <c r="E208">
        <v>0.50493054841043405</v>
      </c>
      <c r="F208" s="8">
        <v>0</v>
      </c>
      <c r="G208">
        <v>2.8086370000000001E-5</v>
      </c>
      <c r="H208" s="17">
        <v>73</v>
      </c>
      <c r="I208" s="8">
        <v>5.0999999999999996</v>
      </c>
      <c r="J208" s="18" t="s">
        <v>78</v>
      </c>
      <c r="K208" s="24" t="s">
        <v>78</v>
      </c>
      <c r="L208" s="29">
        <v>10</v>
      </c>
      <c r="M208" s="8">
        <v>14</v>
      </c>
      <c r="N208" s="17">
        <v>100</v>
      </c>
      <c r="O208" s="23">
        <v>8.75</v>
      </c>
      <c r="P208" s="8">
        <v>1.5</v>
      </c>
      <c r="Q208" s="13">
        <v>6341.85</v>
      </c>
      <c r="R208" s="24" t="s">
        <v>78</v>
      </c>
      <c r="S208" s="8">
        <v>11.3</v>
      </c>
      <c r="T208" s="8">
        <v>69.3</v>
      </c>
      <c r="U208" s="24" t="s">
        <v>78</v>
      </c>
      <c r="V208" s="18" t="s">
        <v>78</v>
      </c>
      <c r="W208" s="21">
        <v>1997597</v>
      </c>
      <c r="X208" s="18" t="s">
        <v>78</v>
      </c>
      <c r="Y208" s="18" t="s">
        <v>78</v>
      </c>
      <c r="Z208" s="8">
        <v>10.5</v>
      </c>
      <c r="AA208" s="8">
        <v>6.8</v>
      </c>
      <c r="AB208" s="8">
        <v>96227.53</v>
      </c>
      <c r="AC208" s="8">
        <f>13.02*1000</f>
        <v>13020</v>
      </c>
      <c r="AD208" s="8">
        <v>1452.5</v>
      </c>
      <c r="AE208" s="18" t="s">
        <v>78</v>
      </c>
      <c r="AF208" s="8">
        <v>13.2</v>
      </c>
      <c r="AG208" s="8"/>
      <c r="AH208" s="24" t="s">
        <v>78</v>
      </c>
      <c r="AI208" s="8">
        <v>19</v>
      </c>
      <c r="AJ208" s="8">
        <v>8</v>
      </c>
      <c r="AK208" s="8">
        <v>1</v>
      </c>
      <c r="AL208" s="8">
        <v>87408</v>
      </c>
      <c r="AM208" s="8">
        <v>38.700000000000003</v>
      </c>
      <c r="AN208" s="17">
        <v>19.916</v>
      </c>
      <c r="AO208" s="8">
        <v>63.869049355433098</v>
      </c>
      <c r="AP208" s="17">
        <v>100</v>
      </c>
      <c r="AQ208" s="8">
        <v>40.700000000000003</v>
      </c>
      <c r="AR208" s="8">
        <v>48.5</v>
      </c>
      <c r="AS208" s="8">
        <v>30.2</v>
      </c>
      <c r="AT208" s="8">
        <v>2.1160000000000001</v>
      </c>
    </row>
    <row r="209" spans="1:46">
      <c r="A209" s="4" t="s">
        <v>286</v>
      </c>
      <c r="B209">
        <v>8.9050000000000003E-6</v>
      </c>
      <c r="C209" s="8">
        <v>0</v>
      </c>
      <c r="D209" s="8">
        <v>0</v>
      </c>
      <c r="E209" s="8">
        <v>0</v>
      </c>
      <c r="F209" s="8">
        <v>0</v>
      </c>
      <c r="G209" s="38">
        <v>8.9050000000000003E-6</v>
      </c>
      <c r="H209" s="18" t="s">
        <v>78</v>
      </c>
      <c r="I209" s="18" t="s">
        <v>78</v>
      </c>
      <c r="J209" s="18" t="s">
        <v>78</v>
      </c>
      <c r="K209" s="24" t="s">
        <v>78</v>
      </c>
      <c r="L209" s="24" t="s">
        <v>78</v>
      </c>
      <c r="M209" s="24" t="s">
        <v>78</v>
      </c>
      <c r="N209" s="18" t="s">
        <v>77</v>
      </c>
      <c r="O209" s="24" t="s">
        <v>78</v>
      </c>
      <c r="P209" s="8">
        <v>1.9</v>
      </c>
      <c r="Q209" s="13">
        <v>45.11</v>
      </c>
      <c r="R209" s="8">
        <v>282605.28000000003</v>
      </c>
      <c r="S209" s="24" t="s">
        <v>78</v>
      </c>
      <c r="T209" s="24" t="s">
        <v>78</v>
      </c>
      <c r="U209" s="24" t="s">
        <v>78</v>
      </c>
      <c r="V209" s="18" t="s">
        <v>78</v>
      </c>
      <c r="W209" s="18" t="s">
        <v>78</v>
      </c>
      <c r="X209" s="18" t="s">
        <v>78</v>
      </c>
      <c r="Y209" s="18" t="s">
        <v>78</v>
      </c>
      <c r="Z209" s="24" t="s">
        <v>78</v>
      </c>
      <c r="AA209" s="24" t="s">
        <v>78</v>
      </c>
      <c r="AB209" s="8">
        <v>917.51</v>
      </c>
      <c r="AC209" s="18" t="s">
        <v>78</v>
      </c>
      <c r="AD209" s="8">
        <v>28.69</v>
      </c>
      <c r="AE209" s="18" t="s">
        <v>78</v>
      </c>
      <c r="AF209" s="24" t="s">
        <v>78</v>
      </c>
      <c r="AG209" s="8"/>
      <c r="AH209" s="24" t="s">
        <v>78</v>
      </c>
      <c r="AI209" s="24" t="s">
        <v>78</v>
      </c>
      <c r="AJ209" s="8">
        <v>0</v>
      </c>
      <c r="AK209" s="8">
        <v>0</v>
      </c>
      <c r="AL209" s="8" t="s">
        <v>78</v>
      </c>
      <c r="AM209" s="24" t="s">
        <v>78</v>
      </c>
      <c r="AN209" s="24" t="s">
        <v>78</v>
      </c>
      <c r="AO209" s="8">
        <v>73.105909473777601</v>
      </c>
      <c r="AP209">
        <v>99.400001525878906</v>
      </c>
      <c r="AQ209" s="24" t="s">
        <v>78</v>
      </c>
      <c r="AR209" s="24" t="s">
        <v>78</v>
      </c>
      <c r="AS209" s="24" t="s">
        <v>78</v>
      </c>
      <c r="AT209" s="24" t="s">
        <v>78</v>
      </c>
    </row>
    <row r="210" spans="1:46">
      <c r="A210" s="4" t="s">
        <v>287</v>
      </c>
      <c r="B210" s="8">
        <v>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18" t="s">
        <v>78</v>
      </c>
      <c r="I210" s="18" t="s">
        <v>78</v>
      </c>
      <c r="J210" s="18" t="s">
        <v>78</v>
      </c>
      <c r="K210" s="24" t="s">
        <v>78</v>
      </c>
      <c r="L210" s="24" t="s">
        <v>78</v>
      </c>
      <c r="M210" s="24" t="s">
        <v>78</v>
      </c>
      <c r="N210" s="17">
        <v>100</v>
      </c>
      <c r="O210" s="24" t="s">
        <v>78</v>
      </c>
      <c r="P210" s="8">
        <v>1.2</v>
      </c>
      <c r="Q210" s="13">
        <v>11.2</v>
      </c>
      <c r="R210" s="8">
        <v>-48488.18</v>
      </c>
      <c r="S210" s="8">
        <v>10.6</v>
      </c>
      <c r="T210" s="8">
        <v>64.5</v>
      </c>
      <c r="U210" s="24" t="s">
        <v>78</v>
      </c>
      <c r="V210" s="18" t="s">
        <v>78</v>
      </c>
      <c r="W210" s="18" t="s">
        <v>78</v>
      </c>
      <c r="X210" s="18" t="s">
        <v>78</v>
      </c>
      <c r="Y210" s="18" t="s">
        <v>78</v>
      </c>
      <c r="Z210" s="8">
        <v>4</v>
      </c>
      <c r="AA210" s="8">
        <v>3.8</v>
      </c>
      <c r="AB210" s="8">
        <v>60.61</v>
      </c>
      <c r="AC210" s="8">
        <f>6.21*1000</f>
        <v>6210</v>
      </c>
      <c r="AD210" s="8">
        <v>0.2</v>
      </c>
      <c r="AE210" s="18" t="s">
        <v>78</v>
      </c>
      <c r="AF210" s="8">
        <v>9.4</v>
      </c>
      <c r="AG210" s="8"/>
      <c r="AH210" s="24" t="s">
        <v>78</v>
      </c>
      <c r="AI210" s="24" t="s">
        <v>78</v>
      </c>
      <c r="AJ210" s="18" t="s">
        <v>78</v>
      </c>
      <c r="AK210" s="8">
        <v>0</v>
      </c>
      <c r="AL210" s="8" t="s">
        <v>78</v>
      </c>
      <c r="AM210" s="24" t="s">
        <v>78</v>
      </c>
      <c r="AN210" s="17">
        <v>10.250999999999999</v>
      </c>
      <c r="AO210" s="8">
        <v>62.145758022046699</v>
      </c>
      <c r="AP210">
        <v>99.689231872558594</v>
      </c>
      <c r="AQ210" s="24" t="s">
        <v>78</v>
      </c>
      <c r="AR210" s="24" t="s">
        <v>78</v>
      </c>
      <c r="AS210" s="24" t="s">
        <v>78</v>
      </c>
      <c r="AT210" s="24" t="s">
        <v>78</v>
      </c>
    </row>
    <row r="211" spans="1:46">
      <c r="A211" s="22" t="s">
        <v>288</v>
      </c>
      <c r="B211" s="38">
        <v>3.7905109999999999E-2</v>
      </c>
      <c r="C211" s="8">
        <v>0</v>
      </c>
      <c r="D211" s="8">
        <v>0</v>
      </c>
      <c r="E211" s="8">
        <v>0</v>
      </c>
      <c r="F211" s="8">
        <v>0</v>
      </c>
      <c r="G211" s="38">
        <v>3.7905109999999999E-2</v>
      </c>
      <c r="H211" s="17">
        <v>50</v>
      </c>
      <c r="I211" s="8">
        <v>2.9</v>
      </c>
      <c r="J211" s="8">
        <v>53.6</v>
      </c>
      <c r="K211" s="8">
        <v>31</v>
      </c>
      <c r="L211" s="29">
        <v>66</v>
      </c>
      <c r="M211" s="8">
        <v>30</v>
      </c>
      <c r="N211" s="17">
        <v>55.855000000000004</v>
      </c>
      <c r="O211" s="23">
        <v>61.52</v>
      </c>
      <c r="P211" s="8">
        <v>3.2</v>
      </c>
      <c r="Q211" s="13">
        <v>45853.78</v>
      </c>
      <c r="R211" s="8">
        <v>-4527330.82</v>
      </c>
      <c r="S211" s="8">
        <v>5.7</v>
      </c>
      <c r="T211" s="8">
        <v>62.7</v>
      </c>
      <c r="U211" s="17">
        <v>0.39500000000000002</v>
      </c>
      <c r="V211" s="17">
        <v>4</v>
      </c>
      <c r="W211" s="21">
        <v>16994563</v>
      </c>
      <c r="X211" s="8">
        <v>30</v>
      </c>
      <c r="Y211" s="8">
        <v>47.9</v>
      </c>
      <c r="Z211" s="8">
        <v>6.4</v>
      </c>
      <c r="AA211" s="8">
        <v>51.3</v>
      </c>
      <c r="AB211" s="8">
        <v>113162.51</v>
      </c>
      <c r="AC211" s="8">
        <f>1.16*1000</f>
        <v>1160</v>
      </c>
      <c r="AD211" s="8">
        <v>1142.21</v>
      </c>
      <c r="AE211" s="8">
        <v>20.7</v>
      </c>
      <c r="AF211" s="8">
        <v>10.1</v>
      </c>
      <c r="AG211" s="8"/>
      <c r="AH211" s="8">
        <v>0.16400000000000001</v>
      </c>
      <c r="AI211" s="8">
        <v>27</v>
      </c>
      <c r="AJ211" s="8">
        <v>30</v>
      </c>
      <c r="AK211" s="8">
        <v>208</v>
      </c>
      <c r="AL211" s="8">
        <v>14371450</v>
      </c>
      <c r="AM211" s="8">
        <v>27.4</v>
      </c>
      <c r="AN211" s="17">
        <v>52.493000000000002</v>
      </c>
      <c r="AO211" s="8">
        <v>53.131194555004797</v>
      </c>
      <c r="AP211">
        <v>42.074417114257798</v>
      </c>
      <c r="AQ211" s="8">
        <v>49.2</v>
      </c>
      <c r="AR211" s="8">
        <v>13.2</v>
      </c>
      <c r="AS211" s="8">
        <v>26.8</v>
      </c>
      <c r="AT211" s="8">
        <v>2.3090000000000002</v>
      </c>
    </row>
    <row r="212" spans="1:46">
      <c r="A212" s="22" t="s">
        <v>289</v>
      </c>
      <c r="B212">
        <v>5.4670603181236599</v>
      </c>
      <c r="C212">
        <v>7.12302985754249E-2</v>
      </c>
      <c r="D212">
        <v>1.4944113514186499</v>
      </c>
      <c r="E212">
        <v>2.3112207514014802</v>
      </c>
      <c r="F212">
        <v>0.46087080569310002</v>
      </c>
      <c r="G212">
        <v>1.1293271110350001</v>
      </c>
      <c r="H212" s="17">
        <v>88</v>
      </c>
      <c r="I212" s="8">
        <v>4.5</v>
      </c>
      <c r="J212" s="8">
        <v>64.900000000000006</v>
      </c>
      <c r="K212" s="8">
        <v>90</v>
      </c>
      <c r="L212" s="8">
        <v>92</v>
      </c>
      <c r="M212" s="8">
        <v>82</v>
      </c>
      <c r="N212" s="17">
        <v>93.927999999999997</v>
      </c>
      <c r="O212" s="23">
        <v>0.33</v>
      </c>
      <c r="P212" s="8">
        <v>0.4</v>
      </c>
      <c r="Q212" s="13">
        <v>67326.570000000007</v>
      </c>
      <c r="R212" s="8">
        <v>-24233324.66</v>
      </c>
      <c r="S212" s="8">
        <v>13.4</v>
      </c>
      <c r="T212" s="8">
        <v>80.7</v>
      </c>
      <c r="U212" s="17">
        <v>0.65100000000000002</v>
      </c>
      <c r="V212" s="17">
        <v>3</v>
      </c>
      <c r="W212" s="21">
        <v>34637447</v>
      </c>
      <c r="X212" s="8">
        <v>78</v>
      </c>
      <c r="Y212" s="8">
        <v>88.9</v>
      </c>
      <c r="Z212" s="8">
        <v>9</v>
      </c>
      <c r="AA212" s="8">
        <v>79.900000000000006</v>
      </c>
      <c r="AB212" s="8">
        <v>3344467.83</v>
      </c>
      <c r="AC212" s="8">
        <f>51.29*1000</f>
        <v>51290</v>
      </c>
      <c r="AD212" s="8">
        <v>22604.21</v>
      </c>
      <c r="AE212" s="8">
        <v>84.1</v>
      </c>
      <c r="AF212" s="8">
        <v>17.3</v>
      </c>
      <c r="AG212" s="8"/>
      <c r="AH212" s="8">
        <v>0.33600000000000002</v>
      </c>
      <c r="AI212" s="8">
        <v>78</v>
      </c>
      <c r="AJ212" s="8">
        <v>19</v>
      </c>
      <c r="AK212" s="8">
        <v>5</v>
      </c>
      <c r="AL212" s="8">
        <v>104131</v>
      </c>
      <c r="AM212" s="8">
        <v>78.599999999999994</v>
      </c>
      <c r="AN212" s="17">
        <v>19.012</v>
      </c>
      <c r="AO212" s="8">
        <v>63.422691321527502</v>
      </c>
      <c r="AP212" s="17">
        <v>100</v>
      </c>
      <c r="AQ212" s="8">
        <v>62.3</v>
      </c>
      <c r="AR212" s="8">
        <v>62.6</v>
      </c>
      <c r="AS212" s="8">
        <v>91.5</v>
      </c>
      <c r="AT212" s="8">
        <v>1.667</v>
      </c>
    </row>
    <row r="213" spans="1:46">
      <c r="A213" s="4" t="s">
        <v>290</v>
      </c>
      <c r="B213">
        <v>2.34707627609466</v>
      </c>
      <c r="C213">
        <v>0.61354630360996998</v>
      </c>
      <c r="D213">
        <v>0.66500681058900002</v>
      </c>
      <c r="E213">
        <v>0.10505052665169901</v>
      </c>
      <c r="F213">
        <v>0.85342242374400001</v>
      </c>
      <c r="G213">
        <v>0.11005021149999999</v>
      </c>
      <c r="H213" s="17">
        <v>73</v>
      </c>
      <c r="I213" s="8">
        <v>8.9</v>
      </c>
      <c r="J213" s="8">
        <v>63.8</v>
      </c>
      <c r="K213" s="8">
        <v>12</v>
      </c>
      <c r="L213" s="29">
        <v>64</v>
      </c>
      <c r="M213" s="8">
        <v>45</v>
      </c>
      <c r="N213" s="17">
        <v>99.966000000000008</v>
      </c>
      <c r="O213" s="23">
        <v>0.14000000000000001</v>
      </c>
      <c r="P213" s="8">
        <v>-0.8</v>
      </c>
      <c r="Q213" s="13">
        <v>43792.86</v>
      </c>
      <c r="R213" s="8">
        <v>-2671000</v>
      </c>
      <c r="S213" s="8">
        <v>11.1</v>
      </c>
      <c r="T213" s="8">
        <v>71.599999999999994</v>
      </c>
      <c r="U213" s="17">
        <v>0.432</v>
      </c>
      <c r="V213" s="18" t="s">
        <v>78</v>
      </c>
      <c r="W213" s="21">
        <v>20462793</v>
      </c>
      <c r="X213" s="8">
        <v>40</v>
      </c>
      <c r="Y213" s="8">
        <v>70.3</v>
      </c>
      <c r="Z213" s="24" t="s">
        <v>78</v>
      </c>
      <c r="AA213" s="24" t="s">
        <v>78</v>
      </c>
      <c r="AB213" s="8">
        <v>588384.28</v>
      </c>
      <c r="AC213" s="24" t="s">
        <v>78</v>
      </c>
      <c r="AD213" s="8">
        <v>7321</v>
      </c>
      <c r="AE213" s="8">
        <v>30</v>
      </c>
      <c r="AF213" s="8">
        <v>15</v>
      </c>
      <c r="AG213" s="8"/>
      <c r="AH213" s="8">
        <v>3.9E-2</v>
      </c>
      <c r="AI213" s="8">
        <v>32</v>
      </c>
      <c r="AJ213" s="8">
        <v>18</v>
      </c>
      <c r="AK213" s="8">
        <v>0</v>
      </c>
      <c r="AL213" s="8" t="s">
        <v>78</v>
      </c>
      <c r="AM213" s="8">
        <v>35.9</v>
      </c>
      <c r="AN213" s="17">
        <v>41.669000000000004</v>
      </c>
      <c r="AO213" s="8">
        <v>67.378058543550495</v>
      </c>
      <c r="AP213" s="17">
        <v>100</v>
      </c>
      <c r="AQ213" s="8">
        <v>48</v>
      </c>
      <c r="AR213" s="8">
        <v>32</v>
      </c>
      <c r="AS213" s="8">
        <v>54.7</v>
      </c>
      <c r="AT213" s="8">
        <v>2.9710000000000001</v>
      </c>
    </row>
    <row r="214" spans="1:46">
      <c r="A214" s="30" t="s">
        <v>291</v>
      </c>
      <c r="B214">
        <v>10.733760635057999</v>
      </c>
      <c r="C214" s="8">
        <v>0</v>
      </c>
      <c r="D214">
        <v>2.2963587857490002</v>
      </c>
      <c r="E214">
        <v>8.4036162793090092</v>
      </c>
      <c r="F214" s="8">
        <v>0</v>
      </c>
      <c r="G214" s="38">
        <v>3.3785570000000001E-2</v>
      </c>
      <c r="H214" s="17">
        <v>78</v>
      </c>
      <c r="I214" s="8">
        <v>3.4</v>
      </c>
      <c r="J214" s="8">
        <v>72.7</v>
      </c>
      <c r="K214" s="8">
        <v>90</v>
      </c>
      <c r="L214" s="29">
        <v>72</v>
      </c>
      <c r="M214" s="8">
        <v>70</v>
      </c>
      <c r="N214" s="17">
        <v>100</v>
      </c>
      <c r="O214" s="23">
        <v>0.28000000000000003</v>
      </c>
      <c r="P214" s="8">
        <v>0.8</v>
      </c>
      <c r="Q214" s="13">
        <v>9365.15</v>
      </c>
      <c r="R214" s="24" t="s">
        <v>78</v>
      </c>
      <c r="S214" s="8">
        <v>12.7</v>
      </c>
      <c r="T214" s="8">
        <v>78.7</v>
      </c>
      <c r="U214" s="17">
        <v>0.65600000000000003</v>
      </c>
      <c r="V214" s="17">
        <v>5</v>
      </c>
      <c r="W214" s="21">
        <v>6073637</v>
      </c>
      <c r="X214" s="8">
        <v>52</v>
      </c>
      <c r="Y214" s="8">
        <v>88.5</v>
      </c>
      <c r="Z214" s="8">
        <v>3.6</v>
      </c>
      <c r="AA214" s="8">
        <v>29.5</v>
      </c>
      <c r="AB214" s="8">
        <v>717456.25</v>
      </c>
      <c r="AC214" s="8">
        <f>48.26*1000</f>
        <v>48260</v>
      </c>
      <c r="AD214" s="8">
        <v>20667.12</v>
      </c>
      <c r="AE214" s="8">
        <v>60.4</v>
      </c>
      <c r="AF214" s="8">
        <v>15.7</v>
      </c>
      <c r="AG214" s="8"/>
      <c r="AH214" s="8">
        <v>8.1000000000000003E-2</v>
      </c>
      <c r="AI214" s="8">
        <v>69</v>
      </c>
      <c r="AJ214" s="8">
        <v>0</v>
      </c>
      <c r="AK214" s="8">
        <v>2</v>
      </c>
      <c r="AL214" s="8">
        <v>36436</v>
      </c>
      <c r="AM214" s="8">
        <v>41.7</v>
      </c>
      <c r="AN214" s="17">
        <v>9.9730000000000008</v>
      </c>
      <c r="AO214" s="8">
        <v>83.098552296763799</v>
      </c>
      <c r="AP214" s="17">
        <v>100</v>
      </c>
      <c r="AQ214" s="8">
        <v>70.400000000000006</v>
      </c>
      <c r="AR214" s="8">
        <v>43.4</v>
      </c>
      <c r="AS214" s="8">
        <v>34</v>
      </c>
      <c r="AT214" s="8">
        <v>1.865</v>
      </c>
    </row>
    <row r="215" spans="1:46">
      <c r="A215" s="22" t="s">
        <v>292</v>
      </c>
      <c r="B215">
        <v>0.142058119875</v>
      </c>
      <c r="C215" s="8">
        <v>0</v>
      </c>
      <c r="D215" s="8">
        <v>0</v>
      </c>
      <c r="E215" s="8">
        <v>0</v>
      </c>
      <c r="F215" s="8">
        <v>0</v>
      </c>
      <c r="G215">
        <v>0.142058119875</v>
      </c>
      <c r="H215" s="17">
        <v>79</v>
      </c>
      <c r="I215" s="8">
        <v>10.4</v>
      </c>
      <c r="J215" s="8">
        <v>58</v>
      </c>
      <c r="K215" s="8">
        <v>55</v>
      </c>
      <c r="L215" s="29">
        <v>68</v>
      </c>
      <c r="M215" s="8">
        <v>76</v>
      </c>
      <c r="N215" s="17">
        <v>99.884</v>
      </c>
      <c r="O215" s="23">
        <v>7.0000000000000007E-2</v>
      </c>
      <c r="P215" s="8">
        <v>-0.1</v>
      </c>
      <c r="Q215" s="13">
        <v>3426.26</v>
      </c>
      <c r="R215" s="8">
        <v>3769252.08</v>
      </c>
      <c r="S215" s="8">
        <v>9</v>
      </c>
      <c r="T215" s="8">
        <v>75.400000000000006</v>
      </c>
      <c r="U215" s="17">
        <v>0.55600000000000005</v>
      </c>
      <c r="V215" s="17">
        <v>2</v>
      </c>
      <c r="W215" s="21">
        <v>1702310</v>
      </c>
      <c r="X215" s="8">
        <v>38</v>
      </c>
      <c r="Y215" s="8">
        <v>68.7</v>
      </c>
      <c r="Z215" s="8">
        <v>7.8</v>
      </c>
      <c r="AA215" s="8">
        <v>62.6</v>
      </c>
      <c r="AB215" s="8">
        <v>85823.44</v>
      </c>
      <c r="AC215" s="8">
        <f>20.46*1000</f>
        <v>20460</v>
      </c>
      <c r="AD215" s="8">
        <v>2586.5300000000002</v>
      </c>
      <c r="AE215" s="8">
        <v>30.9</v>
      </c>
      <c r="AF215" s="8">
        <v>16.8</v>
      </c>
      <c r="AG215" s="8"/>
      <c r="AH215" s="8">
        <v>0.246</v>
      </c>
      <c r="AI215" s="8">
        <v>73</v>
      </c>
      <c r="AJ215" s="8">
        <v>25</v>
      </c>
      <c r="AK215" s="8">
        <v>19</v>
      </c>
      <c r="AL215" s="8">
        <v>13856226</v>
      </c>
      <c r="AM215" s="8">
        <v>63.6</v>
      </c>
      <c r="AN215" s="17">
        <v>6.8090000000000002</v>
      </c>
      <c r="AO215" s="8">
        <v>65.104788472677001</v>
      </c>
      <c r="AP215" s="17">
        <v>100</v>
      </c>
      <c r="AQ215" s="8">
        <v>25.8</v>
      </c>
      <c r="AR215" s="8">
        <v>38.5</v>
      </c>
      <c r="AS215" s="8">
        <v>37</v>
      </c>
      <c r="AT215" s="8">
        <v>1.7949999999999999</v>
      </c>
    </row>
    <row r="216" spans="1:46">
      <c r="A216" s="22" t="s">
        <v>293</v>
      </c>
      <c r="B216">
        <v>101.49072414600001</v>
      </c>
      <c r="C216">
        <v>14.255763025</v>
      </c>
      <c r="D216">
        <v>35.187183374999996</v>
      </c>
      <c r="E216">
        <v>31.964210010999999</v>
      </c>
      <c r="F216">
        <v>8.4518515129999994</v>
      </c>
      <c r="G216">
        <v>11.631716222</v>
      </c>
      <c r="H216" s="17">
        <v>83</v>
      </c>
      <c r="I216" s="8">
        <v>5.5</v>
      </c>
      <c r="J216" s="8">
        <v>67</v>
      </c>
      <c r="K216" s="8">
        <v>98</v>
      </c>
      <c r="L216" s="8">
        <v>63</v>
      </c>
      <c r="M216" s="8">
        <v>84</v>
      </c>
      <c r="N216" s="17">
        <v>99.495999999999995</v>
      </c>
      <c r="O216" s="23">
        <v>0.57999999999999996</v>
      </c>
      <c r="P216" s="8">
        <v>0.1</v>
      </c>
      <c r="Q216" s="13">
        <v>331893.74</v>
      </c>
      <c r="R216" s="8">
        <v>-845050000</v>
      </c>
      <c r="S216" s="8">
        <v>13.7</v>
      </c>
      <c r="T216" s="8">
        <v>77.2</v>
      </c>
      <c r="U216" s="17">
        <v>0.83200000000000007</v>
      </c>
      <c r="V216" s="17">
        <v>4</v>
      </c>
      <c r="W216" s="21">
        <v>164796725</v>
      </c>
      <c r="X216" s="8">
        <v>84</v>
      </c>
      <c r="Y216" s="8">
        <v>87.9</v>
      </c>
      <c r="Z216" s="8">
        <v>3.5</v>
      </c>
      <c r="AA216" s="8">
        <v>122.9</v>
      </c>
      <c r="AB216" s="8">
        <v>22996100</v>
      </c>
      <c r="AC216" s="8">
        <f>78.42*1000</f>
        <v>78420</v>
      </c>
      <c r="AD216" s="8">
        <v>448324</v>
      </c>
      <c r="AE216" s="8">
        <v>89.1</v>
      </c>
      <c r="AF216" s="8">
        <v>16.3</v>
      </c>
      <c r="AG216" s="8"/>
      <c r="AH216" s="8">
        <v>0.16200000000000001</v>
      </c>
      <c r="AI216" s="8">
        <v>67</v>
      </c>
      <c r="AJ216" s="8">
        <v>25.81</v>
      </c>
      <c r="AK216" s="8">
        <v>1309</v>
      </c>
      <c r="AL216" s="8">
        <v>96239580</v>
      </c>
      <c r="AM216" s="8">
        <v>77</v>
      </c>
      <c r="AN216" s="17">
        <v>8.65</v>
      </c>
      <c r="AO216" s="8">
        <v>65.078069808587102</v>
      </c>
      <c r="AP216" s="17">
        <v>100</v>
      </c>
      <c r="AQ216" s="8">
        <v>51.4</v>
      </c>
      <c r="AR216" s="8">
        <v>54.3</v>
      </c>
      <c r="AS216" s="8">
        <v>37.200000000000003</v>
      </c>
      <c r="AT216" s="8">
        <v>2.44</v>
      </c>
    </row>
    <row r="217" spans="1:46">
      <c r="A217" s="27" t="s">
        <v>294</v>
      </c>
      <c r="B217">
        <v>2.2135629726365398</v>
      </c>
      <c r="C217">
        <v>6.1674292110129002E-2</v>
      </c>
      <c r="D217">
        <v>2.00825104685397</v>
      </c>
      <c r="E217">
        <v>8.6018543572447495E-2</v>
      </c>
      <c r="F217" s="26">
        <v>0</v>
      </c>
      <c r="G217" s="38">
        <v>5.7619089999999998E-2</v>
      </c>
      <c r="H217" s="17">
        <v>71</v>
      </c>
      <c r="I217" s="8">
        <v>7.2</v>
      </c>
      <c r="J217" s="28" t="s">
        <v>78</v>
      </c>
      <c r="K217" s="8">
        <v>38</v>
      </c>
      <c r="L217" s="29">
        <v>35</v>
      </c>
      <c r="M217" s="8">
        <v>64</v>
      </c>
      <c r="N217" s="17">
        <v>97.829000000000008</v>
      </c>
      <c r="O217" s="23">
        <v>22.900000000000002</v>
      </c>
      <c r="P217" s="8">
        <v>2</v>
      </c>
      <c r="Q217" s="13">
        <v>34915.1</v>
      </c>
      <c r="R217" s="8">
        <v>-11374398.859999999</v>
      </c>
      <c r="S217" s="26">
        <v>11.9</v>
      </c>
      <c r="T217" s="26">
        <v>70.900000000000006</v>
      </c>
      <c r="U217" s="17">
        <v>0.48899999999999999</v>
      </c>
      <c r="V217" s="18" t="s">
        <v>78</v>
      </c>
      <c r="W217" s="21">
        <v>14093526</v>
      </c>
      <c r="X217" s="28" t="s">
        <v>78</v>
      </c>
      <c r="Y217" s="28" t="s">
        <v>78</v>
      </c>
      <c r="Z217" s="8">
        <v>10.8</v>
      </c>
      <c r="AA217" s="8">
        <v>33.1</v>
      </c>
      <c r="AB217" s="8">
        <v>296689.26</v>
      </c>
      <c r="AC217" s="8">
        <f>2.55*1000</f>
        <v>2550</v>
      </c>
      <c r="AD217" s="8">
        <v>2098.23</v>
      </c>
      <c r="AE217" s="24" t="s">
        <v>78</v>
      </c>
      <c r="AF217" s="26">
        <v>12.5</v>
      </c>
      <c r="AG217" s="26"/>
      <c r="AH217" s="26">
        <v>2.5999999999999999E-2</v>
      </c>
      <c r="AI217" s="26">
        <v>28</v>
      </c>
      <c r="AJ217" s="8">
        <v>15</v>
      </c>
      <c r="AK217" s="8">
        <v>1</v>
      </c>
      <c r="AL217" s="26" t="s">
        <v>78</v>
      </c>
      <c r="AM217" s="8">
        <v>16.7</v>
      </c>
      <c r="AN217" s="17">
        <v>26.904</v>
      </c>
      <c r="AO217" s="8">
        <v>64.947209257446801</v>
      </c>
      <c r="AP217" s="17">
        <v>100</v>
      </c>
      <c r="AQ217" s="8">
        <v>41</v>
      </c>
      <c r="AR217" s="8">
        <v>15.9</v>
      </c>
      <c r="AS217" s="8">
        <v>41.3</v>
      </c>
      <c r="AT217" s="8">
        <v>2.0009999999999999</v>
      </c>
    </row>
    <row r="218" spans="1:46">
      <c r="A218" s="27" t="s">
        <v>295</v>
      </c>
      <c r="B218">
        <v>1.04428935E-4</v>
      </c>
      <c r="C218" s="26">
        <v>0</v>
      </c>
      <c r="D218" s="26">
        <v>0</v>
      </c>
      <c r="E218" s="26">
        <v>0</v>
      </c>
      <c r="F218" s="26">
        <v>0</v>
      </c>
      <c r="G218" s="38">
        <v>1.0443E-4</v>
      </c>
      <c r="H218" s="17">
        <v>52</v>
      </c>
      <c r="I218" s="8">
        <v>2.2000000000000002</v>
      </c>
      <c r="J218" s="28" t="s">
        <v>78</v>
      </c>
      <c r="K218" s="24" t="s">
        <v>78</v>
      </c>
      <c r="L218" s="29">
        <v>9</v>
      </c>
      <c r="M218" s="8">
        <v>13</v>
      </c>
      <c r="N218" s="17">
        <v>91.231000000000009</v>
      </c>
      <c r="O218" s="23">
        <v>38.74</v>
      </c>
      <c r="P218" s="8">
        <v>2.4</v>
      </c>
      <c r="Q218" s="13">
        <v>319.14</v>
      </c>
      <c r="R218" s="8">
        <v>-407053.01</v>
      </c>
      <c r="S218" s="26">
        <v>7.1</v>
      </c>
      <c r="T218" s="26">
        <v>70.400000000000006</v>
      </c>
      <c r="U218" s="24" t="s">
        <v>78</v>
      </c>
      <c r="V218" s="18" t="s">
        <v>78</v>
      </c>
      <c r="W218" s="21">
        <v>132730</v>
      </c>
      <c r="X218" s="28" t="s">
        <v>78</v>
      </c>
      <c r="Y218" s="28" t="s">
        <v>78</v>
      </c>
      <c r="Z218" s="8">
        <v>3.4</v>
      </c>
      <c r="AA218" s="8">
        <v>51</v>
      </c>
      <c r="AB218" s="8">
        <v>975.73</v>
      </c>
      <c r="AC218" s="8">
        <f>3.11*1000</f>
        <v>3110</v>
      </c>
      <c r="AD218" s="8">
        <v>25.71</v>
      </c>
      <c r="AE218" s="24" t="s">
        <v>78</v>
      </c>
      <c r="AF218" s="26">
        <v>11.5</v>
      </c>
      <c r="AG218" s="26"/>
      <c r="AH218" s="24" t="s">
        <v>78</v>
      </c>
      <c r="AI218" s="26">
        <v>45</v>
      </c>
      <c r="AJ218" s="8">
        <v>0</v>
      </c>
      <c r="AK218" s="8">
        <v>0</v>
      </c>
      <c r="AL218" s="26" t="s">
        <v>78</v>
      </c>
      <c r="AM218" s="8">
        <v>30.7</v>
      </c>
      <c r="AN218" s="17">
        <v>11.107000000000001</v>
      </c>
      <c r="AO218" s="8">
        <v>56.661177897232101</v>
      </c>
      <c r="AP218">
        <v>67.333267211914105</v>
      </c>
      <c r="AQ218" s="8">
        <v>28</v>
      </c>
      <c r="AR218" s="8">
        <v>36.5</v>
      </c>
      <c r="AS218" s="8">
        <v>50.1</v>
      </c>
      <c r="AT218" s="24" t="s">
        <v>78</v>
      </c>
    </row>
    <row r="219" spans="1:46">
      <c r="A219" s="22" t="s">
        <v>296</v>
      </c>
      <c r="B219">
        <v>3.22112472373668</v>
      </c>
      <c r="C219">
        <v>1.2013544693078301E-2</v>
      </c>
      <c r="D219">
        <v>0.73777496231810002</v>
      </c>
      <c r="E219">
        <v>2.0284570839254998</v>
      </c>
      <c r="F219" s="8">
        <v>0</v>
      </c>
      <c r="G219" s="38">
        <v>0.44287913000000001</v>
      </c>
      <c r="H219" s="17">
        <v>70</v>
      </c>
      <c r="I219" s="8">
        <v>6.4</v>
      </c>
      <c r="J219" s="8">
        <v>43.3</v>
      </c>
      <c r="K219" s="8">
        <v>11</v>
      </c>
      <c r="L219" s="29">
        <v>19</v>
      </c>
      <c r="M219" s="8">
        <v>51</v>
      </c>
      <c r="N219" s="17">
        <v>93.686000000000007</v>
      </c>
      <c r="O219" s="23">
        <v>78.02</v>
      </c>
      <c r="P219" s="8">
        <v>-1</v>
      </c>
      <c r="Q219" s="13">
        <v>28199.87</v>
      </c>
      <c r="R219" s="8">
        <v>2874000</v>
      </c>
      <c r="S219" s="8">
        <v>11.1</v>
      </c>
      <c r="T219" s="8">
        <v>70.599999999999994</v>
      </c>
      <c r="U219" s="17">
        <v>0.53300000000000003</v>
      </c>
      <c r="V219" s="17">
        <v>4</v>
      </c>
      <c r="W219" s="21">
        <v>10244756</v>
      </c>
      <c r="X219" s="8">
        <v>31</v>
      </c>
      <c r="Y219" s="8">
        <v>46.2</v>
      </c>
      <c r="Z219" s="8">
        <v>195</v>
      </c>
      <c r="AA219" s="50">
        <v>240.5</v>
      </c>
      <c r="AB219" s="8">
        <v>506339.38</v>
      </c>
      <c r="AC219" s="8">
        <f>3.27*1000</f>
        <v>3270</v>
      </c>
      <c r="AD219" s="8">
        <v>-761.33</v>
      </c>
      <c r="AE219" s="8">
        <v>25.4</v>
      </c>
      <c r="AF219" s="8">
        <v>12.8</v>
      </c>
      <c r="AG219" s="8"/>
      <c r="AH219" s="8">
        <v>0.17299999999999999</v>
      </c>
      <c r="AI219" s="8">
        <v>14</v>
      </c>
      <c r="AJ219" s="8">
        <v>34</v>
      </c>
      <c r="AK219" s="8">
        <v>0</v>
      </c>
      <c r="AL219" s="8" t="s">
        <v>78</v>
      </c>
      <c r="AM219" s="8">
        <v>46.7</v>
      </c>
      <c r="AN219" s="17">
        <v>15.587</v>
      </c>
      <c r="AO219" s="8">
        <v>63.491135676120997</v>
      </c>
      <c r="AP219" s="17">
        <v>100</v>
      </c>
      <c r="AQ219" s="8">
        <v>52</v>
      </c>
      <c r="AR219" s="8">
        <v>12.1</v>
      </c>
      <c r="AS219" s="8">
        <v>42.1</v>
      </c>
      <c r="AT219" s="8">
        <v>2.798</v>
      </c>
    </row>
    <row r="220" spans="1:46">
      <c r="A220" s="22" t="s">
        <v>297</v>
      </c>
      <c r="B220">
        <v>2.7189795206298002</v>
      </c>
      <c r="C220">
        <v>1.20231556281137</v>
      </c>
      <c r="D220">
        <v>0.35486619027720001</v>
      </c>
      <c r="E220">
        <v>0.50452090254123705</v>
      </c>
      <c r="F220" s="31">
        <v>0</v>
      </c>
      <c r="G220">
        <v>0.65727686500000004</v>
      </c>
      <c r="H220" s="17">
        <v>70</v>
      </c>
      <c r="I220" s="8">
        <v>2.2000000000000002</v>
      </c>
      <c r="J220" s="8">
        <v>54.3</v>
      </c>
      <c r="K220" s="8">
        <v>45</v>
      </c>
      <c r="L220" s="8">
        <v>84</v>
      </c>
      <c r="M220" s="8">
        <v>69</v>
      </c>
      <c r="N220" s="17">
        <v>96.884</v>
      </c>
      <c r="O220" s="23">
        <v>3.96</v>
      </c>
      <c r="P220" s="8">
        <v>0.8</v>
      </c>
      <c r="Q220" s="35">
        <v>97468.03</v>
      </c>
      <c r="R220" s="8">
        <v>1963000</v>
      </c>
      <c r="S220" s="8">
        <v>8.4</v>
      </c>
      <c r="T220" s="8">
        <v>73.599999999999994</v>
      </c>
      <c r="U220" s="17">
        <v>0.628</v>
      </c>
      <c r="V220" s="17">
        <v>4</v>
      </c>
      <c r="W220" s="21">
        <v>56202805</v>
      </c>
      <c r="X220" s="8">
        <v>37</v>
      </c>
      <c r="Y220" s="8">
        <v>66</v>
      </c>
      <c r="Z220" s="8">
        <v>3.9</v>
      </c>
      <c r="AA220" s="8">
        <v>40.5</v>
      </c>
      <c r="AB220" s="34">
        <v>1138047.29</v>
      </c>
      <c r="AC220" s="34">
        <f>4.68*1000</f>
        <v>4680</v>
      </c>
      <c r="AD220" s="34">
        <v>15660</v>
      </c>
      <c r="AE220" s="8">
        <v>48.2</v>
      </c>
      <c r="AF220" s="8">
        <v>13</v>
      </c>
      <c r="AG220" s="8">
        <v>-15</v>
      </c>
      <c r="AH220" s="8">
        <v>7.9000000000000001E-2</v>
      </c>
      <c r="AI220" s="8">
        <v>39</v>
      </c>
      <c r="AJ220" s="8">
        <v>20</v>
      </c>
      <c r="AK220" s="8">
        <v>0</v>
      </c>
      <c r="AL220" s="8" t="s">
        <v>78</v>
      </c>
      <c r="AM220" s="8">
        <v>26.5</v>
      </c>
      <c r="AN220" s="17">
        <v>27.896000000000001</v>
      </c>
      <c r="AO220" s="8">
        <v>68.701715865731302</v>
      </c>
      <c r="AP220" s="17">
        <v>100</v>
      </c>
      <c r="AQ220" s="8">
        <v>22.1</v>
      </c>
      <c r="AR220" s="8">
        <v>25.6</v>
      </c>
      <c r="AS220" s="8">
        <v>10.1</v>
      </c>
      <c r="AT220" s="8">
        <v>1.786</v>
      </c>
    </row>
    <row r="221" spans="1:46">
      <c r="A221" s="4" t="s">
        <v>298</v>
      </c>
      <c r="B221">
        <v>1.2467000000000001E-4</v>
      </c>
      <c r="C221" s="8">
        <v>0</v>
      </c>
      <c r="D221" s="8">
        <v>0</v>
      </c>
      <c r="E221" s="8">
        <v>0</v>
      </c>
      <c r="F221" s="8">
        <v>0</v>
      </c>
      <c r="G221">
        <v>1.2467000000000001E-4</v>
      </c>
      <c r="H221" s="18" t="s">
        <v>78</v>
      </c>
      <c r="I221" s="8">
        <v>13.3</v>
      </c>
      <c r="J221" s="18" t="s">
        <v>78</v>
      </c>
      <c r="K221" s="24" t="s">
        <v>78</v>
      </c>
      <c r="L221" s="24" t="s">
        <v>78</v>
      </c>
      <c r="M221" s="24" t="s">
        <v>78</v>
      </c>
      <c r="N221" s="18" t="s">
        <v>77</v>
      </c>
      <c r="O221" s="24" t="s">
        <v>78</v>
      </c>
      <c r="P221" s="8">
        <v>-0.4</v>
      </c>
      <c r="Q221" s="13">
        <v>105.87</v>
      </c>
      <c r="R221" s="24" t="s">
        <v>78</v>
      </c>
      <c r="S221" s="24" t="s">
        <v>78</v>
      </c>
      <c r="T221" s="24" t="s">
        <v>78</v>
      </c>
      <c r="U221" s="24" t="s">
        <v>78</v>
      </c>
      <c r="V221" s="18" t="s">
        <v>78</v>
      </c>
      <c r="W221" s="21">
        <v>42219</v>
      </c>
      <c r="X221" s="18" t="s">
        <v>78</v>
      </c>
      <c r="Y221" s="18" t="s">
        <v>78</v>
      </c>
      <c r="Z221" s="24" t="s">
        <v>78</v>
      </c>
      <c r="AA221" s="24" t="s">
        <v>78</v>
      </c>
      <c r="AB221" s="24" t="s">
        <v>78</v>
      </c>
      <c r="AC221" s="24" t="s">
        <v>78</v>
      </c>
      <c r="AD221" s="41" t="s">
        <v>78</v>
      </c>
      <c r="AE221" s="24" t="s">
        <v>78</v>
      </c>
      <c r="AF221" s="24" t="s">
        <v>78</v>
      </c>
      <c r="AG221" s="8"/>
      <c r="AH221" s="24" t="s">
        <v>78</v>
      </c>
      <c r="AI221" s="24" t="s">
        <v>78</v>
      </c>
      <c r="AJ221" s="18" t="s">
        <v>78</v>
      </c>
      <c r="AK221" s="8">
        <v>0</v>
      </c>
      <c r="AL221" s="8" t="s">
        <v>78</v>
      </c>
      <c r="AM221" s="24" t="s">
        <v>78</v>
      </c>
      <c r="AN221" s="24" t="s">
        <v>78</v>
      </c>
      <c r="AO221" s="8">
        <v>60.752215483909602</v>
      </c>
      <c r="AP221" s="17">
        <v>100</v>
      </c>
      <c r="AQ221" s="24" t="s">
        <v>78</v>
      </c>
      <c r="AR221" s="24" t="s">
        <v>78</v>
      </c>
      <c r="AS221" s="24" t="s">
        <v>78</v>
      </c>
      <c r="AT221" s="24" t="s">
        <v>78</v>
      </c>
    </row>
    <row r="222" spans="1:46">
      <c r="A222" s="4" t="s">
        <v>299</v>
      </c>
      <c r="B222" s="18" t="s">
        <v>78</v>
      </c>
      <c r="C222" s="18" t="s">
        <v>78</v>
      </c>
      <c r="D222" s="18" t="s">
        <v>78</v>
      </c>
      <c r="E222" s="18" t="s">
        <v>78</v>
      </c>
      <c r="F222" s="18" t="s">
        <v>78</v>
      </c>
      <c r="G222" s="18" t="s">
        <v>78</v>
      </c>
      <c r="H222" s="18" t="s">
        <v>78</v>
      </c>
      <c r="I222" s="8">
        <v>24.9</v>
      </c>
      <c r="J222" s="18" t="s">
        <v>78</v>
      </c>
      <c r="K222" s="24" t="s">
        <v>78</v>
      </c>
      <c r="L222" s="8">
        <v>33</v>
      </c>
      <c r="M222" s="8">
        <v>31</v>
      </c>
      <c r="N222" s="18" t="s">
        <v>77</v>
      </c>
      <c r="O222" s="24" t="s">
        <v>78</v>
      </c>
      <c r="P222" s="8">
        <v>2.5</v>
      </c>
      <c r="Q222" s="13">
        <v>4922.75</v>
      </c>
      <c r="R222" s="8">
        <v>-7064728.0800000001</v>
      </c>
      <c r="S222" s="24" t="s">
        <v>78</v>
      </c>
      <c r="T222" s="24" t="s">
        <v>78</v>
      </c>
      <c r="U222" s="24" t="s">
        <v>78</v>
      </c>
      <c r="V222" s="18" t="s">
        <v>78</v>
      </c>
      <c r="W222" s="21">
        <v>1249377</v>
      </c>
      <c r="X222" s="18" t="s">
        <v>78</v>
      </c>
      <c r="Y222" s="18" t="s">
        <v>78</v>
      </c>
      <c r="Z222" s="8">
        <v>3.4</v>
      </c>
      <c r="AA222" s="8">
        <v>40.200000000000003</v>
      </c>
      <c r="AB222" s="8">
        <v>30518.34</v>
      </c>
      <c r="AC222" s="8">
        <f>3.54*1000</f>
        <v>3540</v>
      </c>
      <c r="AD222" s="8">
        <v>255.52</v>
      </c>
      <c r="AE222" s="24" t="s">
        <v>78</v>
      </c>
      <c r="AF222" s="24" t="s">
        <v>78</v>
      </c>
      <c r="AG222" s="8"/>
      <c r="AH222" s="24" t="s">
        <v>78</v>
      </c>
      <c r="AI222" s="24" t="s">
        <v>78</v>
      </c>
      <c r="AJ222" s="18" t="s">
        <v>78</v>
      </c>
      <c r="AK222" s="8">
        <v>0</v>
      </c>
      <c r="AL222" s="8" t="s">
        <v>78</v>
      </c>
      <c r="AM222" s="24" t="s">
        <v>78</v>
      </c>
      <c r="AN222" s="24" t="s">
        <v>78</v>
      </c>
      <c r="AO222" s="8">
        <v>57.378152691242001</v>
      </c>
      <c r="AP222" s="17">
        <v>100</v>
      </c>
      <c r="AQ222" s="24" t="s">
        <v>78</v>
      </c>
      <c r="AR222" s="24" t="s">
        <v>78</v>
      </c>
      <c r="AS222" s="24" t="s">
        <v>78</v>
      </c>
      <c r="AT222" s="24" t="s">
        <v>78</v>
      </c>
    </row>
    <row r="223" spans="1:46">
      <c r="A223" s="4" t="s">
        <v>300</v>
      </c>
      <c r="B223">
        <v>0.138349836427031</v>
      </c>
      <c r="C223" s="8">
        <v>0</v>
      </c>
      <c r="D223">
        <v>3.4385429778E-3</v>
      </c>
      <c r="E223">
        <v>0.130601273449231</v>
      </c>
      <c r="F223" s="8">
        <v>0</v>
      </c>
      <c r="G223" s="38">
        <v>4.3100200000000003E-3</v>
      </c>
      <c r="H223" s="17">
        <v>44</v>
      </c>
      <c r="I223" s="8">
        <v>13.6</v>
      </c>
      <c r="J223" s="8">
        <v>53.9</v>
      </c>
      <c r="K223" s="24" t="s">
        <v>78</v>
      </c>
      <c r="L223" s="8">
        <v>23</v>
      </c>
      <c r="M223" s="8">
        <v>8</v>
      </c>
      <c r="N223" s="17">
        <v>60.664000000000001</v>
      </c>
      <c r="O223" s="18" t="s">
        <v>77</v>
      </c>
      <c r="P223" s="8">
        <v>2.1</v>
      </c>
      <c r="Q223" s="13">
        <v>32981.64</v>
      </c>
      <c r="R223" s="8">
        <v>-7317640.7000000002</v>
      </c>
      <c r="S223" s="8">
        <v>3.2</v>
      </c>
      <c r="T223" s="8">
        <v>63.8</v>
      </c>
      <c r="U223" s="24" t="s">
        <v>78</v>
      </c>
      <c r="V223" s="29">
        <v>6</v>
      </c>
      <c r="W223" s="21">
        <v>7298663</v>
      </c>
      <c r="X223" s="8">
        <v>25</v>
      </c>
      <c r="Y223" s="8">
        <v>33.9</v>
      </c>
      <c r="Z223" s="8">
        <v>17.100000000000001</v>
      </c>
      <c r="AA223" s="8">
        <v>48.4</v>
      </c>
      <c r="AB223" s="8">
        <v>92755.61</v>
      </c>
      <c r="AC223" s="8">
        <f>871.57</f>
        <v>871.57</v>
      </c>
      <c r="AD223" s="8">
        <v>-370.98</v>
      </c>
      <c r="AE223" s="8">
        <v>11.5</v>
      </c>
      <c r="AF223" s="8">
        <v>9.1</v>
      </c>
      <c r="AG223" s="8"/>
      <c r="AH223" s="24" t="s">
        <v>78</v>
      </c>
      <c r="AI223" s="8">
        <v>16</v>
      </c>
      <c r="AJ223" s="8">
        <v>20</v>
      </c>
      <c r="AK223" s="8">
        <v>0</v>
      </c>
      <c r="AL223" s="8" t="s">
        <v>78</v>
      </c>
      <c r="AM223" s="24" t="s">
        <v>78</v>
      </c>
      <c r="AN223" s="17">
        <v>51.855000000000004</v>
      </c>
      <c r="AO223" s="8">
        <v>57.438854278978198</v>
      </c>
      <c r="AP223">
        <v>73.757926940917997</v>
      </c>
      <c r="AQ223" s="24" t="s">
        <v>78</v>
      </c>
      <c r="AR223" s="24" t="s">
        <v>78</v>
      </c>
      <c r="AS223" s="24" t="s">
        <v>78</v>
      </c>
      <c r="AT223">
        <v>3.3940000000000001</v>
      </c>
    </row>
    <row r="224" spans="1:46">
      <c r="A224" s="25" t="s">
        <v>301</v>
      </c>
      <c r="B224">
        <v>0.13610105188730301</v>
      </c>
      <c r="C224">
        <v>2.45382145273037E-2</v>
      </c>
      <c r="D224" s="26">
        <v>0</v>
      </c>
      <c r="E224" s="26">
        <v>0</v>
      </c>
      <c r="F224" s="8">
        <v>0</v>
      </c>
      <c r="G224" s="38">
        <v>0.11156284</v>
      </c>
      <c r="H224" s="17">
        <v>55</v>
      </c>
      <c r="I224" s="8">
        <v>13</v>
      </c>
      <c r="J224" s="8">
        <v>51.5</v>
      </c>
      <c r="K224" s="8">
        <v>30</v>
      </c>
      <c r="L224" s="8">
        <v>59</v>
      </c>
      <c r="M224" s="8">
        <v>37</v>
      </c>
      <c r="N224" s="17">
        <v>65.412000000000006</v>
      </c>
      <c r="O224" s="23">
        <v>76.8</v>
      </c>
      <c r="P224" s="8">
        <v>2.8</v>
      </c>
      <c r="Q224" s="13">
        <v>19473.13</v>
      </c>
      <c r="R224" s="8">
        <v>4015027.85</v>
      </c>
      <c r="S224" s="26">
        <v>7.2</v>
      </c>
      <c r="T224" s="26">
        <v>61.2</v>
      </c>
      <c r="U224" s="17">
        <v>0.433</v>
      </c>
      <c r="V224" s="17">
        <v>4</v>
      </c>
      <c r="W224" s="21">
        <v>8113422</v>
      </c>
      <c r="X224" s="8">
        <v>29</v>
      </c>
      <c r="Y224" s="8">
        <v>43.3</v>
      </c>
      <c r="Z224" s="8">
        <v>9.5</v>
      </c>
      <c r="AA224" s="29">
        <v>119.14100000000001</v>
      </c>
      <c r="AB224" s="8">
        <v>69244.88</v>
      </c>
      <c r="AC224" s="8">
        <f>1.4*1000</f>
        <v>1400</v>
      </c>
      <c r="AD224" s="8">
        <v>-823.08</v>
      </c>
      <c r="AE224" s="8">
        <v>19.5</v>
      </c>
      <c r="AF224" s="26">
        <v>10.9</v>
      </c>
      <c r="AG224" s="26"/>
      <c r="AH224" s="26">
        <v>3.1E-2</v>
      </c>
      <c r="AI224" s="26">
        <v>33</v>
      </c>
      <c r="AJ224" s="8">
        <v>30</v>
      </c>
      <c r="AK224" s="8">
        <v>52</v>
      </c>
      <c r="AL224" s="26">
        <v>9872208</v>
      </c>
      <c r="AM224" s="26">
        <v>23.6</v>
      </c>
      <c r="AN224" s="17">
        <v>26.289000000000001</v>
      </c>
      <c r="AO224" s="8">
        <v>54.998707192605202</v>
      </c>
      <c r="AP224">
        <v>44.5244750976563</v>
      </c>
      <c r="AQ224" s="26">
        <v>58.2</v>
      </c>
      <c r="AR224" s="26">
        <v>6.9</v>
      </c>
      <c r="AS224" s="26">
        <v>25.6</v>
      </c>
      <c r="AT224" s="26">
        <v>1.841</v>
      </c>
    </row>
    <row r="225" spans="1:46">
      <c r="A225" s="4" t="s">
        <v>302</v>
      </c>
      <c r="B225">
        <v>0.104928221786957</v>
      </c>
      <c r="C225">
        <v>6.4852494691957599E-2</v>
      </c>
      <c r="D225" s="8">
        <v>0</v>
      </c>
      <c r="E225" s="8">
        <v>0</v>
      </c>
      <c r="F225" s="8">
        <v>0</v>
      </c>
      <c r="G225" s="38">
        <v>4.0075729999999997E-2</v>
      </c>
      <c r="H225" s="17">
        <v>55</v>
      </c>
      <c r="I225" s="8">
        <v>5.2</v>
      </c>
      <c r="J225" s="8">
        <v>34.799999999999997</v>
      </c>
      <c r="K225" s="24" t="s">
        <v>78</v>
      </c>
      <c r="L225" s="8">
        <v>53</v>
      </c>
      <c r="M225" s="8">
        <v>27</v>
      </c>
      <c r="N225" s="17">
        <v>62.666000000000004</v>
      </c>
      <c r="O225" s="18" t="s">
        <v>77</v>
      </c>
      <c r="P225" s="8">
        <v>2</v>
      </c>
      <c r="Q225" s="13">
        <v>15993.52</v>
      </c>
      <c r="R225" s="8">
        <v>-226006.54</v>
      </c>
      <c r="S225" s="8">
        <v>8.6999999999999993</v>
      </c>
      <c r="T225" s="8">
        <v>59.3</v>
      </c>
      <c r="U225" s="17">
        <v>0.48099999999999998</v>
      </c>
      <c r="V225" s="17">
        <v>5</v>
      </c>
      <c r="W225" s="21">
        <v>7915768</v>
      </c>
      <c r="X225" s="8">
        <v>27</v>
      </c>
      <c r="Y225" s="8">
        <v>39.799999999999997</v>
      </c>
      <c r="Z225" s="8">
        <v>204.6</v>
      </c>
      <c r="AA225" s="8">
        <v>64.900000000000006</v>
      </c>
      <c r="AB225" s="8">
        <v>37163.949999999997</v>
      </c>
      <c r="AC225" s="8">
        <f>2.31*1000</f>
        <v>2310</v>
      </c>
      <c r="AD225" s="8">
        <v>166</v>
      </c>
      <c r="AE225" s="8">
        <v>21</v>
      </c>
      <c r="AF225" s="8">
        <v>12.1</v>
      </c>
      <c r="AG225" s="8"/>
      <c r="AH225" s="8">
        <v>5.0000000000000001E-3</v>
      </c>
      <c r="AI225" s="8">
        <v>23</v>
      </c>
      <c r="AJ225" s="8">
        <v>24.72</v>
      </c>
      <c r="AK225" s="8">
        <v>21</v>
      </c>
      <c r="AL225" s="8">
        <v>29161941</v>
      </c>
      <c r="AM225" s="8">
        <v>23.9</v>
      </c>
      <c r="AN225" s="17">
        <v>21.333000000000002</v>
      </c>
      <c r="AO225" s="8">
        <v>55.743352747024403</v>
      </c>
      <c r="AP225">
        <v>52.747669219970703</v>
      </c>
      <c r="AQ225" s="8">
        <v>61.7</v>
      </c>
      <c r="AR225" s="8">
        <v>13.3</v>
      </c>
      <c r="AS225" s="8">
        <v>41.9</v>
      </c>
      <c r="AT225" s="8">
        <v>2.35</v>
      </c>
    </row>
    <row r="226" spans="1:46">
      <c r="N226" s="8"/>
      <c r="O226" s="23"/>
      <c r="U226" s="8"/>
      <c r="V226" s="8"/>
      <c r="W226" s="17"/>
      <c r="AN226" s="8"/>
      <c r="AO226" s="8"/>
      <c r="AP226" s="17"/>
    </row>
    <row r="227" spans="1:46">
      <c r="N227" s="8"/>
      <c r="O227" s="23"/>
      <c r="U227" s="8"/>
      <c r="V227" s="8"/>
      <c r="W227" s="17"/>
      <c r="AN227" s="8"/>
      <c r="AO227" s="8"/>
      <c r="AP227" s="17"/>
    </row>
    <row r="228" spans="1:46">
      <c r="N228" s="8"/>
      <c r="O228" s="23"/>
      <c r="U228" s="8"/>
      <c r="V228" s="8"/>
      <c r="W228" s="17"/>
      <c r="AN228" s="8"/>
      <c r="AO228" s="8"/>
      <c r="AP228" s="17"/>
    </row>
    <row r="229" spans="1:46">
      <c r="N229" s="8"/>
      <c r="O229" s="23"/>
      <c r="U229" s="8"/>
      <c r="V229" s="8"/>
      <c r="W229" s="17"/>
      <c r="AN229" s="8"/>
      <c r="AO229" s="8"/>
      <c r="AP229" s="17"/>
    </row>
    <row r="230" spans="1:46">
      <c r="N230" s="8"/>
      <c r="U230" s="8"/>
      <c r="V230" s="8"/>
      <c r="W230" s="17"/>
      <c r="AN230" s="8"/>
      <c r="AO230" s="8"/>
      <c r="AP230" s="17"/>
    </row>
    <row r="231" spans="1:46">
      <c r="N231" s="8"/>
      <c r="U231" s="8"/>
      <c r="V231" s="8"/>
      <c r="W231" s="17"/>
      <c r="AN231" s="8"/>
      <c r="AO231" s="8"/>
      <c r="AP231" s="17"/>
    </row>
    <row r="232" spans="1:46">
      <c r="N232" s="8"/>
      <c r="U232" s="8"/>
      <c r="V232" s="8"/>
      <c r="W232" s="17"/>
      <c r="AN232" s="8"/>
      <c r="AO232" s="8"/>
      <c r="AP232" s="17"/>
    </row>
    <row r="233" spans="1:46">
      <c r="N233" s="8"/>
      <c r="U233" s="8"/>
      <c r="V233" s="8"/>
      <c r="W233" s="17"/>
      <c r="AN233" s="8"/>
      <c r="AO233" s="8"/>
      <c r="AP233" s="17"/>
    </row>
    <row r="234" spans="1:46">
      <c r="N234" s="8"/>
      <c r="U234" s="8"/>
      <c r="V234" s="8"/>
      <c r="AN234" s="8"/>
      <c r="AO234" s="8"/>
      <c r="AP234" s="17"/>
    </row>
    <row r="235" spans="1:46">
      <c r="N235" s="8"/>
      <c r="U235" s="8"/>
      <c r="V235" s="8"/>
      <c r="AN235" s="8"/>
      <c r="AO235" s="8"/>
      <c r="AP235" s="17"/>
    </row>
    <row r="236" spans="1:46">
      <c r="N236" s="8"/>
      <c r="U236" s="8"/>
      <c r="V236" s="8"/>
      <c r="AN236" s="8"/>
      <c r="AO236" s="8"/>
      <c r="AP236" s="17"/>
    </row>
    <row r="237" spans="1:46">
      <c r="N237" s="8"/>
      <c r="U237" s="8"/>
      <c r="V237" s="8"/>
      <c r="AN237" s="8"/>
      <c r="AO237" s="8"/>
      <c r="AP237" s="17"/>
    </row>
    <row r="238" spans="1:46">
      <c r="N238" s="8"/>
      <c r="U238" s="8"/>
      <c r="V238" s="8"/>
      <c r="AN238" s="8"/>
      <c r="AO238" s="8"/>
      <c r="AP238" s="17"/>
    </row>
    <row r="239" spans="1:46">
      <c r="N239" s="8"/>
      <c r="U239" s="8"/>
      <c r="V239" s="8"/>
      <c r="AN239" s="8"/>
      <c r="AO239" s="8"/>
      <c r="AP239" s="17"/>
    </row>
    <row r="240" spans="1:46">
      <c r="N240" s="8"/>
      <c r="U240" s="8"/>
      <c r="V240" s="8"/>
      <c r="AN240" s="8"/>
      <c r="AO240" s="8"/>
      <c r="AP240" s="17"/>
    </row>
    <row r="241" spans="14:42">
      <c r="N241" s="8"/>
      <c r="U241" s="8"/>
      <c r="V241" s="8"/>
      <c r="AN241" s="8"/>
      <c r="AO241" s="8"/>
      <c r="AP241" s="17"/>
    </row>
    <row r="242" spans="14:42">
      <c r="N242" s="8"/>
      <c r="U242" s="8"/>
      <c r="V242" s="8"/>
      <c r="AN242" s="8"/>
      <c r="AO242" s="8"/>
      <c r="AP242" s="17"/>
    </row>
    <row r="243" spans="14:42">
      <c r="N243" s="8"/>
      <c r="U243" s="8"/>
      <c r="V243" s="8"/>
      <c r="AN243" s="8"/>
      <c r="AO243" s="8"/>
      <c r="AP243" s="17"/>
    </row>
    <row r="244" spans="14:42">
      <c r="N244" s="8"/>
      <c r="U244" s="8"/>
      <c r="V244" s="8"/>
      <c r="AN244" s="8"/>
      <c r="AO244" s="8"/>
      <c r="AP244" s="17"/>
    </row>
    <row r="245" spans="14:42">
      <c r="N245" s="8"/>
      <c r="U245" s="8"/>
      <c r="V245" s="8"/>
      <c r="AN245" s="8"/>
      <c r="AO245" s="8"/>
      <c r="AP245" s="17"/>
    </row>
    <row r="246" spans="14:42">
      <c r="N246" s="8"/>
      <c r="U246" s="8"/>
      <c r="V246" s="8"/>
      <c r="AN246" s="8"/>
      <c r="AO246" s="8"/>
      <c r="AP246" s="17"/>
    </row>
    <row r="247" spans="14:42">
      <c r="N247" s="8"/>
      <c r="U247" s="8"/>
      <c r="V247" s="8"/>
      <c r="AN247" s="8"/>
      <c r="AO247" s="8"/>
      <c r="AP247" s="17"/>
    </row>
    <row r="248" spans="14:42">
      <c r="N248" s="8"/>
      <c r="U248" s="8"/>
      <c r="V248" s="8"/>
      <c r="AN248" s="8"/>
      <c r="AO248" s="8"/>
      <c r="AP248" s="17"/>
    </row>
    <row r="249" spans="14:42">
      <c r="N249" s="8"/>
      <c r="U249" s="8"/>
      <c r="V249" s="8"/>
      <c r="AN249" s="8"/>
      <c r="AO249" s="8"/>
      <c r="AP249" s="17"/>
    </row>
    <row r="250" spans="14:42">
      <c r="N250" s="8"/>
      <c r="U250" s="8"/>
      <c r="V250" s="8"/>
      <c r="AN250" s="8"/>
      <c r="AO250" s="8"/>
      <c r="AP250" s="17"/>
    </row>
    <row r="251" spans="14:42">
      <c r="N251" s="8"/>
      <c r="U251" s="8"/>
      <c r="V251" s="8"/>
      <c r="AN251" s="8"/>
      <c r="AO251" s="8"/>
      <c r="AP251" s="17"/>
    </row>
    <row r="252" spans="14:42">
      <c r="N252" s="8"/>
      <c r="U252" s="8"/>
      <c r="V252" s="8"/>
      <c r="AN252" s="8"/>
      <c r="AO252" s="8"/>
      <c r="AP252" s="17"/>
    </row>
    <row r="253" spans="14:42">
      <c r="U253" s="8"/>
      <c r="V253" s="8"/>
      <c r="AN253" s="8"/>
      <c r="AO253" s="8"/>
      <c r="AP253" s="17"/>
    </row>
    <row r="254" spans="14:42">
      <c r="U254" s="8"/>
      <c r="V254" s="8"/>
      <c r="AN254" s="8"/>
      <c r="AO254" s="8"/>
      <c r="AP254" s="17"/>
    </row>
    <row r="255" spans="14:42">
      <c r="U255" s="8"/>
      <c r="V255" s="8"/>
      <c r="AN255" s="8"/>
      <c r="AO255" s="8"/>
      <c r="AP255" s="17"/>
    </row>
    <row r="256" spans="14:42">
      <c r="U256" s="8"/>
      <c r="V256" s="8"/>
      <c r="AN256" s="8"/>
      <c r="AO256" s="8"/>
      <c r="AP256" s="17"/>
    </row>
    <row r="257" spans="21:42">
      <c r="U257" s="8"/>
      <c r="V257" s="8"/>
      <c r="AN257" s="8"/>
      <c r="AO257" s="8"/>
      <c r="AP257" s="17"/>
    </row>
    <row r="258" spans="21:42">
      <c r="U258" s="8"/>
      <c r="V258" s="8"/>
      <c r="AN258" s="8"/>
      <c r="AO258" s="8"/>
      <c r="AP258" s="17"/>
    </row>
    <row r="259" spans="21:42">
      <c r="U259" s="8"/>
      <c r="V259" s="8"/>
      <c r="AN259" s="8"/>
      <c r="AO259" s="8"/>
      <c r="AP259" s="17"/>
    </row>
    <row r="260" spans="21:42">
      <c r="U260" s="8"/>
      <c r="V260" s="8"/>
      <c r="AN260" s="8"/>
      <c r="AO260" s="8"/>
      <c r="AP260" s="17"/>
    </row>
    <row r="261" spans="21:42">
      <c r="U261" s="8"/>
      <c r="V261" s="8"/>
      <c r="AN261" s="8"/>
      <c r="AO261" s="8"/>
      <c r="AP261" s="17"/>
    </row>
    <row r="262" spans="21:42">
      <c r="U262" s="8"/>
      <c r="V262" s="8"/>
      <c r="AN262" s="8"/>
      <c r="AO262" s="8"/>
      <c r="AP262" s="17"/>
    </row>
    <row r="263" spans="21:42">
      <c r="U263" s="8"/>
      <c r="V263" s="8"/>
      <c r="AN263" s="8"/>
      <c r="AO263" s="8"/>
      <c r="AP263" s="17"/>
    </row>
    <row r="264" spans="21:42">
      <c r="U264" s="8"/>
      <c r="V264" s="8"/>
      <c r="AN264" s="8"/>
      <c r="AO264" s="8"/>
      <c r="AP264" s="17"/>
    </row>
    <row r="265" spans="21:42">
      <c r="U265" s="8"/>
      <c r="V265" s="8"/>
      <c r="AN265" s="8"/>
      <c r="AO265" s="8"/>
      <c r="AP265" s="17"/>
    </row>
    <row r="266" spans="21:42">
      <c r="U266" s="8"/>
      <c r="V266" s="8"/>
      <c r="AN266" s="8"/>
      <c r="AO266" s="8"/>
      <c r="AP266" s="17"/>
    </row>
    <row r="267" spans="21:42">
      <c r="U267" s="8"/>
      <c r="V267" s="8"/>
      <c r="AN267" s="8"/>
      <c r="AO267" s="8"/>
      <c r="AP267" s="17"/>
    </row>
    <row r="268" spans="21:42">
      <c r="U268" s="8"/>
      <c r="V268" s="8"/>
      <c r="AN268" s="8"/>
      <c r="AO268" s="8"/>
      <c r="AP268" s="17"/>
    </row>
    <row r="269" spans="21:42">
      <c r="U269" s="8"/>
      <c r="V269" s="8"/>
      <c r="AN269" s="8"/>
      <c r="AO269" s="8"/>
      <c r="AP269" s="17"/>
    </row>
    <row r="270" spans="21:42">
      <c r="U270" s="8"/>
      <c r="V270" s="8"/>
      <c r="AN270" s="8"/>
      <c r="AO270" s="8"/>
      <c r="AP270" s="17"/>
    </row>
    <row r="271" spans="21:42">
      <c r="U271" s="8"/>
      <c r="V271" s="8"/>
      <c r="AN271" s="8"/>
      <c r="AO271" s="8"/>
      <c r="AP271" s="17"/>
    </row>
    <row r="272" spans="21:42">
      <c r="U272" s="8"/>
      <c r="V272" s="8"/>
      <c r="AN272" s="8"/>
      <c r="AO272" s="8"/>
      <c r="AP272" s="17"/>
    </row>
    <row r="273" spans="21:42">
      <c r="U273" s="8"/>
      <c r="V273" s="8"/>
      <c r="AN273" s="8"/>
      <c r="AO273" s="8"/>
      <c r="AP273" s="17"/>
    </row>
    <row r="274" spans="21:42">
      <c r="U274" s="8"/>
      <c r="V274" s="8"/>
      <c r="AN274" s="8"/>
      <c r="AO274" s="8"/>
      <c r="AP274" s="17"/>
    </row>
    <row r="275" spans="21:42">
      <c r="U275" s="8"/>
      <c r="V275" s="8"/>
      <c r="AN275" s="8"/>
      <c r="AO275" s="8"/>
      <c r="AP275" s="17"/>
    </row>
    <row r="276" spans="21:42">
      <c r="U276" s="8"/>
      <c r="V276" s="8"/>
      <c r="AN276" s="8"/>
      <c r="AO276" s="8"/>
      <c r="AP276" s="17"/>
    </row>
    <row r="277" spans="21:42">
      <c r="U277" s="8"/>
      <c r="V277" s="8"/>
      <c r="AN277" s="8"/>
      <c r="AO277" s="8"/>
      <c r="AP277" s="17"/>
    </row>
    <row r="278" spans="21:42">
      <c r="U278" s="8"/>
      <c r="V278" s="8"/>
      <c r="AN278" s="8"/>
      <c r="AO278" s="8"/>
      <c r="AP278" s="17"/>
    </row>
    <row r="279" spans="21:42">
      <c r="AN279" s="8"/>
      <c r="AO279" s="8"/>
      <c r="AP279" s="17"/>
    </row>
    <row r="280" spans="21:42">
      <c r="AN280" s="8"/>
      <c r="AO280" s="8"/>
      <c r="AP280" s="17"/>
    </row>
    <row r="281" spans="21:42">
      <c r="AN281" s="8"/>
      <c r="AO281" s="8"/>
      <c r="AP281" s="17"/>
    </row>
    <row r="282" spans="21:42">
      <c r="AN282" s="8"/>
      <c r="AO282" s="8"/>
      <c r="AP282" s="17"/>
    </row>
    <row r="283" spans="21:42">
      <c r="AN283" s="8"/>
      <c r="AO283" s="8"/>
      <c r="AP283" s="17"/>
    </row>
    <row r="284" spans="21:42">
      <c r="AN284" s="8"/>
      <c r="AO284" s="8"/>
      <c r="AP284" s="17"/>
    </row>
    <row r="285" spans="21:42">
      <c r="AO285" s="8"/>
      <c r="AP285" s="17"/>
    </row>
    <row r="286" spans="21:42">
      <c r="AO286" s="8"/>
      <c r="AP286" s="17"/>
    </row>
    <row r="287" spans="21:42">
      <c r="AO287" s="8"/>
      <c r="AP287" s="17"/>
    </row>
    <row r="288" spans="21:42">
      <c r="AO288" s="8"/>
      <c r="AP288" s="17"/>
    </row>
    <row r="289" spans="41:42">
      <c r="AO289" s="8"/>
      <c r="AP289" s="17"/>
    </row>
    <row r="290" spans="41:42">
      <c r="AO290" s="8"/>
      <c r="AP290" s="17"/>
    </row>
    <row r="291" spans="41:42">
      <c r="AO291" s="8"/>
      <c r="AP291" s="17"/>
    </row>
    <row r="292" spans="41:42">
      <c r="AO292" s="8"/>
      <c r="AP292" s="17"/>
    </row>
    <row r="293" spans="41:42">
      <c r="AO293" s="8"/>
      <c r="AP293" s="17"/>
    </row>
    <row r="294" spans="41:42">
      <c r="AO294" s="8"/>
      <c r="AP294" s="17"/>
    </row>
    <row r="295" spans="41:42">
      <c r="AO295" s="8"/>
      <c r="AP295" s="17"/>
    </row>
    <row r="296" spans="41:42">
      <c r="AO296" s="8"/>
      <c r="AP296" s="17"/>
    </row>
    <row r="297" spans="41:42">
      <c r="AO297" s="8"/>
      <c r="AP297" s="17"/>
    </row>
    <row r="298" spans="41:42">
      <c r="AP298" s="17"/>
    </row>
    <row r="299" spans="41:42">
      <c r="AP299" s="17"/>
    </row>
    <row r="300" spans="41:42">
      <c r="AP300" s="17"/>
    </row>
    <row r="301" spans="41:42">
      <c r="AP301" s="17"/>
    </row>
    <row r="302" spans="41:42">
      <c r="AP302" s="17"/>
    </row>
    <row r="303" spans="41:42">
      <c r="AP303" s="17"/>
    </row>
    <row r="304" spans="41:42">
      <c r="AP304" s="17"/>
    </row>
    <row r="305" spans="42:42">
      <c r="AP305" s="17"/>
    </row>
    <row r="306" spans="42:42">
      <c r="AP306" s="17"/>
    </row>
    <row r="307" spans="42:42">
      <c r="AP307" s="17"/>
    </row>
    <row r="308" spans="42:42">
      <c r="AP308" s="17"/>
    </row>
    <row r="309" spans="42:42">
      <c r="AP309" s="17"/>
    </row>
    <row r="310" spans="42:42">
      <c r="AP310" s="17"/>
    </row>
    <row r="311" spans="42:42">
      <c r="AP311" s="17"/>
    </row>
    <row r="312" spans="42:42">
      <c r="AP312" s="17"/>
    </row>
    <row r="313" spans="42:42">
      <c r="AP313" s="17"/>
    </row>
    <row r="314" spans="42:42">
      <c r="AP314" s="17"/>
    </row>
    <row r="315" spans="42:42">
      <c r="AP315" s="17"/>
    </row>
    <row r="316" spans="42:42">
      <c r="AP316" s="17"/>
    </row>
    <row r="317" spans="42:42">
      <c r="AP317" s="17"/>
    </row>
    <row r="318" spans="42:42">
      <c r="AP318" s="17"/>
    </row>
    <row r="319" spans="42:42">
      <c r="AP319" s="17"/>
    </row>
    <row r="320" spans="42:42">
      <c r="AP320" s="17"/>
    </row>
    <row r="321" spans="42:42">
      <c r="AP321" s="17"/>
    </row>
    <row r="322" spans="42:42">
      <c r="AP322" s="17"/>
    </row>
    <row r="323" spans="42:42">
      <c r="AP323" s="17"/>
    </row>
    <row r="324" spans="42:42">
      <c r="AP324" s="17"/>
    </row>
    <row r="325" spans="42:42">
      <c r="AP325" s="17"/>
    </row>
    <row r="326" spans="42:42">
      <c r="AP326" s="17"/>
    </row>
    <row r="327" spans="42:42">
      <c r="AP327" s="17"/>
    </row>
    <row r="328" spans="42:42">
      <c r="AP328" s="17"/>
    </row>
    <row r="329" spans="42:42">
      <c r="AP329" s="17"/>
    </row>
    <row r="330" spans="42:42">
      <c r="AP330" s="17"/>
    </row>
    <row r="331" spans="42:42">
      <c r="AP331" s="17"/>
    </row>
    <row r="332" spans="42:42">
      <c r="AP332" s="17"/>
    </row>
    <row r="333" spans="42:42">
      <c r="AP333" s="17"/>
    </row>
    <row r="334" spans="42:42">
      <c r="AP334" s="17"/>
    </row>
    <row r="335" spans="42:42">
      <c r="AP335" s="17"/>
    </row>
    <row r="336" spans="42:42">
      <c r="AP336" s="17"/>
    </row>
    <row r="337" spans="42:42">
      <c r="AP337" s="17"/>
    </row>
    <row r="338" spans="42:42">
      <c r="AP338" s="17"/>
    </row>
    <row r="339" spans="42:42">
      <c r="AP339" s="17"/>
    </row>
    <row r="340" spans="42:42">
      <c r="AP340" s="17"/>
    </row>
    <row r="341" spans="42:42">
      <c r="AP341" s="17"/>
    </row>
    <row r="342" spans="42:42">
      <c r="AP342" s="17"/>
    </row>
    <row r="343" spans="42:42">
      <c r="AP343" s="17"/>
    </row>
    <row r="344" spans="42:42">
      <c r="AP344" s="17"/>
    </row>
    <row r="345" spans="42:42">
      <c r="AP345" s="17"/>
    </row>
    <row r="346" spans="42:42">
      <c r="AP346" s="17"/>
    </row>
    <row r="347" spans="42:42">
      <c r="AP347" s="17"/>
    </row>
    <row r="348" spans="42:42">
      <c r="AP348" s="17"/>
    </row>
    <row r="349" spans="42:42">
      <c r="AP349" s="17"/>
    </row>
    <row r="350" spans="42:42">
      <c r="AP350" s="17"/>
    </row>
    <row r="351" spans="42:42">
      <c r="AP351" s="17"/>
    </row>
    <row r="352" spans="42:42">
      <c r="AP352" s="17"/>
    </row>
    <row r="353" spans="42:42">
      <c r="AP353" s="17"/>
    </row>
  </sheetData>
  <hyperlinks>
    <hyperlink ref="J3" r:id="rId1" xr:uid="{BC163D94-1D7A-E743-A16A-42DAA14DCF02}"/>
    <hyperlink ref="M3" r:id="rId2" xr:uid="{A486A426-F765-ED4E-BB2B-8A7C7FA5F557}"/>
    <hyperlink ref="T3" r:id="rId3" location="/indicies/HDI" xr:uid="{B7CE4FC1-D768-2347-A4A7-7231B54C56E9}"/>
    <hyperlink ref="AG3" r:id="rId4" xr:uid="{26C618D8-74A4-C24D-8CC5-C5AC5F0ECB39}"/>
    <hyperlink ref="AH3" r:id="rId5" xr:uid="{BA0036CD-D455-D640-952B-9493A473DB26}"/>
    <hyperlink ref="AP3" r:id="rId6" xr:uid="{2779E3F8-3E06-F045-8BAE-6C5660E72220}"/>
    <hyperlink ref="I3" r:id="rId7" xr:uid="{FAB01F22-A9A0-504B-9721-83088F9BCE14}"/>
    <hyperlink ref="P3" r:id="rId8" xr:uid="{740105C7-11C9-0C44-A57F-1481DC44BD4E}"/>
    <hyperlink ref="Q3" r:id="rId9" xr:uid="{21964539-4AE8-CA4A-8D92-610612F4178A}"/>
    <hyperlink ref="L3" r:id="rId10" xr:uid="{7CF5E8C3-5A7E-FB4E-8EFC-6BD65643A6F6}"/>
    <hyperlink ref="S3" r:id="rId11" location="/indicies/HDI" xr:uid="{4D9A7BA0-C9C5-D84B-B374-0E87CD2266B6}"/>
    <hyperlink ref="AB3" r:id="rId12" xr:uid="{C26CF6D9-245C-1947-8C99-645FE42687DF}"/>
    <hyperlink ref="AD3" r:id="rId13" xr:uid="{5CFF4D20-44D6-6F43-903D-32B441B45D6B}"/>
    <hyperlink ref="K3" r:id="rId14" xr:uid="{0692CF19-347E-1845-A72B-FDDB70F8E7F2}"/>
    <hyperlink ref="E3" r:id="rId15" display="https://www.eia.gov/international/data/world/total-energy/total-energy-production?pd=44&amp;p=004000000000000000000000000000000000000000000000000000000f00o&amp;u=0&amp;f=A&amp;v=mapbubble&amp;a=-&amp;i=none&amp;vo=value&amp;t=C&amp;g=00000000000000000000000000000000000000000000000001&amp;l=249-ruvvvvvfvtvnvv1vrvvvvfvvvvvvfvvvou20evvvvvvvvvvnvvvs0008&amp;s=315532800000&amp;e=1546300800000&amp;" xr:uid="{F0D4B5FB-92FD-2A48-9851-41BBB89AA563}"/>
    <hyperlink ref="AI3" r:id="rId16" xr:uid="{3A922561-90DF-A245-9A5A-80FB6BBC4EEA}"/>
    <hyperlink ref="H3" r:id="rId17" xr:uid="{2B161995-2D1B-E04A-82C9-3BB44413E023}"/>
    <hyperlink ref="AO3" r:id="rId18" xr:uid="{B00ADCE5-FC91-2548-B999-B4B4268B34EE}"/>
    <hyperlink ref="V3" r:id="rId19" xr:uid="{B7042832-EBAD-5A46-90EC-C77D1D988279}"/>
  </hyperlinks>
  <pageMargins left="0.7" right="0.7" top="0.75" bottom="0.75" header="0.3" footer="0.3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8F55-EC1F-1148-8E34-68CFE4EE857C}">
  <dimension ref="A1:AP99"/>
  <sheetViews>
    <sheetView workbookViewId="0">
      <selection sqref="A1:A1048576"/>
    </sheetView>
  </sheetViews>
  <sheetFormatPr baseColWidth="10" defaultRowHeight="16"/>
  <sheetData>
    <row r="1" spans="1:42" s="7" customForma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303</v>
      </c>
      <c r="S1" s="1" t="s">
        <v>17</v>
      </c>
      <c r="T1" s="1" t="s">
        <v>18</v>
      </c>
      <c r="U1" s="4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309</v>
      </c>
      <c r="AA1" s="1" t="s">
        <v>25</v>
      </c>
      <c r="AB1" s="1" t="s">
        <v>304</v>
      </c>
      <c r="AC1" s="1" t="s">
        <v>26</v>
      </c>
      <c r="AD1" s="1" t="s">
        <v>27</v>
      </c>
      <c r="AE1" s="4" t="s">
        <v>28</v>
      </c>
      <c r="AF1" s="6" t="s">
        <v>305</v>
      </c>
      <c r="AG1" s="1" t="s">
        <v>29</v>
      </c>
      <c r="AH1" s="1" t="s">
        <v>30</v>
      </c>
      <c r="AI1" s="1" t="s">
        <v>311</v>
      </c>
      <c r="AJ1" s="1" t="s">
        <v>32</v>
      </c>
      <c r="AK1" s="1" t="s">
        <v>33</v>
      </c>
      <c r="AL1" s="1" t="s">
        <v>306</v>
      </c>
      <c r="AM1" s="1" t="s">
        <v>34</v>
      </c>
      <c r="AN1" s="1" t="s">
        <v>35</v>
      </c>
      <c r="AO1" s="7" t="s">
        <v>36</v>
      </c>
      <c r="AP1" s="7" t="s">
        <v>37</v>
      </c>
    </row>
    <row r="2" spans="1:42" hidden="1">
      <c r="A2" s="1" t="s">
        <v>38</v>
      </c>
      <c r="B2" s="8" t="s">
        <v>39</v>
      </c>
      <c r="C2" s="8" t="s">
        <v>39</v>
      </c>
      <c r="D2" s="8" t="s">
        <v>39</v>
      </c>
      <c r="E2" s="8" t="s">
        <v>39</v>
      </c>
      <c r="F2" s="8" t="s">
        <v>39</v>
      </c>
      <c r="G2" s="8" t="s">
        <v>39</v>
      </c>
      <c r="H2" s="8" t="s">
        <v>40</v>
      </c>
      <c r="I2" s="8" t="s">
        <v>40</v>
      </c>
      <c r="J2" s="8" t="s">
        <v>41</v>
      </c>
      <c r="K2" s="9" t="s">
        <v>41</v>
      </c>
      <c r="L2" s="8" t="s">
        <v>39</v>
      </c>
      <c r="M2" s="8" t="s">
        <v>39</v>
      </c>
      <c r="N2" s="8" t="s">
        <v>40</v>
      </c>
      <c r="O2" s="8" t="s">
        <v>40</v>
      </c>
      <c r="P2" s="8" t="s">
        <v>41</v>
      </c>
      <c r="Q2" s="8" t="s">
        <v>40</v>
      </c>
      <c r="R2" s="8" t="s">
        <v>41</v>
      </c>
      <c r="S2" s="8" t="s">
        <v>40</v>
      </c>
      <c r="T2" s="8" t="s">
        <v>40</v>
      </c>
      <c r="U2" s="8" t="s">
        <v>42</v>
      </c>
      <c r="V2" s="8" t="s">
        <v>41</v>
      </c>
      <c r="W2" s="8" t="s">
        <v>41</v>
      </c>
      <c r="X2" s="8" t="s">
        <v>41</v>
      </c>
      <c r="Y2" s="8" t="s">
        <v>41</v>
      </c>
      <c r="Z2" s="8" t="s">
        <v>41</v>
      </c>
      <c r="AA2" s="8" t="s">
        <v>41</v>
      </c>
      <c r="AB2" s="8" t="s">
        <v>41</v>
      </c>
      <c r="AC2" s="8" t="s">
        <v>41</v>
      </c>
      <c r="AD2" s="8" t="s">
        <v>40</v>
      </c>
      <c r="AE2" s="8" t="s">
        <v>39</v>
      </c>
      <c r="AF2" s="8" t="s">
        <v>41</v>
      </c>
      <c r="AG2" s="8" t="s">
        <v>41</v>
      </c>
      <c r="AH2" s="8" t="s">
        <v>41</v>
      </c>
      <c r="AI2" s="8" t="s">
        <v>39</v>
      </c>
      <c r="AJ2" s="8" t="s">
        <v>40</v>
      </c>
      <c r="AK2" s="8" t="s">
        <v>40</v>
      </c>
      <c r="AL2" s="8" t="s">
        <v>41</v>
      </c>
      <c r="AM2" s="8" t="s">
        <v>39</v>
      </c>
      <c r="AN2" s="8" t="s">
        <v>39</v>
      </c>
      <c r="AO2" s="8" t="s">
        <v>39</v>
      </c>
      <c r="AP2" s="8" t="s">
        <v>40</v>
      </c>
    </row>
    <row r="3" spans="1:42" hidden="1">
      <c r="A3" s="1" t="s">
        <v>43</v>
      </c>
      <c r="B3" s="8" t="s">
        <v>44</v>
      </c>
      <c r="C3" s="8" t="s">
        <v>44</v>
      </c>
      <c r="D3" s="8" t="s">
        <v>44</v>
      </c>
      <c r="E3" s="10" t="s">
        <v>44</v>
      </c>
      <c r="F3" s="8" t="s">
        <v>44</v>
      </c>
      <c r="G3" s="8" t="s">
        <v>44</v>
      </c>
      <c r="H3" s="11" t="s">
        <v>45</v>
      </c>
      <c r="I3" s="10" t="s">
        <v>46</v>
      </c>
      <c r="J3" s="12" t="s">
        <v>47</v>
      </c>
      <c r="K3" s="10" t="s">
        <v>48</v>
      </c>
      <c r="L3" s="10" t="s">
        <v>49</v>
      </c>
      <c r="M3" s="11" t="s">
        <v>49</v>
      </c>
      <c r="N3" s="8" t="s">
        <v>50</v>
      </c>
      <c r="O3" s="13" t="s">
        <v>50</v>
      </c>
      <c r="P3" s="10" t="s">
        <v>51</v>
      </c>
      <c r="Q3" s="10" t="s">
        <v>52</v>
      </c>
      <c r="R3" s="8" t="s">
        <v>53</v>
      </c>
      <c r="S3" s="14" t="s">
        <v>54</v>
      </c>
      <c r="T3" s="11" t="s">
        <v>54</v>
      </c>
      <c r="U3" s="10" t="s">
        <v>55</v>
      </c>
      <c r="V3" s="8" t="s">
        <v>56</v>
      </c>
      <c r="W3" s="8" t="s">
        <v>57</v>
      </c>
      <c r="X3" s="8" t="s">
        <v>47</v>
      </c>
      <c r="Y3" s="8" t="s">
        <v>58</v>
      </c>
      <c r="Z3" s="8" t="s">
        <v>59</v>
      </c>
      <c r="AA3" s="10" t="s">
        <v>61</v>
      </c>
      <c r="AB3" s="10" t="s">
        <v>62</v>
      </c>
      <c r="AC3" s="8" t="s">
        <v>47</v>
      </c>
      <c r="AD3" s="8" t="s">
        <v>54</v>
      </c>
      <c r="AE3" s="10" t="s">
        <v>63</v>
      </c>
      <c r="AF3" s="11" t="s">
        <v>64</v>
      </c>
      <c r="AG3" s="10" t="s">
        <v>65</v>
      </c>
      <c r="AH3" s="8" t="s">
        <v>66</v>
      </c>
      <c r="AI3" s="8" t="s">
        <v>67</v>
      </c>
      <c r="AJ3" s="11" t="s">
        <v>307</v>
      </c>
      <c r="AK3" s="10" t="s">
        <v>68</v>
      </c>
      <c r="AL3" s="16" t="s">
        <v>69</v>
      </c>
      <c r="AM3" s="8" t="s">
        <v>70</v>
      </c>
      <c r="AN3" s="8" t="s">
        <v>70</v>
      </c>
      <c r="AO3" s="8" t="s">
        <v>70</v>
      </c>
      <c r="AP3" t="s">
        <v>71</v>
      </c>
    </row>
    <row r="4" spans="1:42" hidden="1">
      <c r="A4" s="1" t="s">
        <v>72</v>
      </c>
      <c r="B4" s="8">
        <v>2019</v>
      </c>
      <c r="C4" s="8">
        <v>2019</v>
      </c>
      <c r="D4" s="8">
        <v>2019</v>
      </c>
      <c r="E4" s="8">
        <v>2019</v>
      </c>
      <c r="F4" s="8">
        <v>2019</v>
      </c>
      <c r="G4" s="8">
        <v>2019</v>
      </c>
      <c r="H4" s="8">
        <v>2021</v>
      </c>
      <c r="I4" s="8">
        <v>2021</v>
      </c>
      <c r="J4" s="8">
        <v>2019</v>
      </c>
      <c r="K4" s="8" t="s">
        <v>73</v>
      </c>
      <c r="L4" s="8">
        <v>2022</v>
      </c>
      <c r="M4" s="8">
        <v>2021</v>
      </c>
      <c r="N4" s="8">
        <v>2020</v>
      </c>
      <c r="O4" s="8">
        <v>2020</v>
      </c>
      <c r="P4" s="8">
        <v>2021</v>
      </c>
      <c r="Q4" s="8">
        <v>2021</v>
      </c>
      <c r="R4" s="8" t="s">
        <v>74</v>
      </c>
      <c r="S4" s="8">
        <v>2021</v>
      </c>
      <c r="T4" s="8">
        <v>2021</v>
      </c>
      <c r="U4" s="8">
        <v>2022</v>
      </c>
      <c r="V4" s="8">
        <v>2021</v>
      </c>
      <c r="W4" s="8">
        <v>2019</v>
      </c>
      <c r="X4" s="8">
        <v>2019</v>
      </c>
      <c r="Y4" s="8">
        <v>2022</v>
      </c>
      <c r="Z4" s="8">
        <v>2022</v>
      </c>
      <c r="AA4" s="8">
        <v>2023</v>
      </c>
      <c r="AB4" s="8">
        <v>2021</v>
      </c>
      <c r="AC4" s="8">
        <v>2019</v>
      </c>
      <c r="AD4" s="8">
        <v>2021</v>
      </c>
      <c r="AE4" s="8" t="s">
        <v>75</v>
      </c>
      <c r="AF4" s="8">
        <v>2022</v>
      </c>
      <c r="AG4" s="8">
        <v>2021</v>
      </c>
      <c r="AH4" s="8">
        <v>2021</v>
      </c>
      <c r="AI4" s="8">
        <v>2022</v>
      </c>
      <c r="AJ4" s="8">
        <v>2022</v>
      </c>
      <c r="AK4" s="8">
        <v>2021</v>
      </c>
      <c r="AL4" s="8">
        <v>2020</v>
      </c>
      <c r="AM4" s="8">
        <v>2022</v>
      </c>
      <c r="AN4" s="8">
        <v>2022</v>
      </c>
      <c r="AO4" s="8">
        <v>2022</v>
      </c>
      <c r="AP4" s="8">
        <v>2022</v>
      </c>
    </row>
    <row r="5" spans="1:42">
      <c r="A5" s="22" t="s">
        <v>79</v>
      </c>
      <c r="B5">
        <v>9.1399757885471597E-2</v>
      </c>
      <c r="C5">
        <v>1.13555559521066E-3</v>
      </c>
      <c r="D5">
        <v>2.7492780838860001E-3</v>
      </c>
      <c r="E5">
        <v>4.1423178506375002E-2</v>
      </c>
      <c r="F5" s="8">
        <v>0</v>
      </c>
      <c r="G5">
        <v>4.6091745699999999E-2</v>
      </c>
      <c r="H5" s="17">
        <v>62</v>
      </c>
      <c r="I5" s="8">
        <v>11.8</v>
      </c>
      <c r="J5" s="8">
        <v>65.8</v>
      </c>
      <c r="K5" s="8">
        <v>35</v>
      </c>
      <c r="L5" s="8">
        <v>51</v>
      </c>
      <c r="M5" s="8">
        <v>49</v>
      </c>
      <c r="N5" s="19">
        <v>95.067999999999998</v>
      </c>
      <c r="O5" s="23">
        <v>5.84</v>
      </c>
      <c r="P5" s="8">
        <v>-0.9</v>
      </c>
      <c r="Q5" s="13">
        <v>2911.67</v>
      </c>
      <c r="R5" s="8">
        <v>-2392168.08</v>
      </c>
      <c r="S5" s="8">
        <v>11.3</v>
      </c>
      <c r="T5" s="8">
        <v>76.5</v>
      </c>
      <c r="U5" s="19">
        <v>3</v>
      </c>
      <c r="V5" s="21">
        <v>1377655</v>
      </c>
      <c r="W5" s="8">
        <v>30</v>
      </c>
      <c r="X5" s="8">
        <v>57.7</v>
      </c>
      <c r="Y5" s="8">
        <v>4.3</v>
      </c>
      <c r="Z5" s="8">
        <v>70.2</v>
      </c>
      <c r="AA5" s="8">
        <f>6.59*1000</f>
        <v>6590</v>
      </c>
      <c r="AB5" s="8">
        <v>1218.5899999999999</v>
      </c>
      <c r="AC5" s="8">
        <v>26.8</v>
      </c>
      <c r="AD5" s="8">
        <v>14.4</v>
      </c>
      <c r="AE5" s="8"/>
      <c r="AF5" s="8">
        <v>0.107</v>
      </c>
      <c r="AG5" s="8">
        <v>35</v>
      </c>
      <c r="AH5" s="8">
        <v>15</v>
      </c>
      <c r="AI5" s="8">
        <v>1</v>
      </c>
      <c r="AJ5" s="8">
        <v>37.5</v>
      </c>
      <c r="AK5" s="8">
        <v>67.484035155935302</v>
      </c>
      <c r="AL5" s="21">
        <v>100</v>
      </c>
      <c r="AM5" s="8">
        <v>45.5</v>
      </c>
      <c r="AN5" s="8">
        <v>13.4</v>
      </c>
      <c r="AO5" s="8">
        <v>52.5</v>
      </c>
      <c r="AP5" s="8">
        <v>1.7609999999999999</v>
      </c>
    </row>
    <row r="6" spans="1:42">
      <c r="A6" s="25" t="s">
        <v>83</v>
      </c>
      <c r="B6">
        <v>3.5266384694823101</v>
      </c>
      <c r="C6" s="8">
        <v>0</v>
      </c>
      <c r="D6">
        <v>0.25023258120000003</v>
      </c>
      <c r="E6">
        <v>3.1776316282823101</v>
      </c>
      <c r="F6" s="8">
        <v>0</v>
      </c>
      <c r="G6">
        <v>9.8774260000000003E-2</v>
      </c>
      <c r="H6" s="17">
        <v>39</v>
      </c>
      <c r="I6" s="8">
        <v>8.5</v>
      </c>
      <c r="J6" s="26">
        <v>45.5</v>
      </c>
      <c r="K6" s="26">
        <v>25</v>
      </c>
      <c r="L6" s="8">
        <v>42</v>
      </c>
      <c r="M6" s="8">
        <v>4</v>
      </c>
      <c r="N6" s="17">
        <v>57.167999999999999</v>
      </c>
      <c r="O6" s="23">
        <v>75.69</v>
      </c>
      <c r="P6" s="8">
        <v>3.2</v>
      </c>
      <c r="Q6" s="13">
        <v>34503.769999999997</v>
      </c>
      <c r="R6" s="8">
        <v>14829788.6</v>
      </c>
      <c r="S6" s="26">
        <v>5.4</v>
      </c>
      <c r="T6" s="26">
        <v>61.6</v>
      </c>
      <c r="U6" s="17">
        <v>4</v>
      </c>
      <c r="V6" s="21">
        <v>14462432</v>
      </c>
      <c r="W6" s="26">
        <v>19</v>
      </c>
      <c r="X6" s="26">
        <v>40.200000000000003</v>
      </c>
      <c r="Y6" s="8">
        <v>11.8</v>
      </c>
      <c r="Z6" s="8">
        <v>52.5</v>
      </c>
      <c r="AA6" s="8">
        <f>4*1000</f>
        <v>4000</v>
      </c>
      <c r="AB6" s="8">
        <v>-4355.12</v>
      </c>
      <c r="AC6" s="26">
        <v>14.9</v>
      </c>
      <c r="AD6" s="26">
        <v>12.2</v>
      </c>
      <c r="AE6" s="26"/>
      <c r="AF6" s="26">
        <v>2.3E-2</v>
      </c>
      <c r="AG6" s="26">
        <v>29</v>
      </c>
      <c r="AH6" s="8">
        <v>25</v>
      </c>
      <c r="AI6" s="8">
        <v>3</v>
      </c>
      <c r="AJ6" s="8">
        <v>23.1</v>
      </c>
      <c r="AK6" s="8">
        <v>52.2264253212768</v>
      </c>
      <c r="AL6" s="21">
        <v>46.890609741210902</v>
      </c>
      <c r="AM6" s="8">
        <v>28.6</v>
      </c>
      <c r="AN6" s="8">
        <v>9.6</v>
      </c>
      <c r="AO6" s="8">
        <v>37.700000000000003</v>
      </c>
      <c r="AP6" s="8">
        <v>1.982</v>
      </c>
    </row>
    <row r="7" spans="1:42">
      <c r="A7" s="22" t="s">
        <v>86</v>
      </c>
      <c r="B7">
        <v>3.4340616299064601</v>
      </c>
      <c r="C7">
        <v>4.9272919021225796E-4</v>
      </c>
      <c r="D7">
        <v>1.6135832397300001</v>
      </c>
      <c r="E7">
        <v>1.30400884573625</v>
      </c>
      <c r="F7">
        <v>9.3123237085499994E-2</v>
      </c>
      <c r="G7">
        <v>0.42285357816449998</v>
      </c>
      <c r="H7" s="17">
        <v>73</v>
      </c>
      <c r="I7" s="8">
        <v>10.9</v>
      </c>
      <c r="J7" s="8">
        <v>51.1</v>
      </c>
      <c r="K7" s="8">
        <v>15</v>
      </c>
      <c r="L7" s="8">
        <v>55</v>
      </c>
      <c r="M7" s="8">
        <v>31</v>
      </c>
      <c r="N7" s="17">
        <v>99.024000000000001</v>
      </c>
      <c r="O7" s="23">
        <v>2.96</v>
      </c>
      <c r="P7" s="8">
        <v>0.9</v>
      </c>
      <c r="Q7" s="13">
        <v>45808.75</v>
      </c>
      <c r="R7" s="8">
        <v>15052826.49</v>
      </c>
      <c r="S7" s="8">
        <v>11.1</v>
      </c>
      <c r="T7" s="8">
        <v>75.400000000000006</v>
      </c>
      <c r="U7" s="17">
        <v>3</v>
      </c>
      <c r="V7" s="21">
        <v>21206029</v>
      </c>
      <c r="W7" s="8">
        <v>42</v>
      </c>
      <c r="X7" s="8">
        <v>68.3</v>
      </c>
      <c r="Y7" s="8">
        <v>76.099999999999994</v>
      </c>
      <c r="Z7" s="8">
        <v>69.5</v>
      </c>
      <c r="AA7" s="8">
        <f>13.77*1000</f>
        <v>13770</v>
      </c>
      <c r="AB7" s="8">
        <v>6782.35</v>
      </c>
      <c r="AC7" s="8">
        <v>23.8</v>
      </c>
      <c r="AD7" s="8">
        <v>17.899999999999999</v>
      </c>
      <c r="AE7" s="8"/>
      <c r="AF7" s="8">
        <v>3.5999999999999997E-2</v>
      </c>
      <c r="AG7" s="8">
        <v>38</v>
      </c>
      <c r="AH7" s="8">
        <v>25</v>
      </c>
      <c r="AI7" s="8">
        <v>20</v>
      </c>
      <c r="AJ7" s="8">
        <v>52</v>
      </c>
      <c r="AK7" s="8">
        <v>64.821355449747102</v>
      </c>
      <c r="AL7" s="17">
        <v>100</v>
      </c>
      <c r="AM7" s="8">
        <v>38.9</v>
      </c>
      <c r="AN7" s="8">
        <v>42.4</v>
      </c>
      <c r="AO7" s="8">
        <v>35.5</v>
      </c>
      <c r="AP7" s="8">
        <v>1.911</v>
      </c>
    </row>
    <row r="8" spans="1:42">
      <c r="A8" s="22" t="s">
        <v>87</v>
      </c>
      <c r="B8">
        <v>4.5262562450000002E-2</v>
      </c>
      <c r="C8" s="8">
        <v>0</v>
      </c>
      <c r="D8" s="8">
        <v>0</v>
      </c>
      <c r="E8" s="8">
        <v>0</v>
      </c>
      <c r="F8">
        <v>2.3790024999999999E-2</v>
      </c>
      <c r="G8">
        <v>2.1472537449999999E-2</v>
      </c>
      <c r="H8" s="17">
        <v>69</v>
      </c>
      <c r="I8" s="8">
        <v>20.9</v>
      </c>
      <c r="J8" s="8">
        <v>55.2</v>
      </c>
      <c r="K8" s="8">
        <v>14</v>
      </c>
      <c r="L8" s="8">
        <v>62</v>
      </c>
      <c r="M8" s="8">
        <v>44</v>
      </c>
      <c r="N8" s="17">
        <v>99.971000000000004</v>
      </c>
      <c r="O8" s="23">
        <v>10.71</v>
      </c>
      <c r="P8" s="8">
        <v>-0.5</v>
      </c>
      <c r="Q8" s="13">
        <v>2790.97</v>
      </c>
      <c r="R8" s="8">
        <v>-1107862.4099999999</v>
      </c>
      <c r="S8" s="8">
        <v>11.3</v>
      </c>
      <c r="T8" s="8">
        <v>72</v>
      </c>
      <c r="U8" s="29">
        <v>3</v>
      </c>
      <c r="V8" s="21">
        <v>1153003</v>
      </c>
      <c r="W8" s="8">
        <v>39</v>
      </c>
      <c r="X8" s="8">
        <v>69.400000000000006</v>
      </c>
      <c r="Y8" s="8">
        <v>7</v>
      </c>
      <c r="Z8" s="8">
        <v>52.9</v>
      </c>
      <c r="AA8" s="8">
        <f>6.57*1000</f>
        <v>6570</v>
      </c>
      <c r="AB8" s="8">
        <v>367.69</v>
      </c>
      <c r="AC8" s="8">
        <v>36.4</v>
      </c>
      <c r="AD8" s="8">
        <v>13.1</v>
      </c>
      <c r="AE8" s="8"/>
      <c r="AF8" s="8">
        <v>0.10199999999999999</v>
      </c>
      <c r="AG8" s="8">
        <v>49</v>
      </c>
      <c r="AH8" s="8">
        <v>18</v>
      </c>
      <c r="AI8" s="8">
        <v>0</v>
      </c>
      <c r="AJ8" s="8">
        <v>32.1</v>
      </c>
      <c r="AK8" s="8">
        <v>66.832039071671602</v>
      </c>
      <c r="AL8" s="17">
        <v>100</v>
      </c>
      <c r="AM8" s="8">
        <v>58.1</v>
      </c>
      <c r="AN8" s="8">
        <v>37.5</v>
      </c>
      <c r="AO8" s="8">
        <v>41.4</v>
      </c>
      <c r="AP8" s="8">
        <v>1.992</v>
      </c>
    </row>
    <row r="9" spans="1:42">
      <c r="A9" s="22" t="s">
        <v>89</v>
      </c>
      <c r="B9">
        <v>18.922531914677599</v>
      </c>
      <c r="C9">
        <v>12.160396164848599</v>
      </c>
      <c r="D9">
        <v>5.3999333829563998</v>
      </c>
      <c r="E9">
        <v>0.87831278442654503</v>
      </c>
      <c r="F9" s="8">
        <v>0</v>
      </c>
      <c r="G9">
        <v>0.483889582446</v>
      </c>
      <c r="H9" s="17">
        <v>87</v>
      </c>
      <c r="I9" s="8">
        <v>5.0999999999999996</v>
      </c>
      <c r="J9" s="8">
        <v>82.5</v>
      </c>
      <c r="K9" s="8">
        <v>100</v>
      </c>
      <c r="L9" s="8">
        <v>84</v>
      </c>
      <c r="M9" s="8">
        <v>75</v>
      </c>
      <c r="N9" s="17">
        <v>99.97</v>
      </c>
      <c r="O9" s="23">
        <v>0.25</v>
      </c>
      <c r="P9" s="8">
        <v>0.1</v>
      </c>
      <c r="Q9" s="13">
        <v>25688.080000000002</v>
      </c>
      <c r="R9" s="8">
        <v>91081898.140000001</v>
      </c>
      <c r="S9" s="8">
        <v>12.7</v>
      </c>
      <c r="T9" s="8">
        <v>84.5</v>
      </c>
      <c r="U9" s="17">
        <v>4</v>
      </c>
      <c r="V9" s="21">
        <v>13786254</v>
      </c>
      <c r="W9" s="8">
        <v>70</v>
      </c>
      <c r="X9" s="8">
        <v>79.2</v>
      </c>
      <c r="Y9" s="8">
        <v>4.8</v>
      </c>
      <c r="Z9" s="8">
        <v>58.6</v>
      </c>
      <c r="AA9" s="8">
        <f>68.02*1000</f>
        <v>68020</v>
      </c>
      <c r="AB9" s="8">
        <v>29126.63</v>
      </c>
      <c r="AC9" s="8">
        <v>79.2</v>
      </c>
      <c r="AD9" s="8">
        <v>21.1</v>
      </c>
      <c r="AE9" s="8"/>
      <c r="AF9" s="8">
        <v>0.215</v>
      </c>
      <c r="AG9" s="8">
        <v>73</v>
      </c>
      <c r="AH9" s="8">
        <v>30</v>
      </c>
      <c r="AI9" s="8">
        <v>8</v>
      </c>
      <c r="AJ9" s="8">
        <v>91.1</v>
      </c>
      <c r="AK9" s="8">
        <v>65.057515523364003</v>
      </c>
      <c r="AL9" s="17">
        <v>100</v>
      </c>
      <c r="AM9" s="8">
        <v>62.3</v>
      </c>
      <c r="AN9" s="8">
        <v>69</v>
      </c>
      <c r="AO9" s="8">
        <v>43.8</v>
      </c>
      <c r="AP9" s="8">
        <v>1.5649999999999999</v>
      </c>
    </row>
    <row r="10" spans="1:42">
      <c r="A10" s="22" t="s">
        <v>90</v>
      </c>
      <c r="B10">
        <v>0.56410934985922201</v>
      </c>
      <c r="C10" s="8">
        <v>0</v>
      </c>
      <c r="D10">
        <v>3.34832918475318E-2</v>
      </c>
      <c r="E10">
        <v>2.7553737077690401E-2</v>
      </c>
      <c r="F10" s="8">
        <v>0</v>
      </c>
      <c r="G10">
        <v>0.50307232093400001</v>
      </c>
      <c r="H10" s="17">
        <v>82</v>
      </c>
      <c r="I10" s="8">
        <v>6.3</v>
      </c>
      <c r="J10" s="8">
        <v>64.599999999999994</v>
      </c>
      <c r="K10" s="8">
        <v>96</v>
      </c>
      <c r="L10" s="8">
        <v>81</v>
      </c>
      <c r="M10" s="8">
        <v>84</v>
      </c>
      <c r="N10" s="17">
        <v>100</v>
      </c>
      <c r="O10" s="23">
        <v>0.43</v>
      </c>
      <c r="P10" s="8">
        <v>0.4</v>
      </c>
      <c r="Q10" s="13">
        <v>8955.7999999999993</v>
      </c>
      <c r="R10" s="8">
        <v>2507552.5499999998</v>
      </c>
      <c r="S10" s="8">
        <v>12.3</v>
      </c>
      <c r="T10" s="8">
        <v>81.599999999999994</v>
      </c>
      <c r="U10" s="17">
        <v>1</v>
      </c>
      <c r="V10" s="21">
        <v>4660820</v>
      </c>
      <c r="W10" s="8">
        <v>74</v>
      </c>
      <c r="X10" s="8">
        <v>89</v>
      </c>
      <c r="Y10" s="8">
        <v>5.0999999999999996</v>
      </c>
      <c r="Z10" s="8">
        <v>77.3</v>
      </c>
      <c r="AA10" s="8">
        <f>52.32*1000</f>
        <v>52320</v>
      </c>
      <c r="AB10" s="8">
        <v>7573.8</v>
      </c>
      <c r="AC10" s="8">
        <v>59.4</v>
      </c>
      <c r="AD10" s="8">
        <v>16</v>
      </c>
      <c r="AE10" s="8"/>
      <c r="AF10" s="8">
        <v>0.33100000000000002</v>
      </c>
      <c r="AG10" s="8">
        <v>74</v>
      </c>
      <c r="AH10" s="8">
        <v>25</v>
      </c>
      <c r="AI10" s="8">
        <v>1</v>
      </c>
      <c r="AJ10" s="8">
        <v>75</v>
      </c>
      <c r="AK10" s="8">
        <v>66.173349449153207</v>
      </c>
      <c r="AL10" s="17">
        <v>100</v>
      </c>
      <c r="AM10" s="8">
        <v>73.900000000000006</v>
      </c>
      <c r="AN10" s="8">
        <v>77.400000000000006</v>
      </c>
      <c r="AO10" s="8">
        <v>50.3</v>
      </c>
      <c r="AP10" s="8">
        <v>1.3</v>
      </c>
    </row>
    <row r="11" spans="1:42">
      <c r="A11" s="22" t="s">
        <v>94</v>
      </c>
      <c r="B11">
        <v>1.06001279778747</v>
      </c>
      <c r="C11">
        <v>1.95486662616688E-2</v>
      </c>
      <c r="D11">
        <v>1.0080073760749799</v>
      </c>
      <c r="E11">
        <v>2.2603372950819701E-2</v>
      </c>
      <c r="F11" s="8">
        <v>0</v>
      </c>
      <c r="G11">
        <v>9.8533825000000005E-3</v>
      </c>
      <c r="H11" s="17">
        <v>51</v>
      </c>
      <c r="I11" s="8">
        <v>5.2</v>
      </c>
      <c r="J11" s="8">
        <v>49</v>
      </c>
      <c r="K11" s="8">
        <v>40</v>
      </c>
      <c r="L11" s="8">
        <v>37</v>
      </c>
      <c r="M11" s="8">
        <v>41</v>
      </c>
      <c r="N11" s="17">
        <v>97.698000000000008</v>
      </c>
      <c r="O11" s="23">
        <v>28.17</v>
      </c>
      <c r="P11" s="8">
        <v>1.1000000000000001</v>
      </c>
      <c r="Q11" s="13">
        <v>169356.25</v>
      </c>
      <c r="R11" s="8">
        <v>-35916645.619999997</v>
      </c>
      <c r="S11" s="8">
        <v>7.4</v>
      </c>
      <c r="T11" s="8">
        <v>72.400000000000006</v>
      </c>
      <c r="U11" s="17">
        <v>5</v>
      </c>
      <c r="V11" s="21">
        <v>70961067</v>
      </c>
      <c r="W11" s="8">
        <v>31</v>
      </c>
      <c r="X11" s="8">
        <v>51.1</v>
      </c>
      <c r="Y11" s="8">
        <v>9.1</v>
      </c>
      <c r="Z11" s="8">
        <v>37.200000000000003</v>
      </c>
      <c r="AA11" s="8">
        <f>2.85*1000</f>
        <v>2850</v>
      </c>
      <c r="AB11" s="8">
        <v>1388.5</v>
      </c>
      <c r="AC11" s="8">
        <v>32.5</v>
      </c>
      <c r="AD11" s="8">
        <v>12.4</v>
      </c>
      <c r="AE11" s="8"/>
      <c r="AF11" s="8">
        <v>5.5E-2</v>
      </c>
      <c r="AG11" s="8">
        <v>26</v>
      </c>
      <c r="AH11" s="8">
        <v>30</v>
      </c>
      <c r="AI11" s="8">
        <v>78</v>
      </c>
      <c r="AJ11" s="8">
        <v>14.4</v>
      </c>
      <c r="AK11" s="8">
        <v>67.719904239023293</v>
      </c>
      <c r="AL11">
        <v>96.199996948242202</v>
      </c>
      <c r="AM11" s="8">
        <v>29.4</v>
      </c>
      <c r="AN11" s="8">
        <v>10.5</v>
      </c>
      <c r="AO11" s="8">
        <v>18.8</v>
      </c>
      <c r="AP11" s="8">
        <v>2.0670000000000002</v>
      </c>
    </row>
    <row r="12" spans="1:42">
      <c r="A12" s="22" t="s">
        <v>97</v>
      </c>
      <c r="B12">
        <v>0.6291810314456</v>
      </c>
      <c r="C12" s="8">
        <v>0</v>
      </c>
      <c r="D12">
        <v>1.42556232E-4</v>
      </c>
      <c r="E12">
        <v>7.3064474076125902E-2</v>
      </c>
      <c r="F12">
        <v>0.42768565871359998</v>
      </c>
      <c r="G12">
        <v>0.2013528165</v>
      </c>
      <c r="H12" s="17">
        <v>85</v>
      </c>
      <c r="I12" s="8">
        <v>6.4</v>
      </c>
      <c r="J12" s="8">
        <v>61.8</v>
      </c>
      <c r="K12" s="8">
        <v>86</v>
      </c>
      <c r="L12" s="8">
        <v>84</v>
      </c>
      <c r="M12" s="8">
        <v>78</v>
      </c>
      <c r="N12" s="17">
        <v>100</v>
      </c>
      <c r="O12" s="23">
        <v>0.22</v>
      </c>
      <c r="P12" s="8">
        <v>0.5</v>
      </c>
      <c r="Q12" s="13">
        <v>11592.95</v>
      </c>
      <c r="R12" s="8">
        <v>6605269.3600000003</v>
      </c>
      <c r="S12" s="8">
        <v>12.4</v>
      </c>
      <c r="T12" s="8">
        <v>81.900000000000006</v>
      </c>
      <c r="U12" s="17">
        <v>3</v>
      </c>
      <c r="V12" s="21">
        <v>5240308</v>
      </c>
      <c r="W12" s="8">
        <v>71</v>
      </c>
      <c r="X12" s="8">
        <v>87.3</v>
      </c>
      <c r="Y12" s="8">
        <v>4.9000000000000004</v>
      </c>
      <c r="Z12" s="8">
        <v>105.1</v>
      </c>
      <c r="AA12" s="8">
        <f>50.91*1000</f>
        <v>50910</v>
      </c>
      <c r="AB12" s="8">
        <v>68634.460000000006</v>
      </c>
      <c r="AC12" s="8">
        <v>71.900000000000006</v>
      </c>
      <c r="AD12" s="8">
        <v>19.600000000000001</v>
      </c>
      <c r="AE12" s="8"/>
      <c r="AF12" s="8">
        <v>0.436</v>
      </c>
      <c r="AG12" s="8">
        <v>73</v>
      </c>
      <c r="AH12" s="8">
        <v>25</v>
      </c>
      <c r="AI12" s="8">
        <v>0</v>
      </c>
      <c r="AJ12" s="8">
        <v>74.599999999999994</v>
      </c>
      <c r="AK12" s="8">
        <v>63.894819233772402</v>
      </c>
      <c r="AL12" s="17">
        <v>100</v>
      </c>
      <c r="AM12" s="8">
        <v>57.9</v>
      </c>
      <c r="AN12" s="8">
        <v>68</v>
      </c>
      <c r="AO12" s="8">
        <v>48.1</v>
      </c>
      <c r="AP12" s="8">
        <v>1.526</v>
      </c>
    </row>
    <row r="13" spans="1:42">
      <c r="A13" s="22" t="s">
        <v>99</v>
      </c>
      <c r="B13">
        <v>7.1774300000000002E-5</v>
      </c>
      <c r="C13" s="8">
        <v>0</v>
      </c>
      <c r="D13" s="8">
        <v>0</v>
      </c>
      <c r="E13" s="8">
        <v>0</v>
      </c>
      <c r="F13" s="8">
        <v>0</v>
      </c>
      <c r="G13">
        <v>7.1774300000000002E-5</v>
      </c>
      <c r="H13" s="17">
        <v>38</v>
      </c>
      <c r="I13" s="8">
        <v>1.6</v>
      </c>
      <c r="J13" s="8">
        <v>54.3</v>
      </c>
      <c r="K13" s="8">
        <v>33</v>
      </c>
      <c r="L13" s="8">
        <v>38</v>
      </c>
      <c r="M13" s="8">
        <v>27</v>
      </c>
      <c r="N13" s="17">
        <v>65.414000000000001</v>
      </c>
      <c r="O13" s="23">
        <v>69.510000000000005</v>
      </c>
      <c r="P13" s="8">
        <v>2.8</v>
      </c>
      <c r="Q13" s="13">
        <v>12996.9</v>
      </c>
      <c r="R13" s="8">
        <v>-435724.02</v>
      </c>
      <c r="S13" s="8">
        <v>4.3</v>
      </c>
      <c r="T13" s="8">
        <v>59.8</v>
      </c>
      <c r="U13" s="17">
        <v>4</v>
      </c>
      <c r="V13" s="21">
        <v>5294828</v>
      </c>
      <c r="W13" s="8">
        <v>28</v>
      </c>
      <c r="X13" s="8">
        <v>40.200000000000003</v>
      </c>
      <c r="Y13" s="8">
        <v>1.8</v>
      </c>
      <c r="Z13" s="8">
        <v>55.6</v>
      </c>
      <c r="AA13" s="8">
        <f>1.38*1000</f>
        <v>1380</v>
      </c>
      <c r="AB13" s="8">
        <v>242.35</v>
      </c>
      <c r="AC13" s="8">
        <v>20</v>
      </c>
      <c r="AD13" s="8">
        <v>10.8</v>
      </c>
      <c r="AE13" s="8"/>
      <c r="AF13" s="29">
        <v>0.21</v>
      </c>
      <c r="AG13" s="8">
        <v>42</v>
      </c>
      <c r="AH13" s="8">
        <v>30</v>
      </c>
      <c r="AI13" s="8">
        <v>7</v>
      </c>
      <c r="AJ13" s="8">
        <v>22.3</v>
      </c>
      <c r="AK13" s="8">
        <v>54.345611009398802</v>
      </c>
      <c r="AL13">
        <v>41.410957336425803</v>
      </c>
      <c r="AM13" s="8">
        <v>36.200000000000003</v>
      </c>
      <c r="AN13" s="8">
        <v>29.7</v>
      </c>
      <c r="AO13" s="8">
        <v>26.2</v>
      </c>
      <c r="AP13" s="8">
        <v>2.125</v>
      </c>
    </row>
    <row r="14" spans="1:42">
      <c r="A14" s="25" t="s">
        <v>102</v>
      </c>
      <c r="B14">
        <v>0.71915658829025997</v>
      </c>
      <c r="C14" s="8">
        <v>0</v>
      </c>
      <c r="D14">
        <v>0.56567833890700003</v>
      </c>
      <c r="E14">
        <v>0.11766196503326</v>
      </c>
      <c r="F14" s="8">
        <v>0</v>
      </c>
      <c r="G14">
        <v>3.5816284349999998E-2</v>
      </c>
      <c r="H14" s="17">
        <v>67</v>
      </c>
      <c r="I14" s="8">
        <v>8.5</v>
      </c>
      <c r="J14" s="26">
        <v>50.8</v>
      </c>
      <c r="K14" s="8">
        <v>31</v>
      </c>
      <c r="L14" s="26">
        <v>50</v>
      </c>
      <c r="M14" s="26">
        <v>26</v>
      </c>
      <c r="N14" s="17">
        <v>93.39</v>
      </c>
      <c r="O14" s="23">
        <v>8.84</v>
      </c>
      <c r="P14" s="8">
        <v>1.2</v>
      </c>
      <c r="Q14" s="13">
        <v>12079.47</v>
      </c>
      <c r="R14" s="8">
        <v>639415.25</v>
      </c>
      <c r="S14" s="26">
        <v>9.8000000000000007</v>
      </c>
      <c r="T14" s="26">
        <v>63.6</v>
      </c>
      <c r="U14" s="17">
        <v>3</v>
      </c>
      <c r="V14" s="21">
        <v>6322445</v>
      </c>
      <c r="W14" s="26">
        <v>28</v>
      </c>
      <c r="X14" s="8">
        <v>57.1</v>
      </c>
      <c r="Y14" s="8">
        <v>3.6</v>
      </c>
      <c r="Z14" s="8">
        <v>85.1</v>
      </c>
      <c r="AA14" s="8">
        <f>3.79*1000</f>
        <v>3790</v>
      </c>
      <c r="AB14" s="8">
        <v>599.44000000000005</v>
      </c>
      <c r="AC14" s="26">
        <v>36.299999999999997</v>
      </c>
      <c r="AD14" s="26">
        <v>14.9</v>
      </c>
      <c r="AE14" s="26"/>
      <c r="AF14" s="29">
        <v>0.18</v>
      </c>
      <c r="AG14" s="26">
        <v>30</v>
      </c>
      <c r="AH14" s="8">
        <v>25</v>
      </c>
      <c r="AI14" s="8">
        <v>14</v>
      </c>
      <c r="AJ14" s="8">
        <v>30</v>
      </c>
      <c r="AK14" s="8">
        <v>63.967858032205399</v>
      </c>
      <c r="AL14">
        <v>97.554122924804702</v>
      </c>
      <c r="AM14" s="8">
        <v>52.9</v>
      </c>
      <c r="AN14" s="8">
        <v>50</v>
      </c>
      <c r="AO14" s="8">
        <v>28.3</v>
      </c>
      <c r="AP14" s="8">
        <v>1.9890000000000001</v>
      </c>
    </row>
    <row r="15" spans="1:42">
      <c r="A15" s="22" t="s">
        <v>308</v>
      </c>
      <c r="B15">
        <v>0.15309487839793201</v>
      </c>
      <c r="C15">
        <v>9.6884826447932101E-2</v>
      </c>
      <c r="D15" s="8">
        <v>0</v>
      </c>
      <c r="E15" s="8">
        <v>0</v>
      </c>
      <c r="F15" s="8">
        <v>0</v>
      </c>
      <c r="G15">
        <v>5.6210051949999999E-2</v>
      </c>
      <c r="H15" s="17">
        <v>65</v>
      </c>
      <c r="I15" s="8">
        <v>15.2</v>
      </c>
      <c r="J15" s="8">
        <v>57.1</v>
      </c>
      <c r="K15" s="8">
        <v>27</v>
      </c>
      <c r="L15" s="8">
        <v>54</v>
      </c>
      <c r="M15" s="8">
        <v>48</v>
      </c>
      <c r="N15" s="17">
        <v>96.114000000000004</v>
      </c>
      <c r="O15" s="23">
        <v>0.17</v>
      </c>
      <c r="P15" s="8">
        <v>-1.4</v>
      </c>
      <c r="Q15" s="13">
        <v>3270.94</v>
      </c>
      <c r="R15" s="8">
        <v>-2777967.76</v>
      </c>
      <c r="S15" s="8">
        <v>10.5</v>
      </c>
      <c r="T15" s="8">
        <v>75.3</v>
      </c>
      <c r="U15" s="17">
        <v>3</v>
      </c>
      <c r="V15" s="21">
        <v>1169225</v>
      </c>
      <c r="W15" s="8">
        <v>28</v>
      </c>
      <c r="X15">
        <v>63</v>
      </c>
      <c r="Y15" s="8">
        <v>4.5</v>
      </c>
      <c r="Z15" s="8">
        <v>29.3</v>
      </c>
      <c r="AA15" s="8">
        <f>7.08*1000</f>
        <v>7080</v>
      </c>
      <c r="AB15" s="8">
        <v>638.36</v>
      </c>
      <c r="AC15" s="8">
        <v>35.9</v>
      </c>
      <c r="AD15" s="8">
        <v>13.8</v>
      </c>
      <c r="AE15" s="8"/>
      <c r="AF15" s="8">
        <v>9.7000000000000003E-2</v>
      </c>
      <c r="AG15" s="8">
        <v>35</v>
      </c>
      <c r="AH15" s="8">
        <v>10</v>
      </c>
      <c r="AI15" s="8">
        <v>1</v>
      </c>
      <c r="AJ15" s="8">
        <v>27.8</v>
      </c>
      <c r="AK15" s="8">
        <v>66.937470325835704</v>
      </c>
      <c r="AL15" s="17">
        <v>100</v>
      </c>
      <c r="AM15" s="8">
        <v>34.799999999999997</v>
      </c>
      <c r="AN15" s="8">
        <v>30.9</v>
      </c>
      <c r="AO15" s="8">
        <v>45.1</v>
      </c>
      <c r="AP15" s="8"/>
    </row>
    <row r="16" spans="1:42">
      <c r="A16" s="22" t="s">
        <v>104</v>
      </c>
      <c r="B16">
        <v>12.752488736646599</v>
      </c>
      <c r="C16">
        <v>9.1082761105480803E-2</v>
      </c>
      <c r="D16">
        <v>0.848213625047326</v>
      </c>
      <c r="E16">
        <v>6.1738545979912098</v>
      </c>
      <c r="F16">
        <v>0.15702368418861901</v>
      </c>
      <c r="G16">
        <v>5.4823140683140004</v>
      </c>
      <c r="H16" s="17">
        <v>75</v>
      </c>
      <c r="I16" s="8">
        <v>14.4</v>
      </c>
      <c r="J16" s="8">
        <v>46.7</v>
      </c>
      <c r="K16" s="8">
        <v>42</v>
      </c>
      <c r="L16" s="8">
        <v>78</v>
      </c>
      <c r="M16" s="8">
        <v>69</v>
      </c>
      <c r="N16" s="17">
        <v>99.320999999999998</v>
      </c>
      <c r="O16" s="23">
        <v>10.48</v>
      </c>
      <c r="P16" s="8">
        <v>0.5</v>
      </c>
      <c r="Q16" s="13">
        <v>214326.22</v>
      </c>
      <c r="R16" s="8">
        <v>19251558.969999999</v>
      </c>
      <c r="S16" s="8">
        <v>8.1</v>
      </c>
      <c r="T16" s="8">
        <v>72.8</v>
      </c>
      <c r="U16" s="17">
        <v>5</v>
      </c>
      <c r="V16" s="21">
        <v>99470102</v>
      </c>
      <c r="W16" s="8">
        <v>49</v>
      </c>
      <c r="X16" s="8">
        <v>65.5</v>
      </c>
      <c r="Y16" s="8">
        <v>4.7</v>
      </c>
      <c r="Z16" s="8">
        <v>88.9</v>
      </c>
      <c r="AA16" s="8">
        <f>9.57*1000</f>
        <v>9570</v>
      </c>
      <c r="AB16" s="8">
        <v>46441.11</v>
      </c>
      <c r="AC16" s="8">
        <v>41.2</v>
      </c>
      <c r="AD16" s="8">
        <v>15.6</v>
      </c>
      <c r="AE16" s="8"/>
      <c r="AF16" s="8">
        <v>0.193</v>
      </c>
      <c r="AG16" s="8">
        <v>38</v>
      </c>
      <c r="AH16" s="8">
        <v>34</v>
      </c>
      <c r="AI16" s="8">
        <v>194</v>
      </c>
      <c r="AJ16" s="8">
        <v>44.9</v>
      </c>
      <c r="AK16" s="8">
        <v>69.878267532386801</v>
      </c>
      <c r="AL16" s="17">
        <v>100</v>
      </c>
      <c r="AM16" s="8">
        <v>55.2</v>
      </c>
      <c r="AN16" s="8">
        <v>38.700000000000003</v>
      </c>
      <c r="AO16" s="8">
        <v>29.6</v>
      </c>
      <c r="AP16" s="8">
        <v>2.4649999999999999</v>
      </c>
    </row>
    <row r="17" spans="1:42">
      <c r="A17" s="22" t="s">
        <v>107</v>
      </c>
      <c r="B17">
        <v>0.43443392004665699</v>
      </c>
      <c r="C17">
        <v>0.19541422131363401</v>
      </c>
      <c r="D17">
        <v>1.3846798854299999E-3</v>
      </c>
      <c r="E17">
        <v>2.1457877959926899E-3</v>
      </c>
      <c r="F17">
        <v>0.1729311817766</v>
      </c>
      <c r="G17">
        <v>6.2558049274999999E-2</v>
      </c>
      <c r="H17" s="17">
        <v>70</v>
      </c>
      <c r="I17" s="8">
        <v>5.4</v>
      </c>
      <c r="J17" s="8">
        <v>56.7</v>
      </c>
      <c r="K17" s="8">
        <v>61</v>
      </c>
      <c r="L17" s="8">
        <v>80</v>
      </c>
      <c r="M17" s="8">
        <v>69</v>
      </c>
      <c r="N17" s="17">
        <v>99.010999999999996</v>
      </c>
      <c r="O17" s="23">
        <v>1.29</v>
      </c>
      <c r="P17" s="8">
        <v>-0.8</v>
      </c>
      <c r="Q17" s="13">
        <v>6877.74</v>
      </c>
      <c r="R17" s="8">
        <v>1445730</v>
      </c>
      <c r="S17" s="8">
        <v>11.4</v>
      </c>
      <c r="T17" s="8">
        <v>71.8</v>
      </c>
      <c r="U17" s="17">
        <v>3</v>
      </c>
      <c r="V17" s="21">
        <v>3290519</v>
      </c>
      <c r="W17" s="8">
        <v>45</v>
      </c>
      <c r="X17" s="8">
        <v>71.3</v>
      </c>
      <c r="Y17" s="8">
        <v>5.2</v>
      </c>
      <c r="Z17" s="8">
        <v>25.2</v>
      </c>
      <c r="AA17" s="8">
        <f>13.22*1000</f>
        <v>13220</v>
      </c>
      <c r="AB17" s="8">
        <v>2116.1999999999998</v>
      </c>
      <c r="AC17" s="8">
        <v>38.9</v>
      </c>
      <c r="AD17" s="8">
        <v>13.9</v>
      </c>
      <c r="AE17" s="8"/>
      <c r="AF17" s="8">
        <v>0.13100000000000001</v>
      </c>
      <c r="AG17" s="8">
        <v>42</v>
      </c>
      <c r="AH17" s="8">
        <v>10</v>
      </c>
      <c r="AI17" s="8">
        <v>4</v>
      </c>
      <c r="AJ17" s="8">
        <v>28.6</v>
      </c>
      <c r="AK17" s="8">
        <v>63.584159875280797</v>
      </c>
      <c r="AL17">
        <v>99.699996948242202</v>
      </c>
      <c r="AM17" s="8">
        <v>58</v>
      </c>
      <c r="AN17" s="8">
        <v>58.8</v>
      </c>
      <c r="AO17" s="8">
        <v>49.8</v>
      </c>
      <c r="AP17" s="8">
        <v>1.5409999999999999</v>
      </c>
    </row>
    <row r="18" spans="1:42">
      <c r="A18" s="22" t="s">
        <v>108</v>
      </c>
      <c r="B18">
        <v>1.9056699999999999E-3</v>
      </c>
      <c r="C18" s="8">
        <v>0</v>
      </c>
      <c r="D18" s="8">
        <v>0</v>
      </c>
      <c r="E18" s="8">
        <v>0</v>
      </c>
      <c r="F18" s="8">
        <v>0</v>
      </c>
      <c r="G18">
        <v>1.9056699999999999E-3</v>
      </c>
      <c r="H18" s="17">
        <v>43</v>
      </c>
      <c r="I18" s="8">
        <v>4.8</v>
      </c>
      <c r="J18" s="8">
        <v>54.1</v>
      </c>
      <c r="K18" s="29">
        <v>20</v>
      </c>
      <c r="L18" s="8">
        <v>33</v>
      </c>
      <c r="M18" s="8">
        <v>28</v>
      </c>
      <c r="N18" s="17">
        <v>47.215000000000003</v>
      </c>
      <c r="O18" s="23">
        <v>70.84</v>
      </c>
      <c r="P18" s="8">
        <v>2.7</v>
      </c>
      <c r="Q18" s="13">
        <v>22100.68</v>
      </c>
      <c r="R18" s="8">
        <v>576815.69999999995</v>
      </c>
      <c r="S18" s="8">
        <v>2.1</v>
      </c>
      <c r="T18" s="8">
        <v>59.3</v>
      </c>
      <c r="U18" s="17">
        <v>4</v>
      </c>
      <c r="V18" s="21">
        <v>8015643</v>
      </c>
      <c r="W18" s="8">
        <v>25</v>
      </c>
      <c r="X18" s="8">
        <v>34.799999999999997</v>
      </c>
      <c r="Y18" s="8">
        <v>1.5</v>
      </c>
      <c r="Z18" s="8">
        <v>59.3</v>
      </c>
      <c r="AA18" s="8">
        <f>831.31</f>
        <v>831.31</v>
      </c>
      <c r="AB18" s="8">
        <v>137.37</v>
      </c>
      <c r="AC18" s="8">
        <v>18</v>
      </c>
      <c r="AD18" s="8">
        <v>9.1</v>
      </c>
      <c r="AE18" s="8"/>
      <c r="AF18" s="8">
        <v>0.20100000000000001</v>
      </c>
      <c r="AG18" s="8">
        <v>42</v>
      </c>
      <c r="AH18" s="8">
        <v>27.5</v>
      </c>
      <c r="AI18" s="8">
        <v>58</v>
      </c>
      <c r="AJ18" s="8">
        <v>26.1</v>
      </c>
      <c r="AK18" s="8">
        <v>53.361833809347999</v>
      </c>
      <c r="AL18">
        <v>18.957239151001001</v>
      </c>
      <c r="AM18" s="8">
        <v>49.6</v>
      </c>
      <c r="AN18" s="8">
        <v>16.7</v>
      </c>
      <c r="AO18" s="8">
        <v>27.6</v>
      </c>
      <c r="AP18" s="8">
        <v>2.786</v>
      </c>
    </row>
    <row r="19" spans="1:42">
      <c r="A19" s="22" t="s">
        <v>111</v>
      </c>
      <c r="B19">
        <v>3.78845415E-2</v>
      </c>
      <c r="C19" s="31">
        <v>0</v>
      </c>
      <c r="D19" s="31">
        <v>0</v>
      </c>
      <c r="E19" s="31">
        <v>0</v>
      </c>
      <c r="F19" s="8">
        <v>0</v>
      </c>
      <c r="G19">
        <v>3.78845415E-2</v>
      </c>
      <c r="H19" s="17">
        <v>61</v>
      </c>
      <c r="I19" s="8">
        <v>0.6</v>
      </c>
      <c r="J19" s="8">
        <v>50.8</v>
      </c>
      <c r="K19" s="8">
        <v>30</v>
      </c>
      <c r="L19" s="8">
        <v>39</v>
      </c>
      <c r="M19" s="8">
        <v>43</v>
      </c>
      <c r="N19" s="17">
        <v>71.22</v>
      </c>
      <c r="O19" s="23">
        <v>26.240000000000002</v>
      </c>
      <c r="P19" s="8">
        <v>1.2</v>
      </c>
      <c r="Q19" s="35">
        <v>16589.02</v>
      </c>
      <c r="R19" s="8">
        <v>-12703980.550000001</v>
      </c>
      <c r="S19" s="8">
        <v>5.0999999999999996</v>
      </c>
      <c r="T19" s="8">
        <v>69.599999999999994</v>
      </c>
      <c r="U19" s="17">
        <v>5</v>
      </c>
      <c r="V19" s="21">
        <v>9345426</v>
      </c>
      <c r="W19" s="8">
        <v>31</v>
      </c>
      <c r="X19" s="8">
        <v>55</v>
      </c>
      <c r="Y19" s="8">
        <v>3.8</v>
      </c>
      <c r="Z19" s="8">
        <v>37.200000000000003</v>
      </c>
      <c r="AA19" s="34">
        <f>1.9*1000</f>
        <v>1900</v>
      </c>
      <c r="AB19" s="34">
        <v>3483.46</v>
      </c>
      <c r="AC19" s="8">
        <v>34.700000000000003</v>
      </c>
      <c r="AD19" s="8">
        <v>11.5</v>
      </c>
      <c r="AE19" s="8">
        <v>33</v>
      </c>
      <c r="AF19" s="8">
        <v>0.14799999999999999</v>
      </c>
      <c r="AG19" s="8">
        <v>23</v>
      </c>
      <c r="AH19" s="8">
        <v>20</v>
      </c>
      <c r="AI19" s="8">
        <v>21</v>
      </c>
      <c r="AJ19" s="8">
        <v>25.9</v>
      </c>
      <c r="AK19" s="8">
        <v>65.168477216274994</v>
      </c>
      <c r="AL19">
        <v>86.400001525878906</v>
      </c>
      <c r="AM19" s="8">
        <v>37.5</v>
      </c>
      <c r="AN19" s="8">
        <v>13.7</v>
      </c>
      <c r="AO19" s="8">
        <v>23.3</v>
      </c>
      <c r="AP19" s="8">
        <v>1.8819999999999999</v>
      </c>
    </row>
    <row r="20" spans="1:42">
      <c r="A20" s="22" t="s">
        <v>112</v>
      </c>
      <c r="B20">
        <v>0.28547580641065801</v>
      </c>
      <c r="C20" s="8">
        <v>0</v>
      </c>
      <c r="D20">
        <v>8.7479904098999806E-2</v>
      </c>
      <c r="E20">
        <v>0.15026510231165799</v>
      </c>
      <c r="F20" s="8">
        <v>0</v>
      </c>
      <c r="G20">
        <v>4.7730799999999997E-2</v>
      </c>
      <c r="H20" s="17">
        <v>44</v>
      </c>
      <c r="I20" s="8">
        <v>3.9</v>
      </c>
      <c r="J20" s="8">
        <v>47</v>
      </c>
      <c r="K20" s="8">
        <v>28</v>
      </c>
      <c r="L20" s="8">
        <v>34</v>
      </c>
      <c r="M20" s="8">
        <v>26</v>
      </c>
      <c r="N20" s="17">
        <v>65.72</v>
      </c>
      <c r="O20" s="23">
        <v>40.369999999999997</v>
      </c>
      <c r="P20" s="8">
        <v>2.6</v>
      </c>
      <c r="Q20" s="13">
        <v>27198.63</v>
      </c>
      <c r="R20" s="8">
        <v>-1578525.66</v>
      </c>
      <c r="S20" s="8">
        <v>6.2</v>
      </c>
      <c r="T20" s="8">
        <v>60.3</v>
      </c>
      <c r="U20" s="17">
        <v>4</v>
      </c>
      <c r="V20" s="21">
        <v>11809503</v>
      </c>
      <c r="W20" s="8">
        <v>31</v>
      </c>
      <c r="X20" s="8">
        <v>40.1</v>
      </c>
      <c r="Y20" s="8">
        <v>2.8</v>
      </c>
      <c r="Z20" s="8">
        <v>43.7</v>
      </c>
      <c r="AA20" s="8">
        <f>1.61*1000</f>
        <v>1610</v>
      </c>
      <c r="AB20" s="8">
        <v>849.98</v>
      </c>
      <c r="AC20" s="8">
        <v>19</v>
      </c>
      <c r="AD20" s="8">
        <v>13.1</v>
      </c>
      <c r="AE20" s="8"/>
      <c r="AF20" s="8">
        <v>8.1000000000000003E-2</v>
      </c>
      <c r="AG20" s="8">
        <v>27</v>
      </c>
      <c r="AH20" s="8">
        <v>33</v>
      </c>
      <c r="AI20" s="8">
        <v>9</v>
      </c>
      <c r="AJ20" s="8">
        <v>13.2</v>
      </c>
      <c r="AK20" s="8">
        <v>54.867848481180701</v>
      </c>
      <c r="AL20">
        <v>64.721366882324205</v>
      </c>
      <c r="AM20" s="8">
        <v>33</v>
      </c>
      <c r="AN20" s="8">
        <v>15.4</v>
      </c>
      <c r="AO20" s="8">
        <v>35.4</v>
      </c>
      <c r="AP20" s="8">
        <v>2.7090000000000001</v>
      </c>
    </row>
    <row r="21" spans="1:42">
      <c r="A21" s="22" t="s">
        <v>113</v>
      </c>
      <c r="B21">
        <v>23.458860674513399</v>
      </c>
      <c r="C21">
        <v>1.1604315941373999</v>
      </c>
      <c r="D21">
        <v>6.6477726659214103</v>
      </c>
      <c r="E21">
        <v>10.744366071845899</v>
      </c>
      <c r="F21">
        <v>1.07946514493714</v>
      </c>
      <c r="G21">
        <v>3.8268251976715</v>
      </c>
      <c r="H21" s="17">
        <v>89</v>
      </c>
      <c r="I21" s="8">
        <v>7.5</v>
      </c>
      <c r="J21" s="8">
        <v>67.5</v>
      </c>
      <c r="K21" s="8">
        <v>100</v>
      </c>
      <c r="L21" s="8">
        <v>84</v>
      </c>
      <c r="M21" s="8">
        <v>79</v>
      </c>
      <c r="N21" s="17">
        <v>99.222000000000008</v>
      </c>
      <c r="O21" s="23">
        <v>0.3</v>
      </c>
      <c r="P21" s="8">
        <v>0.5</v>
      </c>
      <c r="Q21" s="13">
        <v>38246.11</v>
      </c>
      <c r="R21" s="8">
        <v>1889453.4</v>
      </c>
      <c r="S21" s="8">
        <v>13.8</v>
      </c>
      <c r="T21" s="8">
        <v>82.7</v>
      </c>
      <c r="U21" s="17">
        <v>3</v>
      </c>
      <c r="V21" s="21">
        <v>21017306</v>
      </c>
      <c r="W21" s="8">
        <v>74</v>
      </c>
      <c r="X21" s="8">
        <v>80.8</v>
      </c>
      <c r="Y21" s="8">
        <v>4.2</v>
      </c>
      <c r="Z21" s="8">
        <v>98.7</v>
      </c>
      <c r="AA21" s="8">
        <f>59.18*1000</f>
        <v>59180</v>
      </c>
      <c r="AB21" s="8">
        <v>60177.31</v>
      </c>
      <c r="AC21" s="8">
        <v>81.400000000000006</v>
      </c>
      <c r="AD21" s="8">
        <v>16.399999999999999</v>
      </c>
      <c r="AE21" s="8"/>
      <c r="AF21" s="8">
        <v>0.115</v>
      </c>
      <c r="AG21" s="8">
        <v>74</v>
      </c>
      <c r="AH21" s="8">
        <v>26.21</v>
      </c>
      <c r="AI21" s="8">
        <v>23</v>
      </c>
      <c r="AJ21" s="8">
        <v>88</v>
      </c>
      <c r="AK21" s="8">
        <v>65.745348212706602</v>
      </c>
      <c r="AL21" s="17">
        <v>100</v>
      </c>
      <c r="AM21" s="8">
        <v>52.5</v>
      </c>
      <c r="AN21" s="8">
        <v>59.5</v>
      </c>
      <c r="AO21" s="8">
        <v>28.2</v>
      </c>
      <c r="AP21" s="8">
        <v>1.389</v>
      </c>
    </row>
    <row r="22" spans="1:42">
      <c r="A22" s="22" t="s">
        <v>119</v>
      </c>
      <c r="B22">
        <v>0.43901146863224</v>
      </c>
      <c r="C22">
        <v>2.6220411329043101E-2</v>
      </c>
      <c r="D22">
        <v>5.6462028666804297E-2</v>
      </c>
      <c r="E22">
        <v>1.9962209016393399E-2</v>
      </c>
      <c r="F22" s="8">
        <v>0</v>
      </c>
      <c r="G22">
        <v>0.33636681961999998</v>
      </c>
      <c r="H22" s="17">
        <v>80</v>
      </c>
      <c r="I22" s="8">
        <v>9.1</v>
      </c>
      <c r="J22" s="8">
        <v>76.3</v>
      </c>
      <c r="K22" s="8">
        <v>75</v>
      </c>
      <c r="L22" s="8">
        <v>88</v>
      </c>
      <c r="M22" s="8">
        <v>74</v>
      </c>
      <c r="N22" s="17">
        <v>100</v>
      </c>
      <c r="O22" s="23">
        <v>0.18</v>
      </c>
      <c r="P22" s="8">
        <v>1</v>
      </c>
      <c r="Q22" s="13">
        <v>19493.18</v>
      </c>
      <c r="R22" s="8">
        <v>-1451166</v>
      </c>
      <c r="S22" s="8">
        <v>10.9</v>
      </c>
      <c r="T22" s="8">
        <v>78.900000000000006</v>
      </c>
      <c r="U22" s="17">
        <v>4</v>
      </c>
      <c r="V22" s="21">
        <v>8684417</v>
      </c>
      <c r="W22" s="8">
        <v>42</v>
      </c>
      <c r="X22" s="8">
        <v>76.3</v>
      </c>
      <c r="Y22" s="8">
        <v>8.6999999999999993</v>
      </c>
      <c r="Z22" s="8">
        <v>36.9</v>
      </c>
      <c r="AA22" s="8">
        <f>17.28*1000</f>
        <v>17280</v>
      </c>
      <c r="AB22" s="8">
        <v>12719.19</v>
      </c>
      <c r="AC22" s="8">
        <v>71.8</v>
      </c>
      <c r="AD22" s="8">
        <v>16.7</v>
      </c>
      <c r="AE22" s="8"/>
      <c r="AF22" s="8">
        <v>0.16400000000000001</v>
      </c>
      <c r="AG22" s="8">
        <v>67</v>
      </c>
      <c r="AH22" s="8">
        <v>27</v>
      </c>
      <c r="AI22" s="8">
        <v>33</v>
      </c>
      <c r="AJ22" s="8">
        <v>48.4</v>
      </c>
      <c r="AK22" s="8">
        <v>68.861904015734297</v>
      </c>
      <c r="AL22" s="17">
        <v>100</v>
      </c>
      <c r="AM22" s="8">
        <v>51.2</v>
      </c>
      <c r="AN22" s="8">
        <v>46.4</v>
      </c>
      <c r="AO22" s="8">
        <v>35.799999999999997</v>
      </c>
      <c r="AP22" s="8">
        <v>1.84</v>
      </c>
    </row>
    <row r="23" spans="1:42">
      <c r="A23" s="22" t="s">
        <v>120</v>
      </c>
      <c r="B23">
        <v>123.839248839411</v>
      </c>
      <c r="C23">
        <v>87.634713183355203</v>
      </c>
      <c r="D23">
        <v>6.3623124060148797</v>
      </c>
      <c r="E23">
        <v>8.2152476330513409</v>
      </c>
      <c r="F23">
        <v>3.5684974</v>
      </c>
      <c r="G23">
        <v>18.058478216990501</v>
      </c>
      <c r="H23" s="17">
        <v>82</v>
      </c>
      <c r="I23" s="8">
        <v>4.8</v>
      </c>
      <c r="J23" s="8">
        <v>57.6</v>
      </c>
      <c r="K23" s="8">
        <v>80</v>
      </c>
      <c r="L23" s="8">
        <v>72</v>
      </c>
      <c r="M23" s="8">
        <v>72</v>
      </c>
      <c r="N23" s="17">
        <v>94.260999999999996</v>
      </c>
      <c r="O23" s="23">
        <v>1.3</v>
      </c>
      <c r="P23" s="8">
        <v>0.1</v>
      </c>
      <c r="Q23" s="13">
        <v>1412360</v>
      </c>
      <c r="R23" s="8">
        <v>462807887.08999997</v>
      </c>
      <c r="S23" s="8">
        <v>7.6</v>
      </c>
      <c r="T23" s="8">
        <v>78.2</v>
      </c>
      <c r="U23" s="17">
        <v>5</v>
      </c>
      <c r="V23" s="21">
        <v>791382586</v>
      </c>
      <c r="W23" s="8">
        <v>65</v>
      </c>
      <c r="X23" s="8">
        <v>77.900000000000006</v>
      </c>
      <c r="Y23" s="8">
        <v>2.2000000000000002</v>
      </c>
      <c r="Z23" s="8">
        <v>84.1</v>
      </c>
      <c r="AA23" s="8">
        <f>13.63*1000</f>
        <v>13630</v>
      </c>
      <c r="AB23" s="8">
        <v>333979.03000000003</v>
      </c>
      <c r="AC23" s="8">
        <v>67.3</v>
      </c>
      <c r="AD23" s="8">
        <v>14.2</v>
      </c>
      <c r="AE23" s="8"/>
      <c r="AF23" s="8">
        <v>7.8E-2</v>
      </c>
      <c r="AG23" s="8">
        <v>45</v>
      </c>
      <c r="AH23" s="8">
        <v>25</v>
      </c>
      <c r="AI23" s="8">
        <v>1105</v>
      </c>
      <c r="AJ23" s="8">
        <v>20.6</v>
      </c>
      <c r="AK23" s="8">
        <v>69.182174514413006</v>
      </c>
      <c r="AL23" s="17">
        <v>100</v>
      </c>
      <c r="AM23" s="8">
        <v>24.5</v>
      </c>
      <c r="AN23" s="8">
        <v>28.6</v>
      </c>
      <c r="AO23" s="8">
        <v>30.4</v>
      </c>
      <c r="AP23" s="8">
        <v>2.0099999999999998</v>
      </c>
    </row>
    <row r="24" spans="1:42">
      <c r="A24" s="22" t="s">
        <v>121</v>
      </c>
      <c r="B24">
        <v>5.0643434767019899</v>
      </c>
      <c r="C24">
        <v>2.2146832894587298</v>
      </c>
      <c r="D24">
        <v>0.37645205691349398</v>
      </c>
      <c r="E24">
        <v>1.9521872188717599</v>
      </c>
      <c r="F24" s="8">
        <v>0</v>
      </c>
      <c r="G24" s="38">
        <v>0.52102090999999995</v>
      </c>
      <c r="H24" s="17">
        <v>78</v>
      </c>
      <c r="I24" s="8">
        <v>14.3</v>
      </c>
      <c r="J24" s="8">
        <v>59.7</v>
      </c>
      <c r="K24" s="8">
        <v>55</v>
      </c>
      <c r="L24" s="8">
        <v>72</v>
      </c>
      <c r="M24" s="8">
        <v>56</v>
      </c>
      <c r="N24" s="17">
        <v>97.492000000000004</v>
      </c>
      <c r="O24" s="23">
        <v>13.88</v>
      </c>
      <c r="P24" s="8">
        <v>1.1000000000000001</v>
      </c>
      <c r="Q24" s="13">
        <v>51516.56</v>
      </c>
      <c r="R24" s="8">
        <v>-20047321.02</v>
      </c>
      <c r="S24" s="8">
        <v>8.9</v>
      </c>
      <c r="T24" s="8">
        <v>72.8</v>
      </c>
      <c r="U24" s="17">
        <v>5</v>
      </c>
      <c r="V24" s="21">
        <v>26137054</v>
      </c>
      <c r="W24" s="8">
        <v>36</v>
      </c>
      <c r="X24" s="8">
        <v>64.3</v>
      </c>
      <c r="Y24" s="8">
        <v>7.1</v>
      </c>
      <c r="Z24" s="8">
        <v>60</v>
      </c>
      <c r="AA24" s="8">
        <f>6.94*1000</f>
        <v>6940</v>
      </c>
      <c r="AB24" s="8">
        <v>9309.7800000000007</v>
      </c>
      <c r="AC24" s="8">
        <v>41.9</v>
      </c>
      <c r="AD24" s="8">
        <v>14.4</v>
      </c>
      <c r="AE24" s="8"/>
      <c r="AF24" s="8">
        <v>0.13100000000000001</v>
      </c>
      <c r="AG24" s="8">
        <v>39</v>
      </c>
      <c r="AH24" s="8">
        <v>35</v>
      </c>
      <c r="AI24" s="8">
        <v>81</v>
      </c>
      <c r="AJ24" s="8">
        <v>44</v>
      </c>
      <c r="AK24" s="8">
        <v>69.684319190399407</v>
      </c>
      <c r="AL24" s="17">
        <v>100</v>
      </c>
      <c r="AM24" s="8">
        <v>49.6</v>
      </c>
      <c r="AN24" s="8">
        <v>60.3</v>
      </c>
      <c r="AO24" s="8">
        <v>30.2</v>
      </c>
      <c r="AP24" s="8">
        <v>2.7290000000000001</v>
      </c>
    </row>
    <row r="25" spans="1:42">
      <c r="A25" s="22" t="s">
        <v>122</v>
      </c>
      <c r="B25">
        <v>0.10092686565</v>
      </c>
      <c r="C25" s="8">
        <v>0</v>
      </c>
      <c r="D25" s="8">
        <v>0</v>
      </c>
      <c r="E25" s="8">
        <v>0</v>
      </c>
      <c r="F25" s="8">
        <v>0</v>
      </c>
      <c r="G25">
        <v>0.10092686565</v>
      </c>
      <c r="H25" s="17">
        <v>78</v>
      </c>
      <c r="I25" s="8">
        <v>18</v>
      </c>
      <c r="J25" s="8">
        <v>64.5</v>
      </c>
      <c r="K25" s="8">
        <v>30</v>
      </c>
      <c r="L25" s="8">
        <v>67</v>
      </c>
      <c r="M25" s="8">
        <v>63</v>
      </c>
      <c r="N25" s="17">
        <v>99.811000000000007</v>
      </c>
      <c r="O25" s="23">
        <v>0.32</v>
      </c>
      <c r="P25" s="8">
        <v>0.6</v>
      </c>
      <c r="Q25" s="13">
        <v>5153.96</v>
      </c>
      <c r="R25" s="8">
        <v>1462743</v>
      </c>
      <c r="S25" s="8">
        <v>8.8000000000000007</v>
      </c>
      <c r="T25" s="8">
        <v>77</v>
      </c>
      <c r="U25" s="17">
        <v>2</v>
      </c>
      <c r="V25" s="21">
        <v>2426145</v>
      </c>
      <c r="W25" s="8">
        <v>40</v>
      </c>
      <c r="X25" s="8">
        <v>68.7</v>
      </c>
      <c r="Y25" s="8">
        <v>6.4</v>
      </c>
      <c r="Z25" s="8">
        <v>66.5</v>
      </c>
      <c r="AA25" s="8">
        <f>13.81*1000</f>
        <v>13810</v>
      </c>
      <c r="AB25" s="8">
        <v>3563.15</v>
      </c>
      <c r="AC25" s="8">
        <v>34</v>
      </c>
      <c r="AD25" s="8">
        <v>16.5</v>
      </c>
      <c r="AE25" s="8"/>
      <c r="AF25" s="8">
        <v>0.125</v>
      </c>
      <c r="AG25" s="8">
        <v>58</v>
      </c>
      <c r="AH25" s="8">
        <v>30</v>
      </c>
      <c r="AI25" s="8">
        <v>6</v>
      </c>
      <c r="AJ25" s="8">
        <v>51.4</v>
      </c>
      <c r="AK25" s="8">
        <v>68.921257977123204</v>
      </c>
      <c r="AL25">
        <v>99.900001525878906</v>
      </c>
      <c r="AM25" s="8">
        <v>46.4</v>
      </c>
      <c r="AN25" s="8">
        <v>52.5</v>
      </c>
      <c r="AO25" s="8">
        <v>41.5</v>
      </c>
      <c r="AP25" s="8">
        <v>1.732</v>
      </c>
    </row>
    <row r="26" spans="1:42">
      <c r="A26" s="22" t="s">
        <v>125</v>
      </c>
      <c r="B26">
        <v>0.14160011254729399</v>
      </c>
      <c r="C26" s="8">
        <v>0</v>
      </c>
      <c r="D26">
        <v>3.6886003266E-2</v>
      </c>
      <c r="E26">
        <v>3.0182015662294899E-2</v>
      </c>
      <c r="F26" s="8">
        <v>0</v>
      </c>
      <c r="G26">
        <v>7.4532093618999998E-2</v>
      </c>
      <c r="H26" s="17">
        <v>73</v>
      </c>
      <c r="I26" s="8">
        <v>8.6999999999999993</v>
      </c>
      <c r="J26" s="8">
        <v>60.3</v>
      </c>
      <c r="K26" s="8">
        <v>60</v>
      </c>
      <c r="L26" s="8">
        <v>66</v>
      </c>
      <c r="M26" s="8">
        <v>66</v>
      </c>
      <c r="N26" s="17">
        <v>98.685000000000002</v>
      </c>
      <c r="O26" s="23">
        <v>0.64</v>
      </c>
      <c r="P26" s="8">
        <v>-3.7</v>
      </c>
      <c r="Q26" s="13">
        <v>3899</v>
      </c>
      <c r="R26" s="8">
        <v>-1022653.45</v>
      </c>
      <c r="S26" s="8">
        <v>12.2</v>
      </c>
      <c r="T26" s="8">
        <v>77.599999999999994</v>
      </c>
      <c r="U26" s="17">
        <v>2</v>
      </c>
      <c r="V26" s="21">
        <v>1742284</v>
      </c>
      <c r="W26" s="8">
        <v>38</v>
      </c>
      <c r="X26" s="8">
        <v>78.2</v>
      </c>
      <c r="Y26" s="8">
        <v>5.5</v>
      </c>
      <c r="Z26" s="8">
        <v>68.599999999999994</v>
      </c>
      <c r="AA26" s="8">
        <f>18.45*1000</f>
        <v>18450</v>
      </c>
      <c r="AB26" s="8">
        <v>4477.32</v>
      </c>
      <c r="AC26" s="8">
        <v>42</v>
      </c>
      <c r="AD26" s="8">
        <v>15.1</v>
      </c>
      <c r="AE26" s="8"/>
      <c r="AF26" s="8">
        <v>0.14699999999999999</v>
      </c>
      <c r="AG26" s="8">
        <v>47</v>
      </c>
      <c r="AH26" s="8">
        <v>18</v>
      </c>
      <c r="AI26" s="8">
        <v>0</v>
      </c>
      <c r="AJ26" s="8">
        <v>45.8</v>
      </c>
      <c r="AK26" s="8">
        <v>63.891549924873203</v>
      </c>
      <c r="AL26" s="17">
        <v>100</v>
      </c>
      <c r="AM26" s="8">
        <v>65.599999999999994</v>
      </c>
      <c r="AN26" s="8">
        <v>55.3</v>
      </c>
      <c r="AO26" s="8">
        <v>56.6</v>
      </c>
      <c r="AP26" s="8">
        <v>1.44</v>
      </c>
    </row>
    <row r="27" spans="1:42">
      <c r="A27" s="22" t="s">
        <v>130</v>
      </c>
      <c r="B27">
        <v>0.99731323445864295</v>
      </c>
      <c r="C27">
        <v>0.56180485309829697</v>
      </c>
      <c r="D27">
        <v>7.6450606515303396E-3</v>
      </c>
      <c r="E27">
        <v>3.6849056284152999E-3</v>
      </c>
      <c r="F27">
        <v>0.32326103802990003</v>
      </c>
      <c r="G27">
        <v>0.1009173770505</v>
      </c>
      <c r="H27" s="17">
        <v>78</v>
      </c>
      <c r="I27" s="8">
        <v>2.9</v>
      </c>
      <c r="J27" s="8">
        <v>61.7</v>
      </c>
      <c r="K27" s="8">
        <v>85</v>
      </c>
      <c r="L27" s="8">
        <v>72</v>
      </c>
      <c r="M27" s="8">
        <v>77</v>
      </c>
      <c r="N27" s="17">
        <v>99.881</v>
      </c>
      <c r="O27" s="23">
        <v>0.12</v>
      </c>
      <c r="P27" s="8">
        <v>-1.8</v>
      </c>
      <c r="Q27" s="13">
        <v>10505.77</v>
      </c>
      <c r="R27" s="8">
        <v>8541590.1699999999</v>
      </c>
      <c r="S27" s="8">
        <v>12.9</v>
      </c>
      <c r="T27" s="8">
        <v>77.7</v>
      </c>
      <c r="U27" s="17">
        <v>2</v>
      </c>
      <c r="V27" s="21">
        <v>5266397</v>
      </c>
      <c r="W27" s="8">
        <v>57</v>
      </c>
      <c r="X27" s="8">
        <v>83.8</v>
      </c>
      <c r="Y27" s="8">
        <v>8.6</v>
      </c>
      <c r="Z27" s="8">
        <v>41.2</v>
      </c>
      <c r="AA27" s="8">
        <f>29.86*1000</f>
        <v>29860</v>
      </c>
      <c r="AB27" s="8">
        <v>7611.82</v>
      </c>
      <c r="AC27" s="8">
        <v>46.8</v>
      </c>
      <c r="AD27" s="8">
        <v>16.2</v>
      </c>
      <c r="AE27" s="8"/>
      <c r="AF27" s="8">
        <v>0.318</v>
      </c>
      <c r="AG27" s="8">
        <v>54</v>
      </c>
      <c r="AH27" s="8">
        <v>19</v>
      </c>
      <c r="AI27" s="8">
        <v>0</v>
      </c>
      <c r="AJ27" s="8">
        <v>53.3</v>
      </c>
      <c r="AK27" s="8">
        <v>63.5444681138611</v>
      </c>
      <c r="AL27" s="17">
        <v>100</v>
      </c>
      <c r="AM27" s="8">
        <v>64.5</v>
      </c>
      <c r="AN27" s="8">
        <v>74.900000000000006</v>
      </c>
      <c r="AO27" s="8">
        <v>52.8</v>
      </c>
      <c r="AP27" s="8">
        <v>1.3180000000000001</v>
      </c>
    </row>
    <row r="28" spans="1:42">
      <c r="A28" s="22" t="s">
        <v>131</v>
      </c>
      <c r="B28">
        <v>0.545530959207989</v>
      </c>
      <c r="C28" s="8">
        <v>0</v>
      </c>
      <c r="D28">
        <v>0.12120525140409601</v>
      </c>
      <c r="E28">
        <v>0.21149670621839201</v>
      </c>
      <c r="F28" s="8">
        <v>0</v>
      </c>
      <c r="G28">
        <v>0.2128290015855</v>
      </c>
      <c r="H28" s="17">
        <v>85</v>
      </c>
      <c r="I28" s="8">
        <v>4.8</v>
      </c>
      <c r="J28" s="8">
        <v>66</v>
      </c>
      <c r="K28" s="8">
        <v>100</v>
      </c>
      <c r="L28" s="8">
        <v>94</v>
      </c>
      <c r="M28" s="8">
        <v>83</v>
      </c>
      <c r="N28" s="17">
        <v>100</v>
      </c>
      <c r="O28" s="23">
        <v>0.2</v>
      </c>
      <c r="P28" s="8">
        <v>0.4</v>
      </c>
      <c r="Q28" s="13">
        <v>5856.73</v>
      </c>
      <c r="R28" s="8">
        <v>26141789.670000002</v>
      </c>
      <c r="S28" s="8">
        <v>13</v>
      </c>
      <c r="T28" s="8">
        <v>81.400000000000006</v>
      </c>
      <c r="U28" s="17">
        <v>1</v>
      </c>
      <c r="V28" s="21">
        <v>3050671</v>
      </c>
      <c r="W28" s="8">
        <v>76</v>
      </c>
      <c r="X28" s="8">
        <v>87.1</v>
      </c>
      <c r="Y28" s="8">
        <v>3.8</v>
      </c>
      <c r="Z28" s="8">
        <v>32.1</v>
      </c>
      <c r="AA28" s="8">
        <f>66.39*1000</f>
        <v>66390</v>
      </c>
      <c r="AB28" s="8">
        <v>14707.99</v>
      </c>
      <c r="AC28" s="8">
        <v>81.400000000000006</v>
      </c>
      <c r="AD28" s="8">
        <v>18.7</v>
      </c>
      <c r="AE28" s="8"/>
      <c r="AF28" s="8">
        <v>0.495</v>
      </c>
      <c r="AG28" s="8">
        <v>88</v>
      </c>
      <c r="AH28" s="8">
        <v>22</v>
      </c>
      <c r="AI28" s="8">
        <v>0</v>
      </c>
      <c r="AJ28" s="8">
        <v>80.5</v>
      </c>
      <c r="AK28" s="8">
        <v>63.5661192942108</v>
      </c>
      <c r="AL28" s="17">
        <v>100</v>
      </c>
      <c r="AM28" s="8">
        <v>61.3</v>
      </c>
      <c r="AN28" s="8">
        <v>68.3</v>
      </c>
      <c r="AO28" s="8">
        <v>92.4</v>
      </c>
      <c r="AP28" s="8">
        <v>1.296</v>
      </c>
    </row>
    <row r="29" spans="1:42">
      <c r="A29" s="22" t="s">
        <v>134</v>
      </c>
      <c r="B29">
        <v>2.0672823925E-2</v>
      </c>
      <c r="C29" s="8">
        <v>0</v>
      </c>
      <c r="D29" s="8">
        <v>0</v>
      </c>
      <c r="E29" s="8">
        <v>0</v>
      </c>
      <c r="F29" s="8">
        <v>0</v>
      </c>
      <c r="G29">
        <v>2.0672823925E-2</v>
      </c>
      <c r="H29" s="17">
        <v>66</v>
      </c>
      <c r="I29" s="8">
        <v>23</v>
      </c>
      <c r="J29" s="8">
        <v>60.6</v>
      </c>
      <c r="K29" s="8">
        <v>40</v>
      </c>
      <c r="L29" s="8">
        <v>61</v>
      </c>
      <c r="M29" s="8">
        <v>30</v>
      </c>
      <c r="N29" s="17">
        <v>96.686999999999998</v>
      </c>
      <c r="O29" s="23">
        <v>1.53</v>
      </c>
      <c r="P29" s="8">
        <v>1.1000000000000001</v>
      </c>
      <c r="Q29" s="13">
        <v>11117.87</v>
      </c>
      <c r="R29" s="8">
        <v>-8032300</v>
      </c>
      <c r="S29" s="8">
        <v>9.3000000000000007</v>
      </c>
      <c r="T29" s="8">
        <v>72.599999999999994</v>
      </c>
      <c r="U29" s="17">
        <v>2</v>
      </c>
      <c r="V29" s="21">
        <v>5027108</v>
      </c>
      <c r="W29" s="8">
        <v>35</v>
      </c>
      <c r="X29" s="8">
        <v>64.900000000000006</v>
      </c>
      <c r="Y29" s="8">
        <v>5.7</v>
      </c>
      <c r="Z29" s="8">
        <v>57.6</v>
      </c>
      <c r="AA29" s="8">
        <f>11.41*1000</f>
        <v>11410</v>
      </c>
      <c r="AB29" s="8">
        <v>3255</v>
      </c>
      <c r="AC29" s="8">
        <v>36.1</v>
      </c>
      <c r="AD29" s="8">
        <v>14.5</v>
      </c>
      <c r="AE29" s="8"/>
      <c r="AF29" s="8">
        <v>9.1999999999999998E-2</v>
      </c>
      <c r="AG29" s="8">
        <v>30</v>
      </c>
      <c r="AH29" s="8">
        <v>27</v>
      </c>
      <c r="AI29" s="8">
        <v>7</v>
      </c>
      <c r="AJ29" s="8">
        <v>33.5</v>
      </c>
      <c r="AK29" s="8">
        <v>65.472259600723106</v>
      </c>
      <c r="AL29" s="17">
        <v>100</v>
      </c>
      <c r="AM29" s="8">
        <v>51.8</v>
      </c>
      <c r="AN29" s="8">
        <v>18.2</v>
      </c>
      <c r="AO29" s="8">
        <v>36.5</v>
      </c>
      <c r="AP29" s="8">
        <v>1.99</v>
      </c>
    </row>
    <row r="30" spans="1:42">
      <c r="A30" s="22" t="s">
        <v>135</v>
      </c>
      <c r="B30">
        <v>0.15013952992898399</v>
      </c>
      <c r="C30" s="8">
        <v>0</v>
      </c>
      <c r="D30">
        <v>1.3963200159999999E-5</v>
      </c>
      <c r="E30">
        <v>5.1498907103824702E-2</v>
      </c>
      <c r="F30" s="8">
        <v>0</v>
      </c>
      <c r="G30">
        <v>9.8626659625000002E-2</v>
      </c>
      <c r="H30" s="17">
        <v>39</v>
      </c>
      <c r="I30" s="8">
        <v>5.4</v>
      </c>
      <c r="J30" s="8">
        <v>53</v>
      </c>
      <c r="K30" s="8">
        <v>22</v>
      </c>
      <c r="L30" s="8">
        <v>40</v>
      </c>
      <c r="M30" s="8">
        <v>16</v>
      </c>
      <c r="N30" s="17">
        <v>45.951999999999998</v>
      </c>
      <c r="O30" s="23">
        <v>90.45</v>
      </c>
      <c r="P30" s="8">
        <v>3.2</v>
      </c>
      <c r="Q30" s="13">
        <v>95894.12</v>
      </c>
      <c r="R30" s="8">
        <v>160710.26999999999</v>
      </c>
      <c r="S30" s="8">
        <v>7</v>
      </c>
      <c r="T30" s="8">
        <v>59.2</v>
      </c>
      <c r="U30" s="17">
        <v>4</v>
      </c>
      <c r="V30" s="21">
        <v>33381845</v>
      </c>
      <c r="W30" s="8">
        <v>18</v>
      </c>
      <c r="X30" s="8">
        <v>29.2</v>
      </c>
      <c r="Y30" s="8">
        <v>9.8000000000000007</v>
      </c>
      <c r="Z30" s="8">
        <v>10.8</v>
      </c>
      <c r="AA30" s="8">
        <f>703.91</f>
        <v>703.91</v>
      </c>
      <c r="AB30" s="8">
        <v>1870.03</v>
      </c>
      <c r="AC30" s="8">
        <v>12.5</v>
      </c>
      <c r="AD30" s="8">
        <v>9.8000000000000007</v>
      </c>
      <c r="AE30" s="8"/>
      <c r="AF30" s="8">
        <v>8.2000000000000003E-2</v>
      </c>
      <c r="AG30" s="8">
        <v>19</v>
      </c>
      <c r="AH30" s="8">
        <v>30</v>
      </c>
      <c r="AI30" s="8">
        <v>28</v>
      </c>
      <c r="AJ30" s="8">
        <v>25.1</v>
      </c>
      <c r="AK30" s="8">
        <v>50.512594784423598</v>
      </c>
      <c r="AL30">
        <v>19.100000381469702</v>
      </c>
      <c r="AM30" s="8">
        <v>46.1</v>
      </c>
      <c r="AN30" s="8">
        <v>4.0999999999999996</v>
      </c>
      <c r="AO30" s="8">
        <v>35.1</v>
      </c>
      <c r="AP30" s="8">
        <v>3.1659999999999999</v>
      </c>
    </row>
    <row r="31" spans="1:42">
      <c r="A31" s="22" t="s">
        <v>137</v>
      </c>
      <c r="B31">
        <v>1.40759063782089</v>
      </c>
      <c r="C31" s="8">
        <v>0</v>
      </c>
      <c r="D31">
        <v>1.27689942652798E-2</v>
      </c>
      <c r="E31">
        <v>1.1679189083106101</v>
      </c>
      <c r="F31" s="8">
        <v>0</v>
      </c>
      <c r="G31">
        <v>0.22690273524499999</v>
      </c>
      <c r="H31" s="17">
        <v>80</v>
      </c>
      <c r="I31" s="8">
        <v>6.4</v>
      </c>
      <c r="J31" s="8">
        <v>44.5</v>
      </c>
      <c r="K31" s="8">
        <v>20</v>
      </c>
      <c r="L31" s="8">
        <v>59</v>
      </c>
      <c r="M31" s="8">
        <v>59</v>
      </c>
      <c r="N31" s="17">
        <v>95.36</v>
      </c>
      <c r="O31" s="23">
        <v>12.43</v>
      </c>
      <c r="P31" s="8">
        <v>1.2</v>
      </c>
      <c r="Q31" s="13">
        <v>17797.740000000002</v>
      </c>
      <c r="R31" s="8">
        <v>757676.58</v>
      </c>
      <c r="S31" s="8">
        <v>8.8000000000000007</v>
      </c>
      <c r="T31" s="8">
        <v>73.7</v>
      </c>
      <c r="U31" s="17">
        <v>5</v>
      </c>
      <c r="V31" s="21">
        <v>8527976</v>
      </c>
      <c r="W31" s="8">
        <v>33</v>
      </c>
      <c r="X31" s="8">
        <v>69.099999999999994</v>
      </c>
      <c r="Y31" s="8">
        <v>2.4</v>
      </c>
      <c r="Z31" s="8">
        <v>56.2</v>
      </c>
      <c r="AA31" s="8">
        <f>6.59*1000</f>
        <v>6590</v>
      </c>
      <c r="AB31" s="8">
        <v>638.21</v>
      </c>
      <c r="AC31" s="8">
        <v>28.8</v>
      </c>
      <c r="AD31" s="8">
        <v>14.6</v>
      </c>
      <c r="AE31" s="8"/>
      <c r="AF31" s="8">
        <v>9.6000000000000002E-2</v>
      </c>
      <c r="AG31" s="8">
        <v>36</v>
      </c>
      <c r="AH31" s="8">
        <v>25</v>
      </c>
      <c r="AI31" s="8">
        <v>5</v>
      </c>
      <c r="AJ31" s="8">
        <v>44.1</v>
      </c>
      <c r="AK31" s="8">
        <v>66.260283540542304</v>
      </c>
      <c r="AL31">
        <v>98.849998474121094</v>
      </c>
      <c r="AM31" s="8">
        <v>49.2</v>
      </c>
      <c r="AN31" s="8">
        <v>38.5</v>
      </c>
      <c r="AO31" s="8">
        <v>43.2</v>
      </c>
      <c r="AP31" s="8">
        <v>1.988</v>
      </c>
    </row>
    <row r="32" spans="1:42">
      <c r="A32" s="22" t="s">
        <v>138</v>
      </c>
      <c r="B32">
        <v>4.1707490221462704</v>
      </c>
      <c r="C32" s="8">
        <v>0</v>
      </c>
      <c r="D32">
        <v>2.4653708340390001</v>
      </c>
      <c r="E32">
        <v>1.51740254310727</v>
      </c>
      <c r="F32" s="8">
        <v>0</v>
      </c>
      <c r="G32">
        <v>0.187975645</v>
      </c>
      <c r="H32" s="17">
        <v>70</v>
      </c>
      <c r="I32" s="8">
        <v>9.3000000000000007</v>
      </c>
      <c r="J32" s="8">
        <v>41.5</v>
      </c>
      <c r="K32" s="8">
        <v>31</v>
      </c>
      <c r="L32" s="8">
        <v>85</v>
      </c>
      <c r="M32" s="8">
        <v>42</v>
      </c>
      <c r="N32" s="17">
        <v>99.44</v>
      </c>
      <c r="O32" s="23">
        <v>22.35</v>
      </c>
      <c r="P32" s="8">
        <v>1.7</v>
      </c>
      <c r="Q32" s="13">
        <v>109262.18</v>
      </c>
      <c r="R32" s="8">
        <v>-35699505</v>
      </c>
      <c r="S32" s="8">
        <v>9.6</v>
      </c>
      <c r="T32" s="8">
        <v>70.2</v>
      </c>
      <c r="U32" s="17">
        <v>5</v>
      </c>
      <c r="V32" s="21">
        <v>30178752</v>
      </c>
      <c r="W32" s="8">
        <v>40</v>
      </c>
      <c r="X32" s="8">
        <v>73.099999999999994</v>
      </c>
      <c r="Y32" s="8">
        <v>12</v>
      </c>
      <c r="Z32" s="8">
        <v>85.6</v>
      </c>
      <c r="AA32" s="8">
        <f>4.44*1000</f>
        <v>4440</v>
      </c>
      <c r="AB32" s="8">
        <v>5122.3</v>
      </c>
      <c r="AC32" s="8">
        <v>29.1</v>
      </c>
      <c r="AD32" s="8">
        <v>13.8</v>
      </c>
      <c r="AE32" s="8"/>
      <c r="AF32" s="8">
        <v>3.4000000000000002E-2</v>
      </c>
      <c r="AG32" s="8">
        <v>33</v>
      </c>
      <c r="AH32" s="8">
        <v>22.5</v>
      </c>
      <c r="AI32" s="8">
        <v>9</v>
      </c>
      <c r="AJ32" s="8">
        <v>34.6</v>
      </c>
      <c r="AK32" s="8">
        <v>62.174485768417</v>
      </c>
      <c r="AL32">
        <v>100</v>
      </c>
      <c r="AM32" s="8">
        <v>43.7</v>
      </c>
      <c r="AN32" s="8">
        <v>19.8</v>
      </c>
      <c r="AO32" s="8">
        <v>28.5</v>
      </c>
      <c r="AP32" s="8">
        <v>2.3420000000000001</v>
      </c>
    </row>
    <row r="33" spans="1:42">
      <c r="A33" s="22" t="s">
        <v>139</v>
      </c>
      <c r="B33">
        <v>3.7846249999999998E-2</v>
      </c>
      <c r="C33" s="8">
        <v>0</v>
      </c>
      <c r="D33" s="8">
        <v>0</v>
      </c>
      <c r="E33" s="8">
        <v>0</v>
      </c>
      <c r="F33" s="8">
        <v>0</v>
      </c>
      <c r="G33">
        <v>3.7846249999999998E-2</v>
      </c>
      <c r="H33" s="17">
        <v>76</v>
      </c>
      <c r="I33" s="8">
        <v>5.9</v>
      </c>
      <c r="J33" s="8">
        <v>61.2</v>
      </c>
      <c r="K33" s="8">
        <v>16</v>
      </c>
      <c r="L33" s="8">
        <v>63</v>
      </c>
      <c r="M33" s="8">
        <v>41</v>
      </c>
      <c r="N33" s="17">
        <v>97.947000000000003</v>
      </c>
      <c r="O33" s="23">
        <v>6.08</v>
      </c>
      <c r="P33" s="8">
        <v>0.3</v>
      </c>
      <c r="Q33" s="13">
        <v>6314.17</v>
      </c>
      <c r="R33" s="8">
        <v>-7262999.8499999996</v>
      </c>
      <c r="S33" s="8">
        <v>7.2</v>
      </c>
      <c r="T33" s="8">
        <v>70.7</v>
      </c>
      <c r="U33" s="17">
        <v>3</v>
      </c>
      <c r="V33" s="21">
        <v>2657508</v>
      </c>
      <c r="W33" s="8">
        <v>28</v>
      </c>
      <c r="X33" s="8">
        <v>61</v>
      </c>
      <c r="Y33" s="8">
        <v>2.7</v>
      </c>
      <c r="Z33" s="8">
        <v>81.3</v>
      </c>
      <c r="AA33" s="8">
        <f>5.08*1000</f>
        <v>5080</v>
      </c>
      <c r="AB33" s="8">
        <v>830.5</v>
      </c>
      <c r="AC33" s="8">
        <v>37.1</v>
      </c>
      <c r="AD33" s="8">
        <v>12.7</v>
      </c>
      <c r="AE33" s="8"/>
      <c r="AF33" s="8">
        <v>0.22900000000000001</v>
      </c>
      <c r="AG33" s="8">
        <v>34</v>
      </c>
      <c r="AH33" s="8">
        <v>30</v>
      </c>
      <c r="AI33" s="8">
        <v>9</v>
      </c>
      <c r="AJ33" s="8">
        <v>36.700000000000003</v>
      </c>
      <c r="AK33" s="8">
        <v>66.087857187824099</v>
      </c>
      <c r="AL33" s="17">
        <v>100</v>
      </c>
      <c r="AM33" s="8">
        <v>33</v>
      </c>
      <c r="AN33" s="8">
        <v>52.1</v>
      </c>
      <c r="AO33" s="8">
        <v>50.2</v>
      </c>
      <c r="AP33" s="8">
        <v>2.2309999999999999</v>
      </c>
    </row>
    <row r="34" spans="1:42">
      <c r="A34" s="25" t="s">
        <v>144</v>
      </c>
      <c r="B34">
        <v>0.12662108550000001</v>
      </c>
      <c r="C34" s="8">
        <v>0</v>
      </c>
      <c r="D34" s="8">
        <v>0</v>
      </c>
      <c r="E34" s="8">
        <v>0</v>
      </c>
      <c r="F34" s="8">
        <v>0</v>
      </c>
      <c r="G34">
        <v>0.12662108550000001</v>
      </c>
      <c r="H34" s="17">
        <v>38</v>
      </c>
      <c r="I34" s="8">
        <v>3.7</v>
      </c>
      <c r="J34" s="8">
        <v>46.9</v>
      </c>
      <c r="K34" s="8">
        <v>16</v>
      </c>
      <c r="L34" s="26">
        <v>42</v>
      </c>
      <c r="M34" s="26">
        <v>35</v>
      </c>
      <c r="N34" s="17">
        <v>49.616</v>
      </c>
      <c r="O34" s="23">
        <v>26.560000000000002</v>
      </c>
      <c r="P34" s="8">
        <v>2.6</v>
      </c>
      <c r="Q34" s="13">
        <v>120283.03</v>
      </c>
      <c r="R34" s="8">
        <v>-11363400.67</v>
      </c>
      <c r="S34" s="26">
        <v>3.2</v>
      </c>
      <c r="T34" s="26">
        <v>65</v>
      </c>
      <c r="U34" s="17">
        <v>4</v>
      </c>
      <c r="V34" s="21">
        <v>56664127</v>
      </c>
      <c r="W34" s="8">
        <v>28</v>
      </c>
      <c r="X34" s="8">
        <v>43.4</v>
      </c>
      <c r="Y34" s="8">
        <v>28.6</v>
      </c>
      <c r="Z34" s="8">
        <v>40.4</v>
      </c>
      <c r="AA34" s="8">
        <f>1.23*1000</f>
        <v>1230</v>
      </c>
      <c r="AB34" s="8">
        <v>4259.45</v>
      </c>
      <c r="AC34" s="8">
        <v>23</v>
      </c>
      <c r="AD34" s="26">
        <v>9.6999999999999993</v>
      </c>
      <c r="AE34" s="26"/>
      <c r="AF34" s="26">
        <v>7.0000000000000001E-3</v>
      </c>
      <c r="AG34" s="26">
        <v>39</v>
      </c>
      <c r="AH34" s="8">
        <v>30</v>
      </c>
      <c r="AI34" s="8">
        <v>61</v>
      </c>
      <c r="AJ34" s="8">
        <v>33.700000000000003</v>
      </c>
      <c r="AK34" s="8">
        <v>56.900577143777497</v>
      </c>
      <c r="AL34">
        <v>51.093982696533203</v>
      </c>
      <c r="AM34" s="8">
        <v>45.6</v>
      </c>
      <c r="AN34" s="8">
        <v>5</v>
      </c>
      <c r="AO34" s="8">
        <v>19.899999999999999</v>
      </c>
      <c r="AP34" s="8">
        <v>2.806</v>
      </c>
    </row>
    <row r="35" spans="1:42">
      <c r="A35" s="22" t="s">
        <v>147</v>
      </c>
      <c r="B35">
        <v>0.53704027065517301</v>
      </c>
      <c r="C35" s="8">
        <v>0</v>
      </c>
      <c r="D35" s="8">
        <v>0</v>
      </c>
      <c r="E35" s="8">
        <v>0</v>
      </c>
      <c r="F35">
        <v>0.233922437284173</v>
      </c>
      <c r="G35">
        <v>0.30311783337100001</v>
      </c>
      <c r="H35" s="17">
        <v>83</v>
      </c>
      <c r="I35" s="8">
        <v>7.5</v>
      </c>
      <c r="J35" s="8">
        <v>68.5</v>
      </c>
      <c r="K35" s="8">
        <v>96</v>
      </c>
      <c r="L35" s="8">
        <v>82</v>
      </c>
      <c r="M35" s="8">
        <v>76</v>
      </c>
      <c r="N35" s="17">
        <v>100</v>
      </c>
      <c r="O35" s="23">
        <v>0.12</v>
      </c>
      <c r="P35" s="8">
        <v>0.2</v>
      </c>
      <c r="Q35" s="13">
        <v>5541.02</v>
      </c>
      <c r="R35" s="8">
        <v>626195.64</v>
      </c>
      <c r="S35" s="8">
        <v>12.9</v>
      </c>
      <c r="T35" s="8">
        <v>82</v>
      </c>
      <c r="U35" s="17">
        <v>1</v>
      </c>
      <c r="V35" s="21">
        <v>2819540</v>
      </c>
      <c r="W35" s="8">
        <v>76</v>
      </c>
      <c r="X35" s="8">
        <v>83.4</v>
      </c>
      <c r="Y35" s="8">
        <v>2.5</v>
      </c>
      <c r="Z35" s="8">
        <v>67.400000000000006</v>
      </c>
      <c r="AA35" s="8">
        <f>51.18*1000</f>
        <v>51180</v>
      </c>
      <c r="AB35" s="8">
        <v>16396.919999999998</v>
      </c>
      <c r="AC35" s="8">
        <v>82.8</v>
      </c>
      <c r="AD35" s="8">
        <v>19.100000000000001</v>
      </c>
      <c r="AE35" s="8"/>
      <c r="AF35" s="8">
        <v>0.23599999999999999</v>
      </c>
      <c r="AG35" s="8">
        <v>88</v>
      </c>
      <c r="AH35" s="8">
        <v>20</v>
      </c>
      <c r="AI35" s="8">
        <v>0</v>
      </c>
      <c r="AJ35" s="8">
        <v>93.5</v>
      </c>
      <c r="AK35" s="8">
        <v>61.6798488870649</v>
      </c>
      <c r="AL35" s="17">
        <v>100</v>
      </c>
      <c r="AM35" s="8">
        <v>62</v>
      </c>
      <c r="AN35" s="8">
        <v>69.599999999999994</v>
      </c>
      <c r="AO35" s="8">
        <v>83.6</v>
      </c>
      <c r="AP35" s="8">
        <v>1.4390000000000001</v>
      </c>
    </row>
    <row r="36" spans="1:42">
      <c r="A36" s="22" t="s">
        <v>148</v>
      </c>
      <c r="B36">
        <v>5.1045867086367496</v>
      </c>
      <c r="C36" s="8">
        <v>0</v>
      </c>
      <c r="D36">
        <v>6.5202670170439402E-4</v>
      </c>
      <c r="E36">
        <v>3.1185724423782899E-2</v>
      </c>
      <c r="F36">
        <v>3.9398392443902601</v>
      </c>
      <c r="G36">
        <v>1.132909713121</v>
      </c>
      <c r="H36" s="17">
        <v>84</v>
      </c>
      <c r="I36" s="8">
        <v>8.1</v>
      </c>
      <c r="J36" s="8">
        <v>62.2</v>
      </c>
      <c r="K36" s="8">
        <v>92</v>
      </c>
      <c r="L36" s="8">
        <v>88</v>
      </c>
      <c r="M36" s="8">
        <v>69</v>
      </c>
      <c r="N36" s="17">
        <v>100</v>
      </c>
      <c r="O36" s="23">
        <v>0.2</v>
      </c>
      <c r="P36" s="8">
        <v>0.3</v>
      </c>
      <c r="Q36" s="13">
        <v>67749.63</v>
      </c>
      <c r="R36" s="8">
        <v>-36853229.770000003</v>
      </c>
      <c r="S36" s="8">
        <v>11.6</v>
      </c>
      <c r="T36" s="8">
        <v>82.5</v>
      </c>
      <c r="U36" s="17">
        <v>2</v>
      </c>
      <c r="V36" s="21">
        <v>31132290</v>
      </c>
      <c r="W36" s="8">
        <v>77</v>
      </c>
      <c r="X36" s="8">
        <v>89.7</v>
      </c>
      <c r="Y36" s="8">
        <v>4.5999999999999996</v>
      </c>
      <c r="Z36" s="8">
        <v>112.5</v>
      </c>
      <c r="AA36" s="8">
        <f>42.65*1000</f>
        <v>42650</v>
      </c>
      <c r="AB36" s="8">
        <v>88427.62</v>
      </c>
      <c r="AC36" s="8">
        <v>80.3</v>
      </c>
      <c r="AD36" s="8">
        <v>15.8</v>
      </c>
      <c r="AE36" s="8"/>
      <c r="AF36" s="8">
        <v>0.19600000000000001</v>
      </c>
      <c r="AG36" s="8">
        <v>71</v>
      </c>
      <c r="AH36" s="8">
        <v>25.83</v>
      </c>
      <c r="AI36" s="8">
        <v>0</v>
      </c>
      <c r="AJ36" s="8">
        <v>82</v>
      </c>
      <c r="AK36" s="8">
        <v>61.3033694085631</v>
      </c>
      <c r="AL36" s="17">
        <v>100</v>
      </c>
      <c r="AM36" s="8">
        <v>64</v>
      </c>
      <c r="AN36" s="8">
        <v>63.8</v>
      </c>
      <c r="AO36" s="8">
        <v>49.5</v>
      </c>
      <c r="AP36" s="8">
        <v>1.895</v>
      </c>
    </row>
    <row r="37" spans="1:42">
      <c r="A37" s="22" t="s">
        <v>152</v>
      </c>
      <c r="B37">
        <v>8.07945307948328E-2</v>
      </c>
      <c r="C37">
        <v>2.5950204129554798E-4</v>
      </c>
      <c r="D37">
        <v>2.9965052569999899E-4</v>
      </c>
      <c r="E37">
        <v>7.3438782783726301E-4</v>
      </c>
      <c r="F37">
        <v>0</v>
      </c>
      <c r="G37" s="38">
        <v>7.9500989999999994E-2</v>
      </c>
      <c r="H37" s="17">
        <v>65</v>
      </c>
      <c r="I37" s="8">
        <v>10.7</v>
      </c>
      <c r="J37" s="8">
        <v>62.9</v>
      </c>
      <c r="K37" s="8">
        <v>45</v>
      </c>
      <c r="L37" s="8">
        <v>28</v>
      </c>
      <c r="M37" s="8">
        <v>25</v>
      </c>
      <c r="N37" s="17">
        <v>97.347999999999999</v>
      </c>
      <c r="O37" s="23">
        <v>7.58</v>
      </c>
      <c r="P37" s="8">
        <v>-0.4</v>
      </c>
      <c r="Q37" s="13">
        <v>3708.61</v>
      </c>
      <c r="R37" s="8">
        <v>-3064983.35</v>
      </c>
      <c r="S37" s="8">
        <v>12.8</v>
      </c>
      <c r="T37" s="8">
        <v>71.7</v>
      </c>
      <c r="U37" s="17">
        <v>3</v>
      </c>
      <c r="V37" s="21">
        <v>1724354</v>
      </c>
      <c r="W37" s="8">
        <v>33</v>
      </c>
      <c r="X37" s="8">
        <v>67.599999999999994</v>
      </c>
      <c r="Y37" s="8">
        <v>6</v>
      </c>
      <c r="Z37" s="8">
        <v>41</v>
      </c>
      <c r="AA37" s="8">
        <f>7.27*1000</f>
        <v>7270</v>
      </c>
      <c r="AB37" s="8">
        <v>1177.8399999999999</v>
      </c>
      <c r="AC37" s="8">
        <v>29.4</v>
      </c>
      <c r="AD37" s="8">
        <v>15.6</v>
      </c>
      <c r="AE37" s="8"/>
      <c r="AF37" s="8">
        <v>7.3999999999999996E-2</v>
      </c>
      <c r="AG37" s="8">
        <v>55</v>
      </c>
      <c r="AH37" s="8">
        <v>15</v>
      </c>
      <c r="AI37" s="8">
        <v>3</v>
      </c>
      <c r="AJ37" s="8">
        <v>27.9</v>
      </c>
      <c r="AK37" s="8">
        <v>64.348945444094994</v>
      </c>
      <c r="AL37" s="17">
        <v>100</v>
      </c>
      <c r="AM37" s="8">
        <v>35.700000000000003</v>
      </c>
      <c r="AN37" s="8">
        <v>43.1</v>
      </c>
      <c r="AO37" s="8">
        <v>43.6</v>
      </c>
      <c r="AP37" s="8">
        <v>2.0649999999999999</v>
      </c>
    </row>
    <row r="38" spans="1:42">
      <c r="A38" s="22" t="s">
        <v>153</v>
      </c>
      <c r="B38">
        <v>4.4780071178468104</v>
      </c>
      <c r="C38">
        <v>1.1795020713601601</v>
      </c>
      <c r="D38">
        <v>0.191815374031481</v>
      </c>
      <c r="E38">
        <v>8.1568276346365404E-2</v>
      </c>
      <c r="F38">
        <v>0.70942305699929997</v>
      </c>
      <c r="G38">
        <v>2.3156983391094998</v>
      </c>
      <c r="H38" s="17">
        <v>86</v>
      </c>
      <c r="I38" s="8">
        <v>3.5</v>
      </c>
      <c r="J38" s="8">
        <v>66.7</v>
      </c>
      <c r="K38" s="8">
        <v>100</v>
      </c>
      <c r="L38" s="8">
        <v>92</v>
      </c>
      <c r="M38" s="8">
        <v>83</v>
      </c>
      <c r="N38" s="17">
        <v>100</v>
      </c>
      <c r="O38" s="23">
        <v>0.31</v>
      </c>
      <c r="P38" s="8">
        <v>0</v>
      </c>
      <c r="Q38" s="13">
        <v>83196.08</v>
      </c>
      <c r="R38" s="8">
        <v>228572712.49000001</v>
      </c>
      <c r="S38" s="8">
        <v>14.1</v>
      </c>
      <c r="T38" s="8">
        <v>80.599999999999994</v>
      </c>
      <c r="U38" s="17">
        <v>1</v>
      </c>
      <c r="V38" s="21">
        <v>43967641</v>
      </c>
      <c r="W38" s="8">
        <v>87</v>
      </c>
      <c r="X38" s="8">
        <v>90.2</v>
      </c>
      <c r="Y38" s="8">
        <v>7.2</v>
      </c>
      <c r="Z38" s="8">
        <v>68.3</v>
      </c>
      <c r="AA38" s="8">
        <f>49.43*1000</f>
        <v>49430</v>
      </c>
      <c r="AB38" s="8">
        <v>73654.320000000007</v>
      </c>
      <c r="AC38" s="8">
        <v>69.900000000000006</v>
      </c>
      <c r="AD38" s="8">
        <v>17</v>
      </c>
      <c r="AE38" s="8"/>
      <c r="AF38" s="8">
        <v>0.47</v>
      </c>
      <c r="AG38" s="8">
        <v>80</v>
      </c>
      <c r="AH38" s="8">
        <v>29.83</v>
      </c>
      <c r="AI38" s="8">
        <v>43</v>
      </c>
      <c r="AJ38" s="8">
        <v>75.2</v>
      </c>
      <c r="AK38" s="8">
        <v>63.956450054532503</v>
      </c>
      <c r="AL38" s="17">
        <v>100</v>
      </c>
      <c r="AM38" s="8">
        <v>66.8</v>
      </c>
      <c r="AN38" s="8">
        <v>69</v>
      </c>
      <c r="AO38" s="8">
        <v>47.2</v>
      </c>
      <c r="AP38" s="8">
        <v>1.462</v>
      </c>
    </row>
    <row r="39" spans="1:42">
      <c r="A39" s="22" t="s">
        <v>154</v>
      </c>
      <c r="B39">
        <v>0.55393648349332902</v>
      </c>
      <c r="C39" s="8">
        <v>0</v>
      </c>
      <c r="D39">
        <v>5.5396622781329598E-2</v>
      </c>
      <c r="E39">
        <v>0.43333210771199998</v>
      </c>
      <c r="F39" s="8">
        <v>0</v>
      </c>
      <c r="G39" s="38">
        <v>6.5207749999999995E-2</v>
      </c>
      <c r="H39" s="17">
        <v>45</v>
      </c>
      <c r="I39" s="8">
        <v>4.7</v>
      </c>
      <c r="J39" s="8">
        <v>54.6</v>
      </c>
      <c r="K39" s="8">
        <v>16</v>
      </c>
      <c r="L39" s="8">
        <v>76</v>
      </c>
      <c r="M39" s="8">
        <v>42</v>
      </c>
      <c r="N39" s="17">
        <v>85.790999999999997</v>
      </c>
      <c r="O39" s="23">
        <v>23.09</v>
      </c>
      <c r="P39" s="8">
        <v>2</v>
      </c>
      <c r="Q39" s="13">
        <v>32833.03</v>
      </c>
      <c r="R39" s="8">
        <v>-2065721.38</v>
      </c>
      <c r="S39" s="8">
        <v>8.3000000000000007</v>
      </c>
      <c r="T39" s="8">
        <v>63.8</v>
      </c>
      <c r="U39" s="17">
        <v>2</v>
      </c>
      <c r="V39" s="21">
        <v>14094672</v>
      </c>
      <c r="W39" s="8">
        <v>33</v>
      </c>
      <c r="X39" s="8">
        <v>46.6</v>
      </c>
      <c r="Y39" s="8">
        <v>20.9</v>
      </c>
      <c r="Z39" s="8">
        <v>87.8</v>
      </c>
      <c r="AA39" s="8">
        <f>2.13*1000</f>
        <v>2130</v>
      </c>
      <c r="AB39" s="8">
        <v>2613.8000000000002</v>
      </c>
      <c r="AC39" s="8">
        <v>26.5</v>
      </c>
      <c r="AD39" s="8">
        <v>12</v>
      </c>
      <c r="AE39" s="8"/>
      <c r="AF39" s="8">
        <v>3.5999999999999997E-2</v>
      </c>
      <c r="AG39" s="8">
        <v>43</v>
      </c>
      <c r="AH39" s="8">
        <v>25</v>
      </c>
      <c r="AI39" s="8">
        <v>23</v>
      </c>
      <c r="AJ39" s="8">
        <v>15.3</v>
      </c>
      <c r="AK39" s="8">
        <v>59.2683560151916</v>
      </c>
      <c r="AL39">
        <v>85.873550415039105</v>
      </c>
      <c r="AM39" s="8">
        <v>34.700000000000003</v>
      </c>
      <c r="AN39" s="8">
        <v>13.6</v>
      </c>
      <c r="AO39" s="8">
        <v>23.8</v>
      </c>
      <c r="AP39" s="8">
        <v>1.7589999999999999</v>
      </c>
    </row>
    <row r="40" spans="1:42">
      <c r="A40" s="22" t="s">
        <v>156</v>
      </c>
      <c r="B40">
        <v>0.29174446270769799</v>
      </c>
      <c r="C40">
        <v>0.133967886618888</v>
      </c>
      <c r="D40">
        <v>5.84568603737E-4</v>
      </c>
      <c r="E40">
        <v>7.2452436810730098E-3</v>
      </c>
      <c r="F40" s="8">
        <v>0</v>
      </c>
      <c r="G40" s="38">
        <v>0.14994676000000001</v>
      </c>
      <c r="H40" s="17">
        <v>78</v>
      </c>
      <c r="I40" s="8">
        <v>14.8</v>
      </c>
      <c r="J40" s="8">
        <v>58.1</v>
      </c>
      <c r="K40" s="8">
        <v>43</v>
      </c>
      <c r="L40" s="8">
        <v>83</v>
      </c>
      <c r="M40" s="8">
        <v>65</v>
      </c>
      <c r="N40" s="17">
        <v>100</v>
      </c>
      <c r="O40" s="23">
        <v>0.6</v>
      </c>
      <c r="P40" s="8">
        <v>-0.5</v>
      </c>
      <c r="Q40" s="13">
        <v>10641.22</v>
      </c>
      <c r="R40" s="8">
        <v>-16011319.35</v>
      </c>
      <c r="S40" s="8">
        <v>11.4</v>
      </c>
      <c r="T40" s="8">
        <v>80.099999999999994</v>
      </c>
      <c r="U40" s="17">
        <v>4</v>
      </c>
      <c r="V40" s="21">
        <v>4619069</v>
      </c>
      <c r="W40" s="8">
        <v>45</v>
      </c>
      <c r="X40" s="8">
        <v>77.7</v>
      </c>
      <c r="Y40" s="8">
        <v>3.2</v>
      </c>
      <c r="Z40" s="8">
        <v>169.8</v>
      </c>
      <c r="AA40" s="8">
        <f>21.37*1000</f>
        <v>21370</v>
      </c>
      <c r="AB40" s="8">
        <v>5988.25</v>
      </c>
      <c r="AC40" s="8">
        <v>40.9</v>
      </c>
      <c r="AD40" s="8">
        <v>20</v>
      </c>
      <c r="AE40" s="8"/>
      <c r="AF40" s="8">
        <v>0.19900000000000001</v>
      </c>
      <c r="AG40" s="8">
        <v>49</v>
      </c>
      <c r="AH40" s="8">
        <v>22</v>
      </c>
      <c r="AI40" s="8">
        <v>1</v>
      </c>
      <c r="AJ40" s="8">
        <v>62</v>
      </c>
      <c r="AK40" s="8">
        <v>63.431632116254399</v>
      </c>
      <c r="AL40">
        <v>100</v>
      </c>
      <c r="AM40" s="8">
        <v>53.9</v>
      </c>
      <c r="AN40" s="8">
        <v>59.9</v>
      </c>
      <c r="AO40" s="8">
        <v>50.8</v>
      </c>
      <c r="AP40" s="8">
        <v>1.8380000000000001</v>
      </c>
    </row>
    <row r="41" spans="1:42">
      <c r="A41" s="22" t="s">
        <v>160</v>
      </c>
      <c r="B41">
        <v>9.2653777148744607E-2</v>
      </c>
      <c r="C41" s="8">
        <v>0</v>
      </c>
      <c r="D41" s="8">
        <v>0</v>
      </c>
      <c r="E41">
        <v>1.9152519999744599E-2</v>
      </c>
      <c r="F41" s="8">
        <v>0</v>
      </c>
      <c r="G41" s="38">
        <v>7.3501259999999999E-2</v>
      </c>
      <c r="H41" s="17">
        <v>57</v>
      </c>
      <c r="I41" s="8">
        <v>3.6</v>
      </c>
      <c r="J41" s="8">
        <v>63.5</v>
      </c>
      <c r="K41" s="8">
        <v>43</v>
      </c>
      <c r="L41" s="8">
        <v>52</v>
      </c>
      <c r="M41" s="8">
        <v>13</v>
      </c>
      <c r="N41" s="17">
        <v>94.006</v>
      </c>
      <c r="O41" s="23">
        <v>19.510000000000002</v>
      </c>
      <c r="P41" s="8">
        <v>1.5</v>
      </c>
      <c r="Q41" s="13">
        <v>17109.75</v>
      </c>
      <c r="R41" s="8">
        <v>-12070301.98</v>
      </c>
      <c r="S41" s="8">
        <v>5.7</v>
      </c>
      <c r="T41" s="8">
        <v>69.2</v>
      </c>
      <c r="U41" s="17">
        <v>5</v>
      </c>
      <c r="V41" s="21">
        <v>6670627</v>
      </c>
      <c r="W41" s="8">
        <v>32</v>
      </c>
      <c r="X41" s="8">
        <v>55.9</v>
      </c>
      <c r="Y41" s="8">
        <v>5.6</v>
      </c>
      <c r="Z41" s="8">
        <v>30</v>
      </c>
      <c r="AA41" s="8">
        <f>5.01*1000</f>
        <v>5010</v>
      </c>
      <c r="AB41" s="8">
        <v>3492.19</v>
      </c>
      <c r="AC41" s="8">
        <v>28.4</v>
      </c>
      <c r="AD41" s="8">
        <v>10.6</v>
      </c>
      <c r="AE41" s="8"/>
      <c r="AF41" s="8">
        <v>0.26</v>
      </c>
      <c r="AG41" s="8">
        <v>25</v>
      </c>
      <c r="AH41" s="8">
        <v>25</v>
      </c>
      <c r="AI41" s="8">
        <v>19</v>
      </c>
      <c r="AJ41" s="8">
        <v>29.1</v>
      </c>
      <c r="AK41" s="8">
        <v>62.169854093340902</v>
      </c>
      <c r="AL41">
        <v>97.055267333984403</v>
      </c>
      <c r="AM41" s="8">
        <v>29</v>
      </c>
      <c r="AN41" s="8">
        <v>20.6</v>
      </c>
      <c r="AO41" s="8">
        <v>26.7</v>
      </c>
      <c r="AP41" s="8">
        <v>2.1389999999999998</v>
      </c>
    </row>
    <row r="42" spans="1:42">
      <c r="A42" s="22" t="s">
        <v>165</v>
      </c>
      <c r="B42">
        <v>5.7134310804999998E-2</v>
      </c>
      <c r="C42" s="8">
        <v>0</v>
      </c>
      <c r="D42" s="8">
        <v>0</v>
      </c>
      <c r="E42" s="8">
        <v>0</v>
      </c>
      <c r="F42" s="8">
        <v>0</v>
      </c>
      <c r="G42" s="38">
        <v>5.7134310000000001E-2</v>
      </c>
      <c r="H42" s="17">
        <v>63</v>
      </c>
      <c r="I42" s="8">
        <v>8.5</v>
      </c>
      <c r="J42" s="8">
        <v>62.2</v>
      </c>
      <c r="K42" s="8">
        <v>37</v>
      </c>
      <c r="L42" s="8">
        <v>47</v>
      </c>
      <c r="M42" s="8">
        <v>21</v>
      </c>
      <c r="N42" s="17">
        <v>95.689000000000007</v>
      </c>
      <c r="O42" s="23">
        <v>29.51</v>
      </c>
      <c r="P42" s="8">
        <v>1.5</v>
      </c>
      <c r="Q42" s="13">
        <v>10278.34</v>
      </c>
      <c r="R42" s="8">
        <v>-6553512.6799999997</v>
      </c>
      <c r="S42" s="8">
        <v>7.1</v>
      </c>
      <c r="T42" s="8">
        <v>70.099999999999994</v>
      </c>
      <c r="U42" s="17">
        <v>5</v>
      </c>
      <c r="V42" s="21">
        <v>4313580</v>
      </c>
      <c r="W42" s="8">
        <v>31</v>
      </c>
      <c r="X42" s="8">
        <v>57.4</v>
      </c>
      <c r="Y42" s="8">
        <v>8.5</v>
      </c>
      <c r="Z42" s="29">
        <v>50.23</v>
      </c>
      <c r="AA42" s="8">
        <f>3.08*1000</f>
        <v>3080</v>
      </c>
      <c r="AB42" s="8">
        <v>875.94</v>
      </c>
      <c r="AC42" s="8">
        <v>33.5</v>
      </c>
      <c r="AD42" s="8">
        <v>10.1</v>
      </c>
      <c r="AE42" s="8"/>
      <c r="AF42" s="8">
        <v>0.24299999999999999</v>
      </c>
      <c r="AG42" s="8">
        <v>23</v>
      </c>
      <c r="AH42" s="8">
        <v>25</v>
      </c>
      <c r="AI42" s="8">
        <v>40</v>
      </c>
      <c r="AJ42" s="8">
        <v>31.3</v>
      </c>
      <c r="AK42" s="8">
        <v>65.228664477176807</v>
      </c>
      <c r="AL42">
        <v>93.206710815429702</v>
      </c>
      <c r="AM42" s="8">
        <v>40.9</v>
      </c>
      <c r="AN42" s="8">
        <v>28.4</v>
      </c>
      <c r="AO42" s="8">
        <v>35</v>
      </c>
      <c r="AP42" s="8">
        <v>2.2690000000000001</v>
      </c>
    </row>
    <row r="43" spans="1:42">
      <c r="A43" s="22" t="s">
        <v>167</v>
      </c>
      <c r="B43">
        <v>0.36917729356678602</v>
      </c>
      <c r="C43">
        <v>4.5386885111648602E-2</v>
      </c>
      <c r="D43">
        <v>5.8079258322714399E-2</v>
      </c>
      <c r="E43">
        <v>4.8293236022923403E-2</v>
      </c>
      <c r="F43">
        <v>0.15502113000000001</v>
      </c>
      <c r="G43">
        <v>6.2396784109500003E-2</v>
      </c>
      <c r="H43" s="17">
        <v>73</v>
      </c>
      <c r="I43" s="8">
        <v>4.0999999999999996</v>
      </c>
      <c r="J43" s="8">
        <v>60</v>
      </c>
      <c r="K43" s="8">
        <v>60</v>
      </c>
      <c r="L43" s="8">
        <v>81</v>
      </c>
      <c r="M43" s="8">
        <v>85</v>
      </c>
      <c r="N43" s="17">
        <v>100</v>
      </c>
      <c r="O43" s="23">
        <v>0.61</v>
      </c>
      <c r="P43" s="8">
        <v>-0.4</v>
      </c>
      <c r="Q43" s="13">
        <v>9709.89</v>
      </c>
      <c r="R43" s="8">
        <v>651321.78</v>
      </c>
      <c r="S43" s="8">
        <v>12.2</v>
      </c>
      <c r="T43" s="8">
        <v>74.5</v>
      </c>
      <c r="U43" s="17">
        <v>4</v>
      </c>
      <c r="V43" s="21">
        <v>4910191</v>
      </c>
      <c r="W43" s="8">
        <v>47</v>
      </c>
      <c r="X43" s="8">
        <v>80.7</v>
      </c>
      <c r="Y43" s="8">
        <v>13.3</v>
      </c>
      <c r="Z43" s="8">
        <v>73.7</v>
      </c>
      <c r="AA43" s="8">
        <f>20.12*1000</f>
        <v>20120</v>
      </c>
      <c r="AB43" s="8">
        <v>30180.26</v>
      </c>
      <c r="AC43" s="8">
        <v>37.6</v>
      </c>
      <c r="AD43" s="8">
        <v>15</v>
      </c>
      <c r="AE43" s="8"/>
      <c r="AF43" s="8">
        <v>9.9000000000000005E-2</v>
      </c>
      <c r="AG43" s="8">
        <v>43</v>
      </c>
      <c r="AH43" s="8">
        <v>9</v>
      </c>
      <c r="AI43" s="8">
        <v>0</v>
      </c>
      <c r="AJ43" s="8">
        <v>38.200000000000003</v>
      </c>
      <c r="AK43" s="8">
        <v>65.0266545524278</v>
      </c>
      <c r="AL43" s="17">
        <v>100</v>
      </c>
      <c r="AM43" s="8">
        <v>65</v>
      </c>
      <c r="AN43" s="8">
        <v>43.4</v>
      </c>
      <c r="AO43" s="8">
        <v>48.1</v>
      </c>
      <c r="AP43" s="8">
        <v>1.411</v>
      </c>
    </row>
    <row r="44" spans="1:42">
      <c r="A44" s="22" t="s">
        <v>169</v>
      </c>
      <c r="B44">
        <v>18.322181169577799</v>
      </c>
      <c r="C44">
        <v>12.3361856314328</v>
      </c>
      <c r="D44">
        <v>1.1580820617900001</v>
      </c>
      <c r="E44">
        <v>1.6187339493353201</v>
      </c>
      <c r="F44">
        <v>0.45678104000000003</v>
      </c>
      <c r="G44">
        <v>2.7523984870196299</v>
      </c>
      <c r="H44" s="17">
        <v>61</v>
      </c>
      <c r="I44" s="8">
        <v>6</v>
      </c>
      <c r="J44" s="8">
        <v>43.9</v>
      </c>
      <c r="K44" s="8">
        <v>56</v>
      </c>
      <c r="L44" s="8">
        <v>88</v>
      </c>
      <c r="M44" s="8">
        <v>85</v>
      </c>
      <c r="N44" s="17">
        <v>90.49</v>
      </c>
      <c r="O44" s="23">
        <v>35.700000000000003</v>
      </c>
      <c r="P44" s="8">
        <v>0.8</v>
      </c>
      <c r="Q44" s="13">
        <v>1407563.84</v>
      </c>
      <c r="R44" s="8">
        <v>-74039374.430000007</v>
      </c>
      <c r="S44" s="8">
        <v>6.7</v>
      </c>
      <c r="T44" s="8">
        <v>67.2</v>
      </c>
      <c r="U44" s="17">
        <v>5</v>
      </c>
      <c r="V44" s="21">
        <v>476670190</v>
      </c>
      <c r="W44" s="8">
        <v>51</v>
      </c>
      <c r="X44" s="8">
        <v>68.099999999999994</v>
      </c>
      <c r="Y44" s="8">
        <v>5.0999999999999996</v>
      </c>
      <c r="Z44" s="8">
        <v>83.8</v>
      </c>
      <c r="AA44" s="8">
        <f>2.69*1000</f>
        <v>2690</v>
      </c>
      <c r="AB44" s="8">
        <v>44727.28</v>
      </c>
      <c r="AC44" s="8">
        <v>58.6</v>
      </c>
      <c r="AD44" s="8">
        <v>11.9</v>
      </c>
      <c r="AE44" s="8"/>
      <c r="AF44" s="8">
        <v>7.1999999999999995E-2</v>
      </c>
      <c r="AG44" s="8">
        <v>40</v>
      </c>
      <c r="AH44" s="8">
        <v>30</v>
      </c>
      <c r="AI44" s="8">
        <v>1360</v>
      </c>
      <c r="AJ44" s="8">
        <v>7.8</v>
      </c>
      <c r="AK44" s="8">
        <v>67.509944390856305</v>
      </c>
      <c r="AL44" s="17">
        <v>99</v>
      </c>
      <c r="AM44" s="8">
        <v>19.3</v>
      </c>
      <c r="AN44" s="8">
        <v>12.9</v>
      </c>
      <c r="AO44" s="8">
        <v>21.7</v>
      </c>
      <c r="AP44" s="8">
        <v>2.5779999999999998</v>
      </c>
    </row>
    <row r="45" spans="1:42">
      <c r="A45" s="22" t="s">
        <v>170</v>
      </c>
      <c r="B45">
        <v>17.051618358495102</v>
      </c>
      <c r="C45">
        <v>12.177612709251701</v>
      </c>
      <c r="D45">
        <v>2.5821780324799999</v>
      </c>
      <c r="E45">
        <v>1.5943754167634501</v>
      </c>
      <c r="F45" s="31">
        <v>0</v>
      </c>
      <c r="G45">
        <v>0.69745219999999997</v>
      </c>
      <c r="H45" s="17">
        <v>59</v>
      </c>
      <c r="I45" s="8">
        <v>4.4000000000000004</v>
      </c>
      <c r="J45" s="8">
        <v>59.5</v>
      </c>
      <c r="K45" s="8">
        <v>60</v>
      </c>
      <c r="L45" s="8">
        <v>53</v>
      </c>
      <c r="M45" s="8">
        <v>32</v>
      </c>
      <c r="N45" s="17">
        <v>92.415000000000006</v>
      </c>
      <c r="O45" s="23">
        <v>19</v>
      </c>
      <c r="P45" s="8">
        <v>0.7</v>
      </c>
      <c r="Q45" s="8">
        <v>273753.19</v>
      </c>
      <c r="R45" s="8">
        <v>29155290.960000001</v>
      </c>
      <c r="S45" s="8">
        <v>8.6</v>
      </c>
      <c r="T45" s="8">
        <v>67.599999999999994</v>
      </c>
      <c r="U45" s="17">
        <v>5</v>
      </c>
      <c r="V45" s="17">
        <v>139164551</v>
      </c>
      <c r="W45" s="8">
        <v>38</v>
      </c>
      <c r="X45" s="8">
        <v>68</v>
      </c>
      <c r="Y45" s="8">
        <v>5.5</v>
      </c>
      <c r="Z45" s="8">
        <v>40.4</v>
      </c>
      <c r="AA45" s="8">
        <f>5.01*1000</f>
        <v>5010</v>
      </c>
      <c r="AB45" s="34">
        <v>21166.73</v>
      </c>
      <c r="AC45" s="8">
        <v>43.3</v>
      </c>
      <c r="AD45" s="8">
        <v>13.7</v>
      </c>
      <c r="AE45" s="8">
        <v>-103</v>
      </c>
      <c r="AF45" s="8">
        <v>9.2999999999999999E-2</v>
      </c>
      <c r="AG45" s="8">
        <v>38</v>
      </c>
      <c r="AH45" s="8">
        <v>22</v>
      </c>
      <c r="AI45" s="8">
        <v>47</v>
      </c>
      <c r="AJ45" s="8">
        <v>21.5</v>
      </c>
      <c r="AK45" s="8">
        <v>67.743882846647793</v>
      </c>
      <c r="AL45" s="17">
        <v>96.9</v>
      </c>
      <c r="AM45" s="8">
        <v>34.1</v>
      </c>
      <c r="AN45" s="8">
        <v>29.5</v>
      </c>
      <c r="AO45" s="8">
        <v>23.2</v>
      </c>
      <c r="AP45" s="8">
        <v>1.8</v>
      </c>
    </row>
    <row r="46" spans="1:42">
      <c r="A46" s="22" t="s">
        <v>173</v>
      </c>
      <c r="B46">
        <v>0.201538061495664</v>
      </c>
      <c r="C46" s="8">
        <v>0</v>
      </c>
      <c r="D46">
        <v>9.5003461320664603E-2</v>
      </c>
      <c r="E46" s="8">
        <v>0</v>
      </c>
      <c r="F46" s="8">
        <v>0</v>
      </c>
      <c r="G46" s="38">
        <v>0.10653459999999999</v>
      </c>
      <c r="H46" s="17">
        <v>83</v>
      </c>
      <c r="I46" s="8">
        <v>6.6</v>
      </c>
      <c r="J46" s="8">
        <v>62.6</v>
      </c>
      <c r="K46" s="8">
        <v>81</v>
      </c>
      <c r="L46" s="8">
        <v>88</v>
      </c>
      <c r="M46" s="8">
        <v>80</v>
      </c>
      <c r="N46" s="17">
        <v>97.4</v>
      </c>
      <c r="O46" s="23">
        <v>0.14000000000000001</v>
      </c>
      <c r="P46" s="8">
        <v>1</v>
      </c>
      <c r="Q46" s="13">
        <v>5033.16</v>
      </c>
      <c r="R46" s="8">
        <v>199483446.06</v>
      </c>
      <c r="S46" s="8">
        <v>11.6</v>
      </c>
      <c r="T46" s="8">
        <v>82</v>
      </c>
      <c r="U46" s="17">
        <v>1</v>
      </c>
      <c r="V46" s="21">
        <v>2517621</v>
      </c>
      <c r="W46" s="8">
        <v>66</v>
      </c>
      <c r="X46" s="8">
        <v>77</v>
      </c>
      <c r="Y46" s="8">
        <v>6.5</v>
      </c>
      <c r="Z46" s="8">
        <v>42.8</v>
      </c>
      <c r="AA46" s="8">
        <f>107*1000</f>
        <v>107000</v>
      </c>
      <c r="AB46" s="8">
        <v>96866.65</v>
      </c>
      <c r="AC46" s="8">
        <v>56.7</v>
      </c>
      <c r="AD46" s="8">
        <v>18.899999999999999</v>
      </c>
      <c r="AE46" s="8"/>
      <c r="AF46" s="8">
        <v>0.30099999999999999</v>
      </c>
      <c r="AG46" s="8">
        <v>74</v>
      </c>
      <c r="AH46" s="8">
        <v>12.5</v>
      </c>
      <c r="AI46" s="8">
        <v>0</v>
      </c>
      <c r="AJ46" s="8">
        <v>89.1</v>
      </c>
      <c r="AK46" s="8">
        <v>65.257766629513199</v>
      </c>
      <c r="AL46" s="17">
        <v>100</v>
      </c>
      <c r="AM46" s="8">
        <v>50.9</v>
      </c>
      <c r="AN46" s="8">
        <v>67.900000000000006</v>
      </c>
      <c r="AO46" s="8">
        <v>48.2</v>
      </c>
      <c r="AP46" s="8">
        <v>1.288</v>
      </c>
    </row>
    <row r="47" spans="1:42">
      <c r="A47" s="22" t="s">
        <v>175</v>
      </c>
      <c r="B47">
        <v>0.40001327517332103</v>
      </c>
      <c r="C47" s="8">
        <v>0</v>
      </c>
      <c r="D47">
        <v>0.37401779917332101</v>
      </c>
      <c r="E47" s="8">
        <v>0</v>
      </c>
      <c r="F47" s="8">
        <v>0</v>
      </c>
      <c r="G47" s="38">
        <v>2.5995480000000001E-2</v>
      </c>
      <c r="H47" s="17">
        <v>84</v>
      </c>
      <c r="I47" s="8">
        <v>5</v>
      </c>
      <c r="J47" s="8">
        <v>66.5</v>
      </c>
      <c r="K47" s="8">
        <v>81</v>
      </c>
      <c r="L47" s="8">
        <v>77</v>
      </c>
      <c r="M47" s="8">
        <v>85</v>
      </c>
      <c r="N47" s="17">
        <v>100</v>
      </c>
      <c r="O47" s="23">
        <v>0.61</v>
      </c>
      <c r="P47" s="8">
        <v>1.6</v>
      </c>
      <c r="Q47" s="13">
        <v>9364</v>
      </c>
      <c r="R47" s="8">
        <v>19305400</v>
      </c>
      <c r="S47" s="8">
        <v>13.3</v>
      </c>
      <c r="T47" s="8">
        <v>82.3</v>
      </c>
      <c r="U47" s="29">
        <v>2</v>
      </c>
      <c r="V47" s="21">
        <v>4186239</v>
      </c>
      <c r="W47" s="8">
        <v>74</v>
      </c>
      <c r="X47" s="8">
        <v>83</v>
      </c>
      <c r="Y47" s="8">
        <v>3.6</v>
      </c>
      <c r="Z47" s="8">
        <v>57.6</v>
      </c>
      <c r="AA47" s="8">
        <f>58.27*1000</f>
        <v>58270</v>
      </c>
      <c r="AB47" s="8">
        <v>21543.8</v>
      </c>
      <c r="AC47" s="8">
        <v>69.8</v>
      </c>
      <c r="AD47" s="8">
        <v>16.100000000000001</v>
      </c>
      <c r="AE47" s="8"/>
      <c r="AF47" s="8">
        <v>0.16500000000000001</v>
      </c>
      <c r="AG47" s="8">
        <v>59</v>
      </c>
      <c r="AH47" s="8">
        <v>23</v>
      </c>
      <c r="AI47" s="8">
        <v>2</v>
      </c>
      <c r="AJ47" s="8">
        <v>68</v>
      </c>
      <c r="AK47" s="8">
        <v>59.9000130223856</v>
      </c>
      <c r="AL47" s="17">
        <v>100</v>
      </c>
      <c r="AM47" s="8">
        <v>42.5</v>
      </c>
      <c r="AN47" s="8">
        <v>62.7</v>
      </c>
      <c r="AO47" s="8">
        <v>39.9</v>
      </c>
      <c r="AP47" s="8">
        <v>2.5760000000000001</v>
      </c>
    </row>
    <row r="48" spans="1:42">
      <c r="A48" s="22" t="s">
        <v>176</v>
      </c>
      <c r="B48">
        <v>1.25093741080749</v>
      </c>
      <c r="C48" s="8">
        <v>0</v>
      </c>
      <c r="D48">
        <v>0.17344099156899101</v>
      </c>
      <c r="E48">
        <v>0.17454529329950599</v>
      </c>
      <c r="F48" s="8">
        <v>0</v>
      </c>
      <c r="G48" s="38">
        <v>0.90295113000000005</v>
      </c>
      <c r="H48" s="17">
        <v>83</v>
      </c>
      <c r="I48" s="8">
        <v>9.8000000000000007</v>
      </c>
      <c r="J48" s="8">
        <v>61.5</v>
      </c>
      <c r="K48" s="8">
        <v>62</v>
      </c>
      <c r="L48" s="8">
        <v>82</v>
      </c>
      <c r="M48" s="8">
        <v>80</v>
      </c>
      <c r="N48" s="17">
        <v>99.917000000000002</v>
      </c>
      <c r="O48" s="23">
        <v>1.27</v>
      </c>
      <c r="P48" s="8">
        <v>-0.6</v>
      </c>
      <c r="Q48" s="13">
        <v>59109.67</v>
      </c>
      <c r="R48" s="8">
        <v>50016282.149999999</v>
      </c>
      <c r="S48" s="8">
        <v>10.7</v>
      </c>
      <c r="T48" s="8">
        <v>82.9</v>
      </c>
      <c r="U48" s="17">
        <v>1</v>
      </c>
      <c r="V48" s="21">
        <v>25011706</v>
      </c>
      <c r="W48" s="8">
        <v>66</v>
      </c>
      <c r="X48" s="8">
        <v>84.1</v>
      </c>
      <c r="Y48" s="8">
        <v>5.2</v>
      </c>
      <c r="Z48" s="8">
        <v>147.1</v>
      </c>
      <c r="AA48" s="8">
        <f>33.66*1000</f>
        <v>33660</v>
      </c>
      <c r="AB48" s="8">
        <v>14329.3</v>
      </c>
      <c r="AC48" s="8">
        <v>57.5</v>
      </c>
      <c r="AD48" s="8">
        <v>16.2</v>
      </c>
      <c r="AE48" s="8"/>
      <c r="AF48" s="8">
        <v>0.32700000000000001</v>
      </c>
      <c r="AG48" s="8">
        <v>56</v>
      </c>
      <c r="AH48" s="8">
        <v>27.81</v>
      </c>
      <c r="AI48" s="8">
        <v>3</v>
      </c>
      <c r="AJ48" s="8">
        <v>69.400000000000006</v>
      </c>
      <c r="AK48" s="8">
        <v>63.667783110490603</v>
      </c>
      <c r="AL48" s="17">
        <v>100</v>
      </c>
      <c r="AM48" s="8">
        <v>57.2</v>
      </c>
      <c r="AN48" s="8">
        <v>60.6</v>
      </c>
      <c r="AO48" s="8">
        <v>48.2</v>
      </c>
      <c r="AP48" s="8">
        <v>1.643</v>
      </c>
    </row>
    <row r="49" spans="1:42">
      <c r="A49" s="22" t="s">
        <v>179</v>
      </c>
      <c r="B49">
        <v>4.8194928599999999E-3</v>
      </c>
      <c r="C49" s="8">
        <v>0</v>
      </c>
      <c r="D49" s="8">
        <v>0</v>
      </c>
      <c r="E49" s="8">
        <v>0</v>
      </c>
      <c r="F49" s="8">
        <v>0</v>
      </c>
      <c r="G49" s="38">
        <v>4.8194900000000001E-3</v>
      </c>
      <c r="H49" s="17">
        <v>70</v>
      </c>
      <c r="I49" s="8">
        <v>9.1999999999999993</v>
      </c>
      <c r="J49" s="8">
        <v>50.7</v>
      </c>
      <c r="K49" s="8">
        <v>33</v>
      </c>
      <c r="L49" s="8">
        <v>56</v>
      </c>
      <c r="M49" s="8">
        <v>51</v>
      </c>
      <c r="N49" s="17">
        <v>91.03</v>
      </c>
      <c r="O49" s="23">
        <v>14.96</v>
      </c>
      <c r="P49" s="8">
        <v>0.3</v>
      </c>
      <c r="Q49" s="13">
        <v>2827.7</v>
      </c>
      <c r="R49" s="8">
        <v>-3028595.76</v>
      </c>
      <c r="S49" s="8">
        <v>9.1999999999999993</v>
      </c>
      <c r="T49" s="8">
        <v>70.5</v>
      </c>
      <c r="U49" s="17">
        <v>3</v>
      </c>
      <c r="V49" s="21">
        <v>1418424</v>
      </c>
      <c r="W49" s="8">
        <v>35</v>
      </c>
      <c r="X49" s="8">
        <v>62.5</v>
      </c>
      <c r="Y49" s="8">
        <v>7</v>
      </c>
      <c r="Z49" s="8">
        <v>79.7</v>
      </c>
      <c r="AA49" s="8">
        <f>5.98*1000</f>
        <v>5980</v>
      </c>
      <c r="AB49" s="8">
        <v>320.48</v>
      </c>
      <c r="AC49" s="8">
        <v>47.5</v>
      </c>
      <c r="AD49" s="8">
        <v>13.4</v>
      </c>
      <c r="AE49" s="8"/>
      <c r="AF49" s="8">
        <v>0.34200000000000003</v>
      </c>
      <c r="AG49" s="8">
        <v>44</v>
      </c>
      <c r="AH49" s="8">
        <v>25</v>
      </c>
      <c r="AI49" s="8">
        <v>0</v>
      </c>
      <c r="AJ49" s="8">
        <v>39.799999999999997</v>
      </c>
      <c r="AK49" s="8">
        <v>72.4643344604589</v>
      </c>
      <c r="AL49" s="17">
        <v>100</v>
      </c>
      <c r="AM49" s="8">
        <v>39.799999999999997</v>
      </c>
      <c r="AN49" s="8">
        <v>28</v>
      </c>
      <c r="AO49" s="8">
        <v>54.1</v>
      </c>
      <c r="AP49" s="8">
        <v>1.99</v>
      </c>
    </row>
    <row r="50" spans="1:42">
      <c r="A50" s="22" t="s">
        <v>180</v>
      </c>
      <c r="B50">
        <v>2.4458076661701398</v>
      </c>
      <c r="C50">
        <v>1.96156180133551E-2</v>
      </c>
      <c r="D50">
        <v>0.102632016081695</v>
      </c>
      <c r="E50">
        <v>1.9111390026690302E-2</v>
      </c>
      <c r="F50">
        <v>0.64268449009240003</v>
      </c>
      <c r="G50">
        <v>1.661764151956</v>
      </c>
      <c r="H50" s="17">
        <v>85</v>
      </c>
      <c r="I50" s="8">
        <v>2.8</v>
      </c>
      <c r="J50" s="8">
        <v>68.8</v>
      </c>
      <c r="K50" s="8">
        <v>77</v>
      </c>
      <c r="L50" s="8">
        <v>78</v>
      </c>
      <c r="M50" s="8">
        <v>68</v>
      </c>
      <c r="N50" s="17">
        <v>99.079000000000008</v>
      </c>
      <c r="O50" s="23">
        <v>0.51</v>
      </c>
      <c r="P50" s="8">
        <v>-0.5</v>
      </c>
      <c r="Q50" s="13">
        <v>125681.59</v>
      </c>
      <c r="R50" s="8">
        <v>-22513457.719999999</v>
      </c>
      <c r="S50" s="8">
        <v>13.4</v>
      </c>
      <c r="T50" s="8">
        <v>84.8</v>
      </c>
      <c r="U50" s="17">
        <v>2</v>
      </c>
      <c r="V50" s="21">
        <v>68629364</v>
      </c>
      <c r="W50" s="8">
        <v>78</v>
      </c>
      <c r="X50" s="8">
        <v>93.2</v>
      </c>
      <c r="Y50" s="8">
        <v>1.4</v>
      </c>
      <c r="Z50" s="8">
        <v>261.10000000000002</v>
      </c>
      <c r="AA50" s="8">
        <f>35.03*1000</f>
        <v>35030</v>
      </c>
      <c r="AB50" s="8">
        <v>27321.71</v>
      </c>
      <c r="AC50" s="8">
        <v>84.1</v>
      </c>
      <c r="AD50" s="8">
        <v>15.2</v>
      </c>
      <c r="AE50" s="8"/>
      <c r="AF50" s="8">
        <v>0.24099999999999999</v>
      </c>
      <c r="AG50" s="8">
        <v>73</v>
      </c>
      <c r="AH50" s="8">
        <v>29.74</v>
      </c>
      <c r="AI50" s="8">
        <v>0</v>
      </c>
      <c r="AJ50" s="8">
        <v>78.900000000000006</v>
      </c>
      <c r="AK50" s="8">
        <v>58.438943666263199</v>
      </c>
      <c r="AL50" s="17">
        <v>100</v>
      </c>
      <c r="AM50" s="8">
        <v>59.6</v>
      </c>
      <c r="AN50" s="8">
        <v>52.8</v>
      </c>
      <c r="AO50" s="8">
        <v>41.2</v>
      </c>
      <c r="AP50" s="8">
        <v>1.3360000000000001</v>
      </c>
    </row>
    <row r="51" spans="1:42">
      <c r="A51" s="22" t="s">
        <v>181</v>
      </c>
      <c r="B51">
        <v>2.98033391545846E-2</v>
      </c>
      <c r="C51" s="8">
        <v>0</v>
      </c>
      <c r="D51">
        <v>3.4287681928360002E-3</v>
      </c>
      <c r="E51">
        <v>4.7828961748634098E-5</v>
      </c>
      <c r="F51" s="8">
        <v>0</v>
      </c>
      <c r="G51" s="38">
        <v>2.6326740000000001E-2</v>
      </c>
      <c r="H51" s="17">
        <v>60</v>
      </c>
      <c r="I51" s="8">
        <v>19.3</v>
      </c>
      <c r="J51" s="8">
        <v>53.5</v>
      </c>
      <c r="K51" s="8">
        <v>36</v>
      </c>
      <c r="L51" s="8">
        <v>72</v>
      </c>
      <c r="M51" s="8">
        <v>68</v>
      </c>
      <c r="N51" s="17">
        <v>98.94</v>
      </c>
      <c r="O51" s="23">
        <v>1.08</v>
      </c>
      <c r="P51" s="8">
        <v>2</v>
      </c>
      <c r="Q51" s="13">
        <v>11148.28</v>
      </c>
      <c r="R51" s="8">
        <v>-9527746.4800000004</v>
      </c>
      <c r="S51" s="8">
        <v>10.4</v>
      </c>
      <c r="T51" s="8">
        <v>74.3</v>
      </c>
      <c r="U51" s="17">
        <v>5</v>
      </c>
      <c r="V51" s="21">
        <v>2864755</v>
      </c>
      <c r="W51" s="8">
        <v>39</v>
      </c>
      <c r="X51" s="8">
        <v>67.400000000000006</v>
      </c>
      <c r="Y51" s="8">
        <v>3</v>
      </c>
      <c r="Z51" s="8">
        <v>89.8</v>
      </c>
      <c r="AA51" s="8">
        <f>4.93*1000</f>
        <v>4930</v>
      </c>
      <c r="AB51" s="8">
        <v>621.83000000000004</v>
      </c>
      <c r="AC51" s="8">
        <v>55.4</v>
      </c>
      <c r="AD51" s="8">
        <v>10.6</v>
      </c>
      <c r="AE51" s="8"/>
      <c r="AF51" s="8">
        <v>0.1</v>
      </c>
      <c r="AG51" s="8">
        <v>49</v>
      </c>
      <c r="AH51" s="8">
        <v>20</v>
      </c>
      <c r="AI51" s="8">
        <v>1</v>
      </c>
      <c r="AJ51" s="8">
        <v>50.7</v>
      </c>
      <c r="AK51" s="8">
        <v>63.667319906595402</v>
      </c>
      <c r="AL51">
        <v>99.900001525878906</v>
      </c>
      <c r="AM51" s="8">
        <v>40.299999999999997</v>
      </c>
      <c r="AN51" s="8">
        <v>40</v>
      </c>
      <c r="AO51" s="8">
        <v>42.8</v>
      </c>
      <c r="AP51" s="8">
        <v>1.849</v>
      </c>
    </row>
    <row r="52" spans="1:42">
      <c r="A52" s="22" t="s">
        <v>182</v>
      </c>
      <c r="B52">
        <v>8.0291954796574991</v>
      </c>
      <c r="C52">
        <v>2.8405593333758099</v>
      </c>
      <c r="D52">
        <v>0.935362896091397</v>
      </c>
      <c r="E52">
        <v>4.1504413467952803</v>
      </c>
      <c r="F52" s="8">
        <v>0</v>
      </c>
      <c r="G52" s="38">
        <v>0.1028319</v>
      </c>
      <c r="H52" s="17">
        <v>76</v>
      </c>
      <c r="I52" s="8">
        <v>4.9000000000000004</v>
      </c>
      <c r="J52" s="8">
        <v>56.4</v>
      </c>
      <c r="K52" s="8">
        <v>58</v>
      </c>
      <c r="L52" s="8">
        <v>56</v>
      </c>
      <c r="M52" s="8">
        <v>42</v>
      </c>
      <c r="N52" s="17">
        <v>95.435000000000002</v>
      </c>
      <c r="O52" s="23">
        <v>0.04</v>
      </c>
      <c r="P52" s="8">
        <v>1.3</v>
      </c>
      <c r="Q52" s="13">
        <v>19000.990000000002</v>
      </c>
      <c r="R52" s="8">
        <v>16935665.34</v>
      </c>
      <c r="S52" s="8">
        <v>12.3</v>
      </c>
      <c r="T52" s="8">
        <v>69.400000000000006</v>
      </c>
      <c r="U52" s="17">
        <v>5</v>
      </c>
      <c r="V52" s="21">
        <v>9247861</v>
      </c>
      <c r="W52" s="8">
        <v>32</v>
      </c>
      <c r="X52" s="8">
        <v>68.3</v>
      </c>
      <c r="Y52" s="8">
        <v>11.3</v>
      </c>
      <c r="Z52" s="8">
        <v>24.4</v>
      </c>
      <c r="AA52" s="8">
        <f>12.42*1000</f>
        <v>12420</v>
      </c>
      <c r="AB52" s="8">
        <v>4380.3</v>
      </c>
      <c r="AC52" s="8">
        <v>29.7</v>
      </c>
      <c r="AD52" s="8">
        <v>15.8</v>
      </c>
      <c r="AE52" s="8"/>
      <c r="AF52" s="8">
        <v>4.3999999999999997E-2</v>
      </c>
      <c r="AG52" s="8">
        <v>37</v>
      </c>
      <c r="AH52" s="8">
        <v>20</v>
      </c>
      <c r="AI52" s="8">
        <v>4</v>
      </c>
      <c r="AJ52" s="8">
        <v>28.6</v>
      </c>
      <c r="AK52" s="8">
        <v>62.517683268307898</v>
      </c>
      <c r="AL52" s="17">
        <v>100</v>
      </c>
      <c r="AM52" s="8">
        <v>48.1</v>
      </c>
      <c r="AN52" s="8">
        <v>27.7</v>
      </c>
      <c r="AO52" s="8">
        <v>34.9</v>
      </c>
      <c r="AP52" s="8">
        <v>2.0710000000000002</v>
      </c>
    </row>
    <row r="53" spans="1:42">
      <c r="A53" s="22" t="s">
        <v>183</v>
      </c>
      <c r="B53">
        <v>9.1216586500000002E-2</v>
      </c>
      <c r="C53" s="8">
        <v>0</v>
      </c>
      <c r="D53" s="8">
        <v>0</v>
      </c>
      <c r="E53" s="8">
        <v>0</v>
      </c>
      <c r="F53" s="8">
        <v>0</v>
      </c>
      <c r="G53" s="38">
        <v>9.121659E-2</v>
      </c>
      <c r="H53" s="17">
        <v>56</v>
      </c>
      <c r="I53" s="8">
        <v>5.7</v>
      </c>
      <c r="J53" s="8">
        <v>52.7</v>
      </c>
      <c r="K53" s="8">
        <v>31</v>
      </c>
      <c r="L53" s="8">
        <v>65</v>
      </c>
      <c r="M53" s="8">
        <v>58</v>
      </c>
      <c r="N53" s="17">
        <v>61.633000000000003</v>
      </c>
      <c r="O53" s="23">
        <v>43.800000000000004</v>
      </c>
      <c r="P53" s="8">
        <v>1.9</v>
      </c>
      <c r="Q53" s="13">
        <v>53005.61</v>
      </c>
      <c r="R53" s="8">
        <v>-10027922.41</v>
      </c>
      <c r="S53" s="8">
        <v>6.7</v>
      </c>
      <c r="T53" s="8">
        <v>61.4</v>
      </c>
      <c r="U53" s="17">
        <v>4</v>
      </c>
      <c r="V53" s="21">
        <v>23915482</v>
      </c>
      <c r="W53" s="8">
        <v>36</v>
      </c>
      <c r="X53" s="8">
        <v>53.6</v>
      </c>
      <c r="Y53" s="8">
        <v>6.6</v>
      </c>
      <c r="Z53" s="8">
        <v>67.5</v>
      </c>
      <c r="AA53" s="8">
        <f>2.26*1000</f>
        <v>2260</v>
      </c>
      <c r="AB53" s="8">
        <v>463.35</v>
      </c>
      <c r="AC53" s="8">
        <v>36.9</v>
      </c>
      <c r="AD53" s="8">
        <v>10.7</v>
      </c>
      <c r="AE53" s="8"/>
      <c r="AF53" s="8">
        <v>0.20499999999999999</v>
      </c>
      <c r="AG53" s="8">
        <v>30</v>
      </c>
      <c r="AH53" s="8">
        <v>30</v>
      </c>
      <c r="AI53" s="8">
        <v>196</v>
      </c>
      <c r="AJ53" s="8">
        <v>30</v>
      </c>
      <c r="AK53" s="8">
        <v>58.761073874174897</v>
      </c>
      <c r="AL53">
        <v>71.437942504882798</v>
      </c>
      <c r="AM53" s="8">
        <v>34.6</v>
      </c>
      <c r="AN53" s="8">
        <v>13.3</v>
      </c>
      <c r="AO53" s="8">
        <v>29</v>
      </c>
      <c r="AP53" s="8">
        <v>2.3029999999999999</v>
      </c>
    </row>
    <row r="54" spans="1:42">
      <c r="A54" s="25" t="s">
        <v>318</v>
      </c>
      <c r="B54">
        <v>0.16485385657691401</v>
      </c>
      <c r="C54">
        <v>4.0109396548473897E-2</v>
      </c>
      <c r="D54">
        <v>9.4479190397399999E-4</v>
      </c>
      <c r="E54">
        <v>1.75165632446634E-3</v>
      </c>
      <c r="F54" s="8">
        <v>0</v>
      </c>
      <c r="G54">
        <v>0.12204801179999999</v>
      </c>
      <c r="H54" s="17">
        <v>70</v>
      </c>
      <c r="I54" s="8">
        <v>9.1</v>
      </c>
      <c r="J54" s="26">
        <v>51.8</v>
      </c>
      <c r="K54" s="26">
        <v>27</v>
      </c>
      <c r="L54" s="8">
        <v>34</v>
      </c>
      <c r="M54" s="8">
        <v>28</v>
      </c>
      <c r="N54" s="17">
        <v>91.698999999999998</v>
      </c>
      <c r="O54" s="23">
        <v>14.09</v>
      </c>
      <c r="P54" s="8">
        <v>1.7</v>
      </c>
      <c r="Q54" s="13">
        <v>6691.8</v>
      </c>
      <c r="R54" s="8">
        <v>-2568395.4700000002</v>
      </c>
      <c r="S54" s="26">
        <v>11.4</v>
      </c>
      <c r="T54" s="26">
        <v>70</v>
      </c>
      <c r="U54" s="17">
        <v>4</v>
      </c>
      <c r="V54" s="21">
        <v>2477675</v>
      </c>
      <c r="W54" s="26">
        <v>26</v>
      </c>
      <c r="X54" s="26">
        <v>55.8</v>
      </c>
      <c r="Y54" s="8">
        <v>12.4</v>
      </c>
      <c r="Z54" s="8">
        <v>60.5</v>
      </c>
      <c r="AA54" s="8">
        <f>1.57*1000</f>
        <v>1570</v>
      </c>
      <c r="AB54" s="8">
        <v>247.51</v>
      </c>
      <c r="AC54" s="26">
        <v>23.2</v>
      </c>
      <c r="AD54" s="26">
        <v>13.2</v>
      </c>
      <c r="AE54" s="26"/>
      <c r="AF54" s="26">
        <v>0.01</v>
      </c>
      <c r="AG54" s="26">
        <v>27</v>
      </c>
      <c r="AH54" s="8">
        <v>10</v>
      </c>
      <c r="AI54" s="8">
        <v>0</v>
      </c>
      <c r="AJ54" s="8">
        <v>23.5</v>
      </c>
      <c r="AK54" s="8">
        <v>61.150166209809001</v>
      </c>
      <c r="AL54">
        <v>99.981048583984403</v>
      </c>
      <c r="AM54" s="8">
        <v>40.4</v>
      </c>
      <c r="AN54" s="8">
        <v>7.2</v>
      </c>
      <c r="AO54" s="8">
        <v>34</v>
      </c>
      <c r="AP54" s="8">
        <v>2.028</v>
      </c>
    </row>
    <row r="55" spans="1:42">
      <c r="A55" s="22" t="s">
        <v>317</v>
      </c>
      <c r="B55">
        <v>0.49873181207398098</v>
      </c>
      <c r="C55">
        <v>0.322172377073981</v>
      </c>
      <c r="D55" s="31">
        <v>0</v>
      </c>
      <c r="E55" s="31">
        <v>0</v>
      </c>
      <c r="F55" s="31">
        <v>0</v>
      </c>
      <c r="G55" s="38">
        <v>0.17655944000000001</v>
      </c>
      <c r="H55" s="17">
        <v>50</v>
      </c>
      <c r="I55" s="8">
        <v>1.3</v>
      </c>
      <c r="J55" s="8">
        <v>60</v>
      </c>
      <c r="K55" s="8">
        <v>15</v>
      </c>
      <c r="L55" s="8">
        <v>32</v>
      </c>
      <c r="M55" s="8">
        <v>14</v>
      </c>
      <c r="N55" s="17">
        <v>85.22</v>
      </c>
      <c r="O55" s="23">
        <v>36.57</v>
      </c>
      <c r="P55" s="8">
        <v>1.4</v>
      </c>
      <c r="Q55" s="8">
        <v>7425.06</v>
      </c>
      <c r="R55" s="8">
        <v>1292826.1299999999</v>
      </c>
      <c r="S55" s="8">
        <v>5.4</v>
      </c>
      <c r="T55" s="8">
        <v>68.099999999999994</v>
      </c>
      <c r="U55" s="29">
        <v>5</v>
      </c>
      <c r="V55" s="21">
        <v>3914985</v>
      </c>
      <c r="W55" s="8">
        <v>28</v>
      </c>
      <c r="X55" s="8">
        <v>59</v>
      </c>
      <c r="Y55" s="8">
        <v>9</v>
      </c>
      <c r="Z55" s="8">
        <v>108.9</v>
      </c>
      <c r="AA55" s="34">
        <f>1.98*1000</f>
        <v>1980</v>
      </c>
      <c r="AB55" s="34">
        <v>1071.9100000000001</v>
      </c>
      <c r="AC55" s="8">
        <v>31.9</v>
      </c>
      <c r="AD55" s="8">
        <v>10.1</v>
      </c>
      <c r="AE55" s="45">
        <v>19</v>
      </c>
      <c r="AF55" s="8">
        <v>3.4000000000000002E-2</v>
      </c>
      <c r="AG55" s="8">
        <v>30</v>
      </c>
      <c r="AH55" s="8">
        <v>20</v>
      </c>
      <c r="AI55" s="8">
        <v>24</v>
      </c>
      <c r="AJ55" s="8">
        <v>22.6</v>
      </c>
      <c r="AK55" s="8">
        <v>64.626085387217501</v>
      </c>
      <c r="AL55" s="17">
        <v>100</v>
      </c>
      <c r="AM55" s="8">
        <v>46.9</v>
      </c>
      <c r="AN55" s="8">
        <v>16.7</v>
      </c>
      <c r="AO55" s="8">
        <v>16.2</v>
      </c>
      <c r="AP55" s="8">
        <v>1.8089999999999999</v>
      </c>
    </row>
    <row r="56" spans="1:42">
      <c r="A56" s="22" t="s">
        <v>191</v>
      </c>
      <c r="B56">
        <v>9.9292174800000004E-3</v>
      </c>
      <c r="C56" s="8">
        <v>0</v>
      </c>
      <c r="D56" s="8">
        <v>0</v>
      </c>
      <c r="E56" s="8">
        <v>0</v>
      </c>
      <c r="F56" s="8">
        <v>0</v>
      </c>
      <c r="G56">
        <v>9.9292174800000004E-3</v>
      </c>
      <c r="H56" s="17">
        <v>72</v>
      </c>
      <c r="I56" s="8">
        <v>14.5</v>
      </c>
      <c r="J56" s="8">
        <v>53.6</v>
      </c>
      <c r="K56" s="8">
        <v>11</v>
      </c>
      <c r="L56" s="8">
        <v>64</v>
      </c>
      <c r="M56" s="8">
        <v>43</v>
      </c>
      <c r="N56" s="17">
        <v>92.600000000000009</v>
      </c>
      <c r="O56" s="23">
        <v>0.43</v>
      </c>
      <c r="P56" s="8">
        <v>-1.2</v>
      </c>
      <c r="Q56" s="13">
        <v>5592.63</v>
      </c>
      <c r="R56" s="8">
        <v>-7235996.8300000001</v>
      </c>
      <c r="S56" s="8">
        <v>8.6999999999999993</v>
      </c>
      <c r="T56" s="8">
        <v>75</v>
      </c>
      <c r="U56" s="17">
        <v>4</v>
      </c>
      <c r="V56" s="21">
        <v>1719282</v>
      </c>
      <c r="W56" s="8">
        <v>38</v>
      </c>
      <c r="X56" s="8">
        <v>61.3</v>
      </c>
      <c r="Y56" s="29">
        <v>84.88</v>
      </c>
      <c r="Z56" s="29">
        <v>150.583</v>
      </c>
      <c r="AA56" s="52">
        <v>4136.1000000000004</v>
      </c>
      <c r="AB56" s="8">
        <v>273.06</v>
      </c>
      <c r="AC56" s="8">
        <v>47.1</v>
      </c>
      <c r="AD56" s="8">
        <v>11.3</v>
      </c>
      <c r="AE56" s="8"/>
      <c r="AF56" s="8">
        <v>3.0000000000000001E-3</v>
      </c>
      <c r="AG56" s="8">
        <v>24</v>
      </c>
      <c r="AH56" s="8">
        <v>17</v>
      </c>
      <c r="AI56" s="8">
        <v>0</v>
      </c>
      <c r="AJ56" s="8">
        <v>41.2</v>
      </c>
      <c r="AK56" s="8">
        <v>62.7595223071216</v>
      </c>
      <c r="AL56" s="17">
        <v>100</v>
      </c>
      <c r="AM56" s="8">
        <v>20.399999999999999</v>
      </c>
      <c r="AN56" s="8">
        <v>44.4</v>
      </c>
      <c r="AO56" s="8">
        <v>37.9</v>
      </c>
      <c r="AP56" s="8">
        <v>2.6150000000000002</v>
      </c>
    </row>
    <row r="57" spans="1:42">
      <c r="A57" s="22" t="s">
        <v>199</v>
      </c>
      <c r="B57">
        <v>8.3119893350000005E-3</v>
      </c>
      <c r="C57" s="8">
        <v>0</v>
      </c>
      <c r="D57" s="8">
        <v>0</v>
      </c>
      <c r="E57" s="8">
        <v>0</v>
      </c>
      <c r="F57" s="8">
        <v>0</v>
      </c>
      <c r="G57" s="38">
        <v>8.31199E-3</v>
      </c>
      <c r="H57" s="17">
        <v>35</v>
      </c>
      <c r="I57" s="8">
        <v>2.6</v>
      </c>
      <c r="J57" s="8">
        <v>55.9</v>
      </c>
      <c r="K57" s="46">
        <v>25</v>
      </c>
      <c r="L57" s="8">
        <v>19</v>
      </c>
      <c r="M57" s="8">
        <v>7</v>
      </c>
      <c r="N57" s="17">
        <v>53.386000000000003</v>
      </c>
      <c r="O57" s="23">
        <v>92.210000000000008</v>
      </c>
      <c r="P57" s="8">
        <v>2.4</v>
      </c>
      <c r="Q57" s="13">
        <v>28915.65</v>
      </c>
      <c r="R57" s="8">
        <v>-1427375.78</v>
      </c>
      <c r="S57" s="8">
        <v>5.0999999999999996</v>
      </c>
      <c r="T57" s="8">
        <v>64.5</v>
      </c>
      <c r="U57" s="17">
        <v>3</v>
      </c>
      <c r="V57" s="21">
        <v>14813115</v>
      </c>
      <c r="W57" s="8">
        <v>25</v>
      </c>
      <c r="X57" s="8">
        <v>31.4</v>
      </c>
      <c r="Y57" s="8">
        <v>8</v>
      </c>
      <c r="Z57" s="8">
        <v>53.1</v>
      </c>
      <c r="AA57" s="8">
        <f>539.64</f>
        <v>539.64</v>
      </c>
      <c r="AB57" s="8">
        <v>300.17</v>
      </c>
      <c r="AC57" s="8">
        <v>18.600000000000001</v>
      </c>
      <c r="AD57" s="8">
        <v>10.1</v>
      </c>
      <c r="AE57" s="8"/>
      <c r="AF57" s="8">
        <v>0.13</v>
      </c>
      <c r="AG57" s="8">
        <v>26</v>
      </c>
      <c r="AH57" s="8">
        <v>20</v>
      </c>
      <c r="AI57" s="8">
        <v>97</v>
      </c>
      <c r="AJ57" s="8">
        <v>33.6</v>
      </c>
      <c r="AK57" s="8">
        <v>57.301975115380898</v>
      </c>
      <c r="AL57">
        <v>33.735076904296903</v>
      </c>
      <c r="AM57" s="8">
        <v>29.5</v>
      </c>
      <c r="AN57" s="8">
        <v>11.2</v>
      </c>
      <c r="AO57" s="8">
        <v>28.4</v>
      </c>
      <c r="AP57" s="8">
        <v>1.9950000000000001</v>
      </c>
    </row>
    <row r="58" spans="1:42">
      <c r="A58" s="22" t="s">
        <v>201</v>
      </c>
      <c r="B58">
        <v>4.4168637612564101</v>
      </c>
      <c r="C58">
        <v>7.5927004927494296E-2</v>
      </c>
      <c r="D58">
        <v>2.6739730188989999</v>
      </c>
      <c r="E58">
        <v>1.3498213524299101</v>
      </c>
      <c r="F58" s="31">
        <v>0</v>
      </c>
      <c r="G58">
        <v>0.31714238500000003</v>
      </c>
      <c r="H58" s="17">
        <v>76</v>
      </c>
      <c r="I58" s="8">
        <v>4.5999999999999996</v>
      </c>
      <c r="J58" s="8">
        <v>60.7</v>
      </c>
      <c r="K58" s="8">
        <v>68</v>
      </c>
      <c r="L58" s="8">
        <v>49</v>
      </c>
      <c r="M58" s="8">
        <v>63</v>
      </c>
      <c r="N58" s="17">
        <v>97.100000000000009</v>
      </c>
      <c r="O58" s="23">
        <v>0.02</v>
      </c>
      <c r="P58" s="8">
        <v>1.1000000000000001</v>
      </c>
      <c r="Q58" s="8">
        <v>33573.870000000003</v>
      </c>
      <c r="R58" s="8">
        <v>26470517.02</v>
      </c>
      <c r="S58" s="8">
        <v>10.6</v>
      </c>
      <c r="T58" s="8">
        <v>74.900000000000006</v>
      </c>
      <c r="U58" s="17">
        <v>5</v>
      </c>
      <c r="V58" s="21">
        <v>16739686</v>
      </c>
      <c r="W58" s="8">
        <v>55</v>
      </c>
      <c r="X58" s="8">
        <v>78</v>
      </c>
      <c r="Y58" s="8">
        <v>2.8</v>
      </c>
      <c r="Z58" s="8">
        <v>70</v>
      </c>
      <c r="AA58" s="8">
        <f>13.94*1000</f>
        <v>13940</v>
      </c>
      <c r="AB58" s="34">
        <v>18595.650000000001</v>
      </c>
      <c r="AC58" s="8">
        <v>79</v>
      </c>
      <c r="AD58" s="8">
        <v>13.3</v>
      </c>
      <c r="AE58" s="8">
        <v>-6</v>
      </c>
      <c r="AF58" s="8">
        <v>0.05</v>
      </c>
      <c r="AG58" s="8">
        <v>48</v>
      </c>
      <c r="AH58" s="8">
        <v>24</v>
      </c>
      <c r="AI58" s="8">
        <v>14</v>
      </c>
      <c r="AJ58" s="8">
        <v>43.7</v>
      </c>
      <c r="AK58" s="8">
        <v>69.787924530066505</v>
      </c>
      <c r="AL58" s="17">
        <v>100</v>
      </c>
      <c r="AM58" s="8">
        <v>36</v>
      </c>
      <c r="AN58" s="8">
        <v>33.799999999999997</v>
      </c>
      <c r="AO58" s="8">
        <v>27.2</v>
      </c>
      <c r="AP58" s="8">
        <v>1.4710000000000001</v>
      </c>
    </row>
    <row r="59" spans="1:42">
      <c r="A59" s="22" t="s">
        <v>203</v>
      </c>
      <c r="B59">
        <v>9.2968200000000008E-3</v>
      </c>
      <c r="C59" s="8">
        <v>0</v>
      </c>
      <c r="D59" s="8">
        <v>0</v>
      </c>
      <c r="E59" s="8">
        <v>0</v>
      </c>
      <c r="F59" s="8">
        <v>0</v>
      </c>
      <c r="G59" s="38">
        <v>9.2968200000000008E-3</v>
      </c>
      <c r="H59" s="17">
        <v>42</v>
      </c>
      <c r="I59" s="8">
        <v>7.7</v>
      </c>
      <c r="J59" s="8">
        <v>50.3</v>
      </c>
      <c r="K59" s="8">
        <v>15</v>
      </c>
      <c r="L59" s="8">
        <v>38</v>
      </c>
      <c r="M59" s="8">
        <v>22</v>
      </c>
      <c r="N59" s="17">
        <v>82.546999999999997</v>
      </c>
      <c r="O59" s="23">
        <v>68.790000000000006</v>
      </c>
      <c r="P59" s="8">
        <v>3.2</v>
      </c>
      <c r="Q59" s="13">
        <v>21904.98</v>
      </c>
      <c r="R59" s="8">
        <v>-1143576.82</v>
      </c>
      <c r="S59" s="8">
        <v>2.2999999999999998</v>
      </c>
      <c r="T59" s="8">
        <v>58.9</v>
      </c>
      <c r="U59" s="17">
        <v>4</v>
      </c>
      <c r="V59" s="21">
        <v>7900462</v>
      </c>
      <c r="W59" s="8">
        <v>29</v>
      </c>
      <c r="X59" s="8">
        <v>43.9</v>
      </c>
      <c r="Y59" s="8">
        <v>3</v>
      </c>
      <c r="Z59" s="8">
        <v>55.8</v>
      </c>
      <c r="AA59" s="8">
        <v>876.08</v>
      </c>
      <c r="AB59" s="8">
        <v>659.67</v>
      </c>
      <c r="AC59" s="8">
        <v>21.9</v>
      </c>
      <c r="AD59" s="8">
        <v>7.4</v>
      </c>
      <c r="AE59" s="8"/>
      <c r="AF59" s="8">
        <v>0.21299999999999999</v>
      </c>
      <c r="AG59" s="8">
        <v>29</v>
      </c>
      <c r="AH59" s="8">
        <v>30</v>
      </c>
      <c r="AI59" s="8">
        <v>9</v>
      </c>
      <c r="AJ59" s="8">
        <v>26.7</v>
      </c>
      <c r="AK59" s="8">
        <v>50.168993511658996</v>
      </c>
      <c r="AL59">
        <v>50.561416625976598</v>
      </c>
      <c r="AM59" s="8">
        <v>38.4</v>
      </c>
      <c r="AN59" s="8">
        <v>4.5</v>
      </c>
      <c r="AO59" s="8">
        <v>21.9</v>
      </c>
      <c r="AP59" s="8">
        <v>2.911</v>
      </c>
    </row>
    <row r="60" spans="1:42">
      <c r="A60" s="22" t="s">
        <v>208</v>
      </c>
      <c r="B60">
        <v>5.78512956350741</v>
      </c>
      <c r="C60">
        <v>0.207907904953996</v>
      </c>
      <c r="D60">
        <v>0.98576421532432601</v>
      </c>
      <c r="E60">
        <v>3.9945459907845802</v>
      </c>
      <c r="F60">
        <v>0.1095172660065</v>
      </c>
      <c r="G60">
        <v>0.48739418643799998</v>
      </c>
      <c r="H60" s="17">
        <v>74</v>
      </c>
      <c r="I60" s="8">
        <v>4.4000000000000004</v>
      </c>
      <c r="J60" s="8">
        <v>64.8</v>
      </c>
      <c r="K60" s="8">
        <v>60</v>
      </c>
      <c r="L60" s="8">
        <v>91</v>
      </c>
      <c r="M60" s="8">
        <v>64</v>
      </c>
      <c r="N60" s="17">
        <v>99.68</v>
      </c>
      <c r="O60" s="23">
        <v>8.41</v>
      </c>
      <c r="P60" s="8">
        <v>0.6</v>
      </c>
      <c r="Q60" s="13">
        <v>126705.14</v>
      </c>
      <c r="R60" s="8">
        <v>-22516226.829999998</v>
      </c>
      <c r="S60" s="8">
        <v>9.1999999999999993</v>
      </c>
      <c r="T60" s="8">
        <v>70.2</v>
      </c>
      <c r="U60" s="17">
        <v>3</v>
      </c>
      <c r="V60" s="21">
        <v>56132488</v>
      </c>
      <c r="W60" s="8">
        <v>44</v>
      </c>
      <c r="X60" s="8">
        <v>72.400000000000006</v>
      </c>
      <c r="Y60" s="8">
        <v>6.3</v>
      </c>
      <c r="Z60" s="8">
        <v>58.7</v>
      </c>
      <c r="AA60" s="8">
        <f>11.25*1000</f>
        <v>11250</v>
      </c>
      <c r="AB60" s="8">
        <v>33265.279999999999</v>
      </c>
      <c r="AC60" s="8">
        <v>36.9</v>
      </c>
      <c r="AD60" s="8">
        <v>14.9</v>
      </c>
      <c r="AE60" s="8"/>
      <c r="AF60" s="8">
        <v>8.8999999999999996E-2</v>
      </c>
      <c r="AG60" s="8">
        <v>31</v>
      </c>
      <c r="AH60" s="8">
        <v>30</v>
      </c>
      <c r="AI60" s="8">
        <v>206</v>
      </c>
      <c r="AJ60" s="8">
        <v>34.200000000000003</v>
      </c>
      <c r="AK60" s="8">
        <v>61.000611980945301</v>
      </c>
      <c r="AL60">
        <v>99.400001525878906</v>
      </c>
      <c r="AM60" s="8">
        <v>53.7</v>
      </c>
      <c r="AN60" s="8">
        <v>43.5</v>
      </c>
      <c r="AO60" s="8">
        <v>38.9</v>
      </c>
      <c r="AP60" s="8">
        <v>2.6120000000000001</v>
      </c>
    </row>
    <row r="61" spans="1:42">
      <c r="A61" s="22" t="s">
        <v>210</v>
      </c>
      <c r="B61">
        <v>3.341568375614E-3</v>
      </c>
      <c r="C61" s="8">
        <v>0</v>
      </c>
      <c r="D61">
        <v>2.2824256139999999E-6</v>
      </c>
      <c r="E61" s="8">
        <v>0</v>
      </c>
      <c r="F61" s="8">
        <v>0</v>
      </c>
      <c r="G61" s="38">
        <v>3.33929E-3</v>
      </c>
      <c r="H61" s="17">
        <v>67</v>
      </c>
      <c r="I61" s="8">
        <v>4</v>
      </c>
      <c r="J61" s="8">
        <v>61.1</v>
      </c>
      <c r="K61" s="8">
        <v>25</v>
      </c>
      <c r="L61" s="8">
        <v>64</v>
      </c>
      <c r="M61" s="8">
        <v>65</v>
      </c>
      <c r="N61" s="17">
        <v>90.570000000000007</v>
      </c>
      <c r="O61" s="23">
        <v>0.41000000000000003</v>
      </c>
      <c r="P61" s="8">
        <v>-0.8</v>
      </c>
      <c r="Q61" s="13">
        <v>2615.1999999999998</v>
      </c>
      <c r="R61" s="8">
        <v>-3717930</v>
      </c>
      <c r="S61" s="8">
        <v>11.8</v>
      </c>
      <c r="T61" s="8">
        <v>68.8</v>
      </c>
      <c r="U61" s="17">
        <v>2</v>
      </c>
      <c r="V61" s="21">
        <v>810014</v>
      </c>
      <c r="W61" s="8">
        <v>30</v>
      </c>
      <c r="X61" s="8">
        <v>66.2</v>
      </c>
      <c r="Y61" s="8">
        <v>13.8</v>
      </c>
      <c r="Z61" s="8">
        <v>38.299999999999997</v>
      </c>
      <c r="AA61" s="8">
        <f>5.74*1000</f>
        <v>5740</v>
      </c>
      <c r="AB61" s="8">
        <v>244.76</v>
      </c>
      <c r="AC61" s="8">
        <v>23.4</v>
      </c>
      <c r="AD61" s="8">
        <v>14.4</v>
      </c>
      <c r="AE61" s="8"/>
      <c r="AF61" s="8">
        <v>7.9000000000000001E-2</v>
      </c>
      <c r="AG61" s="8">
        <v>36</v>
      </c>
      <c r="AH61" s="8">
        <v>12</v>
      </c>
      <c r="AI61" s="8">
        <v>0</v>
      </c>
      <c r="AJ61" s="8">
        <v>40.5</v>
      </c>
      <c r="AK61" s="8">
        <v>60.524699060716102</v>
      </c>
      <c r="AL61" s="17">
        <v>100</v>
      </c>
      <c r="AM61" s="8">
        <v>42.9</v>
      </c>
      <c r="AN61" s="8">
        <v>17.7</v>
      </c>
      <c r="AO61" s="8">
        <v>42.9</v>
      </c>
      <c r="AP61" s="8">
        <v>1.8819999999999999</v>
      </c>
    </row>
    <row r="62" spans="1:42">
      <c r="A62" s="22" t="s">
        <v>214</v>
      </c>
      <c r="B62">
        <v>2.8684279244283999E-2</v>
      </c>
      <c r="C62">
        <v>1.4749904439283999E-2</v>
      </c>
      <c r="D62" s="8">
        <v>0</v>
      </c>
      <c r="E62" s="8">
        <v>0</v>
      </c>
      <c r="F62" s="8">
        <v>0</v>
      </c>
      <c r="G62">
        <v>1.3934374805E-2</v>
      </c>
      <c r="H62" s="17">
        <v>67</v>
      </c>
      <c r="I62" s="8">
        <v>18.5</v>
      </c>
      <c r="J62" s="8">
        <v>63</v>
      </c>
      <c r="K62" s="8">
        <v>35</v>
      </c>
      <c r="L62" s="8">
        <v>46</v>
      </c>
      <c r="M62" s="8">
        <v>57</v>
      </c>
      <c r="N62" s="17">
        <v>98.856999999999999</v>
      </c>
      <c r="O62" s="23">
        <v>4.1100000000000003</v>
      </c>
      <c r="P62" s="8">
        <v>-0.3</v>
      </c>
      <c r="Q62" s="13">
        <v>619.21</v>
      </c>
      <c r="R62" s="8">
        <v>-1135463.8600000001</v>
      </c>
      <c r="S62" s="8">
        <v>12.2</v>
      </c>
      <c r="T62" s="8">
        <v>76.3</v>
      </c>
      <c r="U62" s="29">
        <v>2</v>
      </c>
      <c r="V62" s="21">
        <v>277394</v>
      </c>
      <c r="W62" s="8">
        <v>38</v>
      </c>
      <c r="X62" s="8">
        <v>63.6</v>
      </c>
      <c r="Y62" s="8">
        <v>9.1999999999999993</v>
      </c>
      <c r="Z62" s="8">
        <v>70.599999999999994</v>
      </c>
      <c r="AA62" s="8">
        <f>10.72*1000</f>
        <v>10720</v>
      </c>
      <c r="AB62" s="8">
        <v>692.88</v>
      </c>
      <c r="AC62" s="8">
        <v>52.3</v>
      </c>
      <c r="AD62" s="8">
        <v>15.1</v>
      </c>
      <c r="AE62" s="8"/>
      <c r="AF62" s="29">
        <v>0.1</v>
      </c>
      <c r="AG62" s="8">
        <v>46</v>
      </c>
      <c r="AH62" s="8">
        <v>15</v>
      </c>
      <c r="AI62" s="8">
        <v>0</v>
      </c>
      <c r="AJ62" s="8">
        <v>30.7</v>
      </c>
      <c r="AK62" s="8">
        <v>59.810829680372301</v>
      </c>
      <c r="AL62" s="17">
        <v>100</v>
      </c>
      <c r="AM62" s="8">
        <v>44.7</v>
      </c>
      <c r="AN62" s="8">
        <v>15.5</v>
      </c>
      <c r="AO62" s="8">
        <v>52.3</v>
      </c>
      <c r="AP62" s="8">
        <v>1.8009999999999999</v>
      </c>
    </row>
    <row r="63" spans="1:42">
      <c r="A63" s="22" t="s">
        <v>215</v>
      </c>
      <c r="B63">
        <v>7.1747687148660699E-2</v>
      </c>
      <c r="C63" s="8">
        <v>0</v>
      </c>
      <c r="D63">
        <v>3.8627039830050002E-3</v>
      </c>
      <c r="E63">
        <v>1.46598360655738E-4</v>
      </c>
      <c r="F63" s="8">
        <v>0</v>
      </c>
      <c r="G63">
        <v>6.7738384804999996E-2</v>
      </c>
      <c r="H63" s="17">
        <v>73</v>
      </c>
      <c r="I63" s="8">
        <v>11.5</v>
      </c>
      <c r="J63" s="8">
        <v>53.1</v>
      </c>
      <c r="K63" s="8">
        <v>50</v>
      </c>
      <c r="L63" s="8">
        <v>67</v>
      </c>
      <c r="M63" s="8">
        <v>54</v>
      </c>
      <c r="N63" s="17">
        <v>90.402000000000001</v>
      </c>
      <c r="O63" s="23">
        <v>5.17</v>
      </c>
      <c r="P63" s="8">
        <v>1.1000000000000001</v>
      </c>
      <c r="Q63" s="13">
        <v>37076.58</v>
      </c>
      <c r="R63" s="8">
        <v>-12969304.119999999</v>
      </c>
      <c r="S63" s="8">
        <v>5.9</v>
      </c>
      <c r="T63" s="8">
        <v>74</v>
      </c>
      <c r="U63" s="17">
        <v>3</v>
      </c>
      <c r="V63" s="21">
        <v>11813726</v>
      </c>
      <c r="W63" s="8">
        <v>35</v>
      </c>
      <c r="X63" s="8">
        <v>72.599999999999994</v>
      </c>
      <c r="Y63" s="8">
        <v>4.0999999999999996</v>
      </c>
      <c r="Z63" s="8">
        <v>70.099999999999994</v>
      </c>
      <c r="AA63" s="8">
        <f>4.07*1000</f>
        <v>4070.0000000000005</v>
      </c>
      <c r="AB63" s="8">
        <v>2150.84</v>
      </c>
      <c r="AC63" s="8">
        <v>49.9</v>
      </c>
      <c r="AD63" s="8">
        <v>14.2</v>
      </c>
      <c r="AE63" s="8"/>
      <c r="AF63" s="8">
        <v>0.112</v>
      </c>
      <c r="AG63" s="8">
        <v>39</v>
      </c>
      <c r="AH63" s="8">
        <v>31</v>
      </c>
      <c r="AI63" s="8">
        <v>11</v>
      </c>
      <c r="AJ63" s="8">
        <v>22.7</v>
      </c>
      <c r="AK63" s="8">
        <v>59.572873220257698</v>
      </c>
      <c r="AL63" s="17">
        <v>100</v>
      </c>
      <c r="AM63" s="8">
        <v>27.2</v>
      </c>
      <c r="AN63" s="8">
        <v>30.8</v>
      </c>
      <c r="AO63" s="8">
        <v>29.5</v>
      </c>
      <c r="AP63" s="8">
        <v>1.9690000000000001</v>
      </c>
    </row>
    <row r="64" spans="1:42">
      <c r="A64" s="22" t="s">
        <v>216</v>
      </c>
      <c r="B64">
        <v>0.62290767440338801</v>
      </c>
      <c r="C64">
        <v>0.276770370977588</v>
      </c>
      <c r="D64">
        <v>0.21222730623079999</v>
      </c>
      <c r="E64" s="8">
        <v>0</v>
      </c>
      <c r="F64" s="8">
        <v>0</v>
      </c>
      <c r="G64" s="38">
        <v>0.13391</v>
      </c>
      <c r="H64" s="17">
        <v>47</v>
      </c>
      <c r="I64" s="8">
        <v>4</v>
      </c>
      <c r="J64" s="8">
        <v>54.8</v>
      </c>
      <c r="K64" s="8">
        <v>18</v>
      </c>
      <c r="L64" s="8">
        <v>59</v>
      </c>
      <c r="M64" s="8">
        <v>14</v>
      </c>
      <c r="N64" s="17">
        <v>63.369</v>
      </c>
      <c r="O64" s="23">
        <v>80.400000000000006</v>
      </c>
      <c r="P64" s="8">
        <v>2.8</v>
      </c>
      <c r="Q64" s="13">
        <v>32077.07</v>
      </c>
      <c r="R64" s="8">
        <v>-3987203.28</v>
      </c>
      <c r="S64" s="8">
        <v>3.2</v>
      </c>
      <c r="T64" s="8">
        <v>59.3</v>
      </c>
      <c r="U64" s="17">
        <v>3</v>
      </c>
      <c r="V64" s="21">
        <v>14137316</v>
      </c>
      <c r="W64" s="8">
        <v>27</v>
      </c>
      <c r="X64" s="8">
        <v>35.200000000000003</v>
      </c>
      <c r="Y64" s="8">
        <v>8.6</v>
      </c>
      <c r="Z64" s="8">
        <v>102.6</v>
      </c>
      <c r="AA64" s="8">
        <v>578.91</v>
      </c>
      <c r="AB64" s="8">
        <v>5295.4</v>
      </c>
      <c r="AC64" s="8">
        <v>22.8</v>
      </c>
      <c r="AD64" s="8">
        <v>10.199999999999999</v>
      </c>
      <c r="AE64" s="8"/>
      <c r="AF64" s="8">
        <v>0.127</v>
      </c>
      <c r="AG64" s="8">
        <v>26</v>
      </c>
      <c r="AH64" s="8">
        <v>32</v>
      </c>
      <c r="AI64" s="8">
        <v>55</v>
      </c>
      <c r="AJ64" s="8">
        <v>37.9</v>
      </c>
      <c r="AK64" s="8">
        <v>59.334916760143102</v>
      </c>
      <c r="AL64">
        <v>30.603832244873001</v>
      </c>
      <c r="AM64" s="8">
        <v>44.5</v>
      </c>
      <c r="AN64" s="8">
        <v>9.8000000000000007</v>
      </c>
      <c r="AO64" s="8">
        <v>19.3</v>
      </c>
      <c r="AP64" s="8">
        <v>2.3159999999999998</v>
      </c>
    </row>
    <row r="65" spans="1:42">
      <c r="A65" s="22" t="s">
        <v>221</v>
      </c>
      <c r="B65">
        <v>1.42052782751741</v>
      </c>
      <c r="C65" s="8">
        <v>0</v>
      </c>
      <c r="D65">
        <v>1.0514752429851599</v>
      </c>
      <c r="E65">
        <v>4.5587612103147102E-2</v>
      </c>
      <c r="F65">
        <v>3.5969859118602003E-2</v>
      </c>
      <c r="G65">
        <v>0.28749511331049998</v>
      </c>
      <c r="H65" s="17">
        <v>86</v>
      </c>
      <c r="I65" s="8">
        <v>4</v>
      </c>
      <c r="J65" s="8">
        <v>67.099999999999994</v>
      </c>
      <c r="K65" s="8">
        <v>100</v>
      </c>
      <c r="L65" s="8">
        <v>82</v>
      </c>
      <c r="M65" s="8">
        <v>80</v>
      </c>
      <c r="N65" s="17">
        <v>100</v>
      </c>
      <c r="O65" s="23">
        <v>0.23</v>
      </c>
      <c r="P65" s="8">
        <v>0.5</v>
      </c>
      <c r="Q65" s="13">
        <v>17533.04</v>
      </c>
      <c r="R65" s="8">
        <v>103897967.26000001</v>
      </c>
      <c r="S65" s="8">
        <v>12.6</v>
      </c>
      <c r="T65" s="8">
        <v>81.7</v>
      </c>
      <c r="U65" s="17">
        <v>2</v>
      </c>
      <c r="V65" s="21">
        <v>9902465</v>
      </c>
      <c r="W65" s="8">
        <v>76</v>
      </c>
      <c r="X65" s="8">
        <v>94.3</v>
      </c>
      <c r="Y65" s="8">
        <v>8</v>
      </c>
      <c r="Z65" s="8">
        <v>46.4</v>
      </c>
      <c r="AA65" s="8">
        <f>57.63*1000</f>
        <v>57630</v>
      </c>
      <c r="AB65" s="8">
        <v>-160892.46</v>
      </c>
      <c r="AC65" s="8">
        <v>76.7</v>
      </c>
      <c r="AD65" s="8">
        <v>18.7</v>
      </c>
      <c r="AE65" s="8"/>
      <c r="AF65" s="8">
        <v>0.34399999999999997</v>
      </c>
      <c r="AG65" s="8">
        <v>82</v>
      </c>
      <c r="AH65" s="8">
        <v>30</v>
      </c>
      <c r="AI65" s="8">
        <v>5</v>
      </c>
      <c r="AJ65" s="8">
        <v>76.8</v>
      </c>
      <c r="AK65" s="8">
        <v>58.145134459570102</v>
      </c>
      <c r="AL65" s="17">
        <v>100</v>
      </c>
      <c r="AM65" s="8">
        <v>60</v>
      </c>
      <c r="AN65" s="8">
        <v>66.2</v>
      </c>
      <c r="AO65" s="8">
        <v>54.5</v>
      </c>
      <c r="AP65" s="8">
        <v>1.522</v>
      </c>
    </row>
    <row r="66" spans="1:42">
      <c r="A66" s="22" t="s">
        <v>223</v>
      </c>
      <c r="B66">
        <v>0.59892289659706599</v>
      </c>
      <c r="C66">
        <v>7.2253997613011198E-2</v>
      </c>
      <c r="D66">
        <v>0.17171114044188199</v>
      </c>
      <c r="E66">
        <v>3.1803839219717703E-2</v>
      </c>
      <c r="F66" s="8">
        <v>0</v>
      </c>
      <c r="G66">
        <v>0.32315391932245502</v>
      </c>
      <c r="H66" s="17">
        <v>86</v>
      </c>
      <c r="I66" s="8">
        <v>4.0999999999999996</v>
      </c>
      <c r="J66" s="8">
        <v>79.900000000000006</v>
      </c>
      <c r="K66" s="8">
        <v>95</v>
      </c>
      <c r="L66" s="8">
        <v>65</v>
      </c>
      <c r="M66" s="8">
        <v>56</v>
      </c>
      <c r="N66" s="17">
        <v>100</v>
      </c>
      <c r="O66" s="23">
        <v>0.02</v>
      </c>
      <c r="P66" s="8">
        <v>0.6</v>
      </c>
      <c r="Q66" s="13">
        <v>5122.6000000000004</v>
      </c>
      <c r="R66" s="8">
        <v>-8085224.0499999998</v>
      </c>
      <c r="S66" s="8">
        <v>12.9</v>
      </c>
      <c r="T66" s="8">
        <v>82.5</v>
      </c>
      <c r="U66" s="17">
        <v>2</v>
      </c>
      <c r="V66" s="21">
        <v>2910970</v>
      </c>
      <c r="W66" s="8">
        <v>61</v>
      </c>
      <c r="X66" s="8">
        <v>75.5</v>
      </c>
      <c r="Y66" s="8">
        <v>3.9</v>
      </c>
      <c r="Z66" s="8">
        <v>58.6</v>
      </c>
      <c r="AA66" s="8">
        <f>49.01*1000</f>
        <v>49010</v>
      </c>
      <c r="AB66" s="8">
        <v>4040.13</v>
      </c>
      <c r="AC66" s="8">
        <v>62.5</v>
      </c>
      <c r="AD66" s="8">
        <v>20.3</v>
      </c>
      <c r="AE66" s="8"/>
      <c r="AF66" s="8">
        <v>0.191</v>
      </c>
      <c r="AG66" s="8">
        <v>88</v>
      </c>
      <c r="AH66" s="8">
        <v>28</v>
      </c>
      <c r="AI66" s="8">
        <v>6</v>
      </c>
      <c r="AJ66" s="8">
        <v>93.2</v>
      </c>
      <c r="AK66" s="8">
        <v>57.669221539340903</v>
      </c>
      <c r="AL66" s="17">
        <v>100</v>
      </c>
      <c r="AM66" s="8">
        <v>57.9</v>
      </c>
      <c r="AN66" s="8">
        <v>60.9</v>
      </c>
      <c r="AO66" s="8">
        <v>40.4</v>
      </c>
      <c r="AP66" s="8">
        <v>1.2689999999999999</v>
      </c>
    </row>
    <row r="67" spans="1:42">
      <c r="A67" s="22" t="s">
        <v>226</v>
      </c>
      <c r="B67">
        <v>6.0449941695051699</v>
      </c>
      <c r="C67">
        <v>1.4057761356446399E-3</v>
      </c>
      <c r="D67">
        <v>1.7118035157660001</v>
      </c>
      <c r="E67">
        <v>4.2561631634485302</v>
      </c>
      <c r="F67" s="8">
        <v>0</v>
      </c>
      <c r="G67" s="38">
        <v>7.5621709999999995E-2</v>
      </c>
      <c r="H67" s="17">
        <v>44</v>
      </c>
      <c r="I67" s="8">
        <v>9.8000000000000007</v>
      </c>
      <c r="J67" s="8">
        <v>52.8</v>
      </c>
      <c r="K67" s="8">
        <v>26</v>
      </c>
      <c r="L67" s="8">
        <v>65</v>
      </c>
      <c r="M67" s="8">
        <v>32</v>
      </c>
      <c r="N67" s="17">
        <v>77.608999999999995</v>
      </c>
      <c r="O67" s="23">
        <v>44.37</v>
      </c>
      <c r="P67" s="8">
        <v>2.4</v>
      </c>
      <c r="Q67" s="13">
        <v>213401.32</v>
      </c>
      <c r="R67" s="8">
        <v>-15251195.710000001</v>
      </c>
      <c r="S67" s="8">
        <v>7.2</v>
      </c>
      <c r="T67" s="8">
        <v>52.7</v>
      </c>
      <c r="U67" s="17">
        <v>4</v>
      </c>
      <c r="V67" s="21">
        <v>65115671</v>
      </c>
      <c r="W67" s="8">
        <v>32</v>
      </c>
      <c r="X67" s="8">
        <v>39.700000000000003</v>
      </c>
      <c r="Y67" s="8">
        <v>17.3</v>
      </c>
      <c r="Z67" s="8">
        <v>38.6</v>
      </c>
      <c r="AA67" s="8">
        <f>2.58*1000</f>
        <v>2580</v>
      </c>
      <c r="AB67" s="8">
        <v>3313.21</v>
      </c>
      <c r="AC67" s="8">
        <v>15.3</v>
      </c>
      <c r="AD67" s="8">
        <v>10.1</v>
      </c>
      <c r="AE67" s="8"/>
      <c r="AF67" s="8">
        <v>0.05</v>
      </c>
      <c r="AG67" s="8">
        <v>24</v>
      </c>
      <c r="AH67" s="8">
        <v>30</v>
      </c>
      <c r="AI67" s="8">
        <v>53</v>
      </c>
      <c r="AJ67" s="8">
        <v>13.8</v>
      </c>
      <c r="AK67" s="8">
        <v>56.955352158997101</v>
      </c>
      <c r="AL67">
        <v>55.400001525878899</v>
      </c>
      <c r="AM67" s="8">
        <v>33.299999999999997</v>
      </c>
      <c r="AN67" s="8">
        <v>12.7</v>
      </c>
      <c r="AO67" s="8">
        <v>29.6</v>
      </c>
      <c r="AP67" s="8">
        <v>2.7250000000000001</v>
      </c>
    </row>
    <row r="68" spans="1:42">
      <c r="A68" s="22" t="s">
        <v>316</v>
      </c>
      <c r="B68">
        <v>4.4963710562272198E-2</v>
      </c>
      <c r="C68">
        <v>3.3100763427272202E-2</v>
      </c>
      <c r="D68" s="8">
        <v>0</v>
      </c>
      <c r="E68" s="8">
        <v>0</v>
      </c>
      <c r="F68" s="8">
        <v>0</v>
      </c>
      <c r="G68">
        <v>1.1862947134999999E-2</v>
      </c>
      <c r="H68" s="17">
        <v>68</v>
      </c>
      <c r="I68" s="8">
        <v>16.2</v>
      </c>
      <c r="J68" s="8">
        <v>56</v>
      </c>
      <c r="K68" s="8">
        <v>45</v>
      </c>
      <c r="L68" s="8">
        <v>44</v>
      </c>
      <c r="M68" s="8">
        <v>53</v>
      </c>
      <c r="N68" s="17">
        <v>97.742999999999995</v>
      </c>
      <c r="O68" s="23">
        <v>5.5</v>
      </c>
      <c r="P68" s="8">
        <v>-0.4</v>
      </c>
      <c r="Q68" s="13">
        <v>2065.09</v>
      </c>
      <c r="R68" s="8">
        <v>-2196967.75</v>
      </c>
      <c r="S68" s="8">
        <v>10.199999999999999</v>
      </c>
      <c r="T68" s="8">
        <v>73.8</v>
      </c>
      <c r="U68" s="17">
        <v>3</v>
      </c>
      <c r="V68" s="21">
        <v>916180</v>
      </c>
      <c r="W68" s="8">
        <v>32</v>
      </c>
      <c r="X68" s="8">
        <v>66.900000000000006</v>
      </c>
      <c r="Y68" s="8">
        <v>4.5</v>
      </c>
      <c r="Z68" s="8">
        <v>51.4</v>
      </c>
      <c r="AA68" s="8">
        <f>7.26*1000</f>
        <v>7260</v>
      </c>
      <c r="AB68" s="8">
        <v>744.89</v>
      </c>
      <c r="AC68" s="8">
        <v>33.700000000000003</v>
      </c>
      <c r="AD68" s="8">
        <v>13.6</v>
      </c>
      <c r="AE68" s="8"/>
      <c r="AF68" s="8">
        <v>0.10100000000000001</v>
      </c>
      <c r="AG68" s="8">
        <v>39</v>
      </c>
      <c r="AH68" s="8">
        <v>10</v>
      </c>
      <c r="AI68" s="8">
        <v>1</v>
      </c>
      <c r="AJ68" s="8">
        <v>22.6</v>
      </c>
      <c r="AK68" s="8">
        <v>69.165965397726495</v>
      </c>
      <c r="AL68" s="17">
        <v>100</v>
      </c>
      <c r="AM68" s="8">
        <v>48.7</v>
      </c>
      <c r="AN68" s="8">
        <v>42.1</v>
      </c>
      <c r="AO68" s="8">
        <v>69.900000000000006</v>
      </c>
      <c r="AP68" s="8">
        <v>1.704</v>
      </c>
    </row>
    <row r="69" spans="1:42">
      <c r="A69" s="22" t="s">
        <v>229</v>
      </c>
      <c r="B69">
        <v>8.8695090074519207</v>
      </c>
      <c r="C69">
        <v>3.3928440360429502E-3</v>
      </c>
      <c r="D69">
        <v>4.28547675230522</v>
      </c>
      <c r="E69">
        <v>3.42317989746565</v>
      </c>
      <c r="F69" s="8">
        <v>0</v>
      </c>
      <c r="G69" s="38">
        <v>1.15745951</v>
      </c>
      <c r="H69" s="17">
        <v>86</v>
      </c>
      <c r="I69" s="8">
        <v>5</v>
      </c>
      <c r="J69" s="8">
        <v>57.6</v>
      </c>
      <c r="K69" s="8">
        <v>99</v>
      </c>
      <c r="L69" s="8">
        <v>88</v>
      </c>
      <c r="M69" s="8">
        <v>68</v>
      </c>
      <c r="N69" s="17">
        <v>100</v>
      </c>
      <c r="O69" s="23">
        <v>0.31</v>
      </c>
      <c r="P69" s="8">
        <v>0.5</v>
      </c>
      <c r="Q69" s="13">
        <v>5408.32</v>
      </c>
      <c r="R69" s="8">
        <v>58629334.240000002</v>
      </c>
      <c r="S69" s="8">
        <v>13</v>
      </c>
      <c r="T69" s="8">
        <v>83.2</v>
      </c>
      <c r="U69" s="17">
        <v>1</v>
      </c>
      <c r="V69" s="21">
        <v>2971470</v>
      </c>
      <c r="W69" s="8">
        <v>68</v>
      </c>
      <c r="X69" s="8">
        <v>75.8</v>
      </c>
      <c r="Y69" s="8">
        <v>3.8</v>
      </c>
      <c r="Z69" s="8">
        <v>39.5</v>
      </c>
      <c r="AA69" s="8">
        <f>88.75*1000</f>
        <v>88750</v>
      </c>
      <c r="AB69" s="8">
        <v>10696.79</v>
      </c>
      <c r="AC69" s="8">
        <v>71</v>
      </c>
      <c r="AD69" s="8">
        <v>18.2</v>
      </c>
      <c r="AE69" s="8"/>
      <c r="AF69" s="8">
        <v>0.14000000000000001</v>
      </c>
      <c r="AG69" s="8">
        <v>85</v>
      </c>
      <c r="AH69" s="8">
        <v>22</v>
      </c>
      <c r="AI69" s="8">
        <v>0</v>
      </c>
      <c r="AJ69" s="8">
        <v>92.4</v>
      </c>
      <c r="AK69" s="8">
        <v>64.935357460206106</v>
      </c>
      <c r="AL69" s="17">
        <v>100</v>
      </c>
      <c r="AM69" s="8">
        <v>57.6</v>
      </c>
      <c r="AN69" s="8">
        <v>70.7</v>
      </c>
      <c r="AO69" s="8">
        <v>43.9</v>
      </c>
      <c r="AP69" s="8">
        <v>1.4650000000000001</v>
      </c>
    </row>
    <row r="70" spans="1:42">
      <c r="A70" s="22" t="s">
        <v>231</v>
      </c>
      <c r="B70">
        <v>1.8563134225745801</v>
      </c>
      <c r="C70">
        <v>0.134293084142631</v>
      </c>
      <c r="D70">
        <v>1.045685766072</v>
      </c>
      <c r="E70">
        <v>0.20791654435995799</v>
      </c>
      <c r="F70">
        <v>9.5718828000000006E-2</v>
      </c>
      <c r="G70">
        <v>0.37269920000000001</v>
      </c>
      <c r="H70" s="17">
        <v>45</v>
      </c>
      <c r="I70" s="8">
        <v>4.4000000000000004</v>
      </c>
      <c r="J70" s="8">
        <v>41.5</v>
      </c>
      <c r="K70" s="8">
        <v>23</v>
      </c>
      <c r="L70" s="29">
        <v>42</v>
      </c>
      <c r="M70" s="8">
        <v>36</v>
      </c>
      <c r="N70" s="17">
        <v>90.149000000000001</v>
      </c>
      <c r="O70" s="23">
        <v>36.99</v>
      </c>
      <c r="P70" s="8">
        <v>1.8</v>
      </c>
      <c r="Q70" s="13">
        <v>231402.12</v>
      </c>
      <c r="R70" s="8">
        <v>-40826247</v>
      </c>
      <c r="S70" s="8">
        <v>4.5</v>
      </c>
      <c r="T70" s="8">
        <v>66.099999999999994</v>
      </c>
      <c r="U70" s="17">
        <v>5</v>
      </c>
      <c r="V70" s="21">
        <v>73133159</v>
      </c>
      <c r="W70" s="8">
        <v>36</v>
      </c>
      <c r="X70" s="8">
        <v>55.6</v>
      </c>
      <c r="Y70" s="8">
        <v>19.899999999999999</v>
      </c>
      <c r="Z70" s="8">
        <v>71.099999999999994</v>
      </c>
      <c r="AA70" s="53">
        <v>1505</v>
      </c>
      <c r="AB70" s="8">
        <v>2102</v>
      </c>
      <c r="AC70" s="8">
        <v>30.7</v>
      </c>
      <c r="AD70" s="8">
        <v>8.6999999999999993</v>
      </c>
      <c r="AE70" s="8"/>
      <c r="AF70" s="8">
        <v>5.3999999999999999E-2</v>
      </c>
      <c r="AG70" s="8">
        <v>28</v>
      </c>
      <c r="AH70" s="8">
        <v>29</v>
      </c>
      <c r="AI70" s="8">
        <v>14</v>
      </c>
      <c r="AJ70" s="8">
        <v>5.7</v>
      </c>
      <c r="AK70" s="8">
        <v>58.838485170035199</v>
      </c>
      <c r="AL70">
        <v>75.379692077636705</v>
      </c>
      <c r="AM70" s="8">
        <v>37.799999999999997</v>
      </c>
      <c r="AN70" s="8">
        <v>15.8</v>
      </c>
      <c r="AO70" s="8">
        <v>16.899999999999999</v>
      </c>
      <c r="AP70" s="8">
        <v>2.7890000000000001</v>
      </c>
    </row>
    <row r="71" spans="1:42">
      <c r="A71" s="22" t="s">
        <v>233</v>
      </c>
      <c r="B71">
        <v>5.5284911499999999E-2</v>
      </c>
      <c r="C71" s="8">
        <v>0</v>
      </c>
      <c r="D71" s="8">
        <v>0</v>
      </c>
      <c r="E71" s="8">
        <v>0</v>
      </c>
      <c r="F71" s="8">
        <v>0</v>
      </c>
      <c r="G71">
        <v>5.5284911499999999E-2</v>
      </c>
      <c r="H71" s="17">
        <v>77</v>
      </c>
      <c r="I71" s="8">
        <v>12.1</v>
      </c>
      <c r="J71" s="8">
        <v>66.3</v>
      </c>
      <c r="K71" s="8">
        <v>58</v>
      </c>
      <c r="L71" s="29">
        <v>58</v>
      </c>
      <c r="M71" s="8">
        <v>54</v>
      </c>
      <c r="N71" s="17">
        <v>94.373000000000005</v>
      </c>
      <c r="O71" s="13">
        <v>0.46</v>
      </c>
      <c r="P71" s="8">
        <v>1.3</v>
      </c>
      <c r="Q71" s="13">
        <v>4351.2700000000004</v>
      </c>
      <c r="R71" s="8">
        <v>2610178.2599999998</v>
      </c>
      <c r="S71" s="8">
        <v>10.5</v>
      </c>
      <c r="T71" s="8">
        <v>76.2</v>
      </c>
      <c r="U71" s="17">
        <v>3</v>
      </c>
      <c r="V71" s="21">
        <v>1966360</v>
      </c>
      <c r="W71" s="8">
        <v>37</v>
      </c>
      <c r="X71" s="8">
        <v>69.5</v>
      </c>
      <c r="Y71" s="8">
        <v>3.3</v>
      </c>
      <c r="Z71" s="8">
        <v>55.1</v>
      </c>
      <c r="AA71" s="8">
        <f>17.15*1000</f>
        <v>17150</v>
      </c>
      <c r="AB71" s="8">
        <v>1350.13</v>
      </c>
      <c r="AC71" s="8">
        <v>48.9</v>
      </c>
      <c r="AD71" s="8">
        <v>13.1</v>
      </c>
      <c r="AE71" s="8"/>
      <c r="AF71" s="8">
        <v>0.17</v>
      </c>
      <c r="AG71" s="8">
        <v>36</v>
      </c>
      <c r="AH71" s="8">
        <v>25</v>
      </c>
      <c r="AI71" s="8">
        <v>5</v>
      </c>
      <c r="AJ71" s="8">
        <v>51.9</v>
      </c>
      <c r="AK71" s="8">
        <v>65.026450916480201</v>
      </c>
      <c r="AL71">
        <v>96.704635620117202</v>
      </c>
      <c r="AM71" s="8">
        <v>57.5</v>
      </c>
      <c r="AN71" s="8">
        <v>38.6</v>
      </c>
      <c r="AO71" s="8">
        <v>43.5</v>
      </c>
      <c r="AP71" s="8">
        <v>1.8759999999999999</v>
      </c>
    </row>
    <row r="72" spans="1:42">
      <c r="A72" s="22" t="s">
        <v>235</v>
      </c>
      <c r="B72">
        <v>0.44862367255000002</v>
      </c>
      <c r="C72" s="8">
        <v>0</v>
      </c>
      <c r="D72" s="8">
        <v>0</v>
      </c>
      <c r="E72" s="8">
        <v>0</v>
      </c>
      <c r="F72" s="8">
        <v>0</v>
      </c>
      <c r="G72">
        <v>0.44862367255000002</v>
      </c>
      <c r="H72" s="17">
        <v>61</v>
      </c>
      <c r="I72" s="8">
        <v>7.2</v>
      </c>
      <c r="J72" s="8">
        <v>62.2</v>
      </c>
      <c r="K72" s="8">
        <v>48</v>
      </c>
      <c r="L72" s="29">
        <v>24</v>
      </c>
      <c r="M72" s="8">
        <v>28</v>
      </c>
      <c r="N72" s="17">
        <v>99.593000000000004</v>
      </c>
      <c r="O72" s="23">
        <v>4.2</v>
      </c>
      <c r="P72" s="8">
        <v>1.3</v>
      </c>
      <c r="Q72" s="13">
        <v>6703.8</v>
      </c>
      <c r="R72" s="8">
        <v>700271.61</v>
      </c>
      <c r="S72" s="8">
        <v>8.9</v>
      </c>
      <c r="T72" s="8">
        <v>70.3</v>
      </c>
      <c r="U72" s="17">
        <v>3</v>
      </c>
      <c r="V72" s="21">
        <v>3430255</v>
      </c>
      <c r="W72" s="8">
        <v>22</v>
      </c>
      <c r="X72" s="8">
        <v>59.8</v>
      </c>
      <c r="Y72" s="8">
        <v>4.5</v>
      </c>
      <c r="Z72" s="8">
        <v>38.9</v>
      </c>
      <c r="AA72" s="8">
        <f>5.91*1000</f>
        <v>5910</v>
      </c>
      <c r="AB72" s="8">
        <v>27.18</v>
      </c>
      <c r="AC72" s="8">
        <v>26.6</v>
      </c>
      <c r="AD72" s="8">
        <v>13</v>
      </c>
      <c r="AE72" s="8"/>
      <c r="AF72" s="8">
        <v>5.5E-2</v>
      </c>
      <c r="AG72" s="8">
        <v>30</v>
      </c>
      <c r="AH72" s="8">
        <v>10</v>
      </c>
      <c r="AI72" s="8">
        <v>12</v>
      </c>
      <c r="AJ72" s="8">
        <v>43.3</v>
      </c>
      <c r="AK72" s="8">
        <v>64.750643627590904</v>
      </c>
      <c r="AL72" s="17">
        <v>100</v>
      </c>
      <c r="AM72" s="8">
        <v>48.9</v>
      </c>
      <c r="AN72" s="8">
        <v>41</v>
      </c>
      <c r="AO72" s="8">
        <v>30.1</v>
      </c>
      <c r="AP72" s="8">
        <v>1.976</v>
      </c>
    </row>
    <row r="73" spans="1:42">
      <c r="A73" s="22" t="s">
        <v>236</v>
      </c>
      <c r="B73">
        <v>1.1614671639076899</v>
      </c>
      <c r="C73">
        <v>1.84464487422152E-2</v>
      </c>
      <c r="D73">
        <v>0.57376316486879997</v>
      </c>
      <c r="E73">
        <v>0.25893697284667899</v>
      </c>
      <c r="F73" s="8">
        <v>0</v>
      </c>
      <c r="G73" s="38">
        <v>0.31032058000000001</v>
      </c>
      <c r="H73" s="17">
        <v>78</v>
      </c>
      <c r="I73" s="8">
        <v>4.8</v>
      </c>
      <c r="J73" s="8">
        <v>66.5</v>
      </c>
      <c r="K73" s="8">
        <v>61</v>
      </c>
      <c r="L73" s="29">
        <v>55</v>
      </c>
      <c r="M73" s="8">
        <v>39</v>
      </c>
      <c r="N73" s="17">
        <v>93.138999999999996</v>
      </c>
      <c r="O73" s="23">
        <v>7.08</v>
      </c>
      <c r="P73" s="8">
        <v>1.2</v>
      </c>
      <c r="Q73" s="13">
        <v>33715.47</v>
      </c>
      <c r="R73" s="8">
        <v>7486325.4800000004</v>
      </c>
      <c r="S73" s="8">
        <v>9.9</v>
      </c>
      <c r="T73" s="8">
        <v>72.400000000000006</v>
      </c>
      <c r="U73" s="17">
        <v>4</v>
      </c>
      <c r="V73" s="21">
        <v>18351926</v>
      </c>
      <c r="W73" s="8">
        <v>33</v>
      </c>
      <c r="X73" s="8">
        <v>62.3</v>
      </c>
      <c r="Y73" s="8">
        <v>4.4000000000000004</v>
      </c>
      <c r="Z73" s="8">
        <v>35.700000000000003</v>
      </c>
      <c r="AA73" s="8">
        <f>7.35*1000</f>
        <v>7350</v>
      </c>
      <c r="AB73" s="8">
        <v>7455.12</v>
      </c>
      <c r="AC73" s="8">
        <v>38.1</v>
      </c>
      <c r="AD73" s="8">
        <v>15.4</v>
      </c>
      <c r="AE73" s="8"/>
      <c r="AF73" s="8">
        <v>0.223</v>
      </c>
      <c r="AG73" s="8">
        <v>36</v>
      </c>
      <c r="AH73" s="8">
        <v>29.5</v>
      </c>
      <c r="AI73" s="8">
        <v>49</v>
      </c>
      <c r="AJ73" s="8">
        <v>41.5</v>
      </c>
      <c r="AK73" s="8">
        <v>65.349283340142506</v>
      </c>
      <c r="AL73">
        <v>99.311813354492202</v>
      </c>
      <c r="AM73" s="8">
        <v>45.2</v>
      </c>
      <c r="AN73" s="8">
        <v>27.7</v>
      </c>
      <c r="AO73" s="8">
        <v>32.200000000000003</v>
      </c>
      <c r="AP73" s="8">
        <v>2.0910000000000002</v>
      </c>
    </row>
    <row r="74" spans="1:42">
      <c r="A74" s="22" t="s">
        <v>237</v>
      </c>
      <c r="B74">
        <v>0.67939692340608604</v>
      </c>
      <c r="C74">
        <v>0.33672685003093</v>
      </c>
      <c r="D74">
        <v>0.1292663712645</v>
      </c>
      <c r="E74">
        <v>2.1540983606557298E-3</v>
      </c>
      <c r="F74" s="31">
        <v>0</v>
      </c>
      <c r="G74" s="38">
        <v>0.21124960000000001</v>
      </c>
      <c r="H74" s="17">
        <v>55</v>
      </c>
      <c r="I74" s="8">
        <v>2.4</v>
      </c>
      <c r="J74" s="8">
        <v>63.5</v>
      </c>
      <c r="K74" s="8">
        <v>61</v>
      </c>
      <c r="L74" s="8">
        <v>54</v>
      </c>
      <c r="M74" s="8">
        <v>55</v>
      </c>
      <c r="N74" s="17">
        <v>94.109000000000009</v>
      </c>
      <c r="O74" s="23">
        <v>25.25</v>
      </c>
      <c r="P74" s="8">
        <v>1.5</v>
      </c>
      <c r="Q74" s="35">
        <v>113880.33</v>
      </c>
      <c r="R74" s="8">
        <v>-38718370.57</v>
      </c>
      <c r="S74" s="8">
        <v>9</v>
      </c>
      <c r="T74" s="8">
        <v>69.3</v>
      </c>
      <c r="U74" s="17">
        <v>5</v>
      </c>
      <c r="V74" s="21">
        <v>44242102</v>
      </c>
      <c r="W74" s="8">
        <v>38</v>
      </c>
      <c r="X74" s="8">
        <v>58</v>
      </c>
      <c r="Y74" s="8">
        <v>4.3</v>
      </c>
      <c r="Z74" s="8">
        <v>61</v>
      </c>
      <c r="AA74" s="34">
        <f>3.76*1000</f>
        <v>3760</v>
      </c>
      <c r="AB74" s="34">
        <v>10518.04</v>
      </c>
      <c r="AC74" s="8">
        <v>50.3</v>
      </c>
      <c r="AD74" s="8">
        <v>13.1</v>
      </c>
      <c r="AE74" s="8">
        <v>46</v>
      </c>
      <c r="AF74" s="8">
        <v>0.17499999999999999</v>
      </c>
      <c r="AG74" s="8">
        <v>33</v>
      </c>
      <c r="AH74" s="8">
        <v>25</v>
      </c>
      <c r="AI74" s="8">
        <v>13</v>
      </c>
      <c r="AJ74" s="8">
        <v>25.9</v>
      </c>
      <c r="AK74" s="8">
        <v>64.037052123699496</v>
      </c>
      <c r="AL74">
        <v>96.842384338378906</v>
      </c>
      <c r="AM74" s="8">
        <v>38.6</v>
      </c>
      <c r="AN74" s="8">
        <v>23.4</v>
      </c>
      <c r="AO74" s="8">
        <v>16.899999999999999</v>
      </c>
      <c r="AP74" s="8">
        <v>2.339</v>
      </c>
    </row>
    <row r="75" spans="1:42">
      <c r="A75" s="22" t="s">
        <v>238</v>
      </c>
      <c r="B75">
        <v>2.3518896507066702</v>
      </c>
      <c r="C75">
        <v>1.8929207373744901</v>
      </c>
      <c r="D75">
        <v>0.153431926870299</v>
      </c>
      <c r="E75">
        <v>4.3043082786884901E-2</v>
      </c>
      <c r="F75" s="8">
        <v>0</v>
      </c>
      <c r="G75" s="38">
        <v>0.2624939</v>
      </c>
      <c r="H75" s="17">
        <v>74</v>
      </c>
      <c r="I75" s="8">
        <v>3.4</v>
      </c>
      <c r="J75" s="8">
        <v>59.5</v>
      </c>
      <c r="K75" s="8">
        <v>71</v>
      </c>
      <c r="L75" s="8">
        <v>54</v>
      </c>
      <c r="M75" s="8">
        <v>55</v>
      </c>
      <c r="N75" s="17">
        <v>99.966999999999999</v>
      </c>
      <c r="O75" s="23">
        <v>0.08</v>
      </c>
      <c r="P75" s="8">
        <v>-0.4</v>
      </c>
      <c r="Q75" s="13">
        <v>37747.120000000003</v>
      </c>
      <c r="R75" s="8">
        <v>30922000</v>
      </c>
      <c r="S75" s="8">
        <v>13.2</v>
      </c>
      <c r="T75" s="8">
        <v>76.5</v>
      </c>
      <c r="U75" s="17">
        <v>3</v>
      </c>
      <c r="V75" s="21">
        <v>18211900</v>
      </c>
      <c r="W75" s="8">
        <v>50</v>
      </c>
      <c r="X75" s="8">
        <v>81.2</v>
      </c>
      <c r="Y75" s="8">
        <v>14.3</v>
      </c>
      <c r="Z75" s="8">
        <v>45.1</v>
      </c>
      <c r="AA75" s="8">
        <f>20.05*1000</f>
        <v>20050</v>
      </c>
      <c r="AB75" s="8">
        <v>33684</v>
      </c>
      <c r="AC75" s="8">
        <v>42.3</v>
      </c>
      <c r="AD75" s="8">
        <v>16</v>
      </c>
      <c r="AE75" s="8"/>
      <c r="AF75" s="8">
        <v>0.17899999999999999</v>
      </c>
      <c r="AG75" s="8">
        <v>56</v>
      </c>
      <c r="AH75" s="8">
        <v>19</v>
      </c>
      <c r="AI75" s="8">
        <v>0</v>
      </c>
      <c r="AJ75" s="8">
        <v>40.4</v>
      </c>
      <c r="AK75" s="8">
        <v>65.7944426901566</v>
      </c>
      <c r="AL75" s="17">
        <v>100</v>
      </c>
      <c r="AM75" s="8">
        <v>60</v>
      </c>
      <c r="AN75" s="8">
        <v>63.7</v>
      </c>
      <c r="AO75" s="8">
        <v>38.799999999999997</v>
      </c>
      <c r="AP75" s="8">
        <v>1.552</v>
      </c>
    </row>
    <row r="76" spans="1:42">
      <c r="A76" s="22" t="s">
        <v>239</v>
      </c>
      <c r="B76">
        <v>0.25796302379500002</v>
      </c>
      <c r="C76" s="8">
        <v>0</v>
      </c>
      <c r="D76" s="8">
        <v>0</v>
      </c>
      <c r="E76" s="8">
        <v>0</v>
      </c>
      <c r="F76" s="8">
        <v>0</v>
      </c>
      <c r="G76">
        <v>0.25796302379500002</v>
      </c>
      <c r="H76" s="17">
        <v>84</v>
      </c>
      <c r="I76" s="8">
        <v>6.6</v>
      </c>
      <c r="J76" s="8">
        <v>62.9</v>
      </c>
      <c r="K76" s="8">
        <v>72</v>
      </c>
      <c r="L76" s="8">
        <v>83</v>
      </c>
      <c r="M76" s="8">
        <v>84</v>
      </c>
      <c r="N76" s="17">
        <v>99.912000000000006</v>
      </c>
      <c r="O76" s="23">
        <v>0.46</v>
      </c>
      <c r="P76" s="8">
        <v>0.3</v>
      </c>
      <c r="Q76" s="13">
        <v>10325.15</v>
      </c>
      <c r="R76" s="8">
        <v>-6766334.7300000004</v>
      </c>
      <c r="S76" s="8">
        <v>9.6</v>
      </c>
      <c r="T76" s="8">
        <v>81</v>
      </c>
      <c r="U76" s="17">
        <v>2</v>
      </c>
      <c r="V76" s="21">
        <v>5173674</v>
      </c>
      <c r="W76" s="8">
        <v>54</v>
      </c>
      <c r="X76" s="8">
        <v>83.6</v>
      </c>
      <c r="Y76" s="8">
        <v>4.7</v>
      </c>
      <c r="Z76" s="8">
        <v>111.2</v>
      </c>
      <c r="AA76" s="8">
        <f>25.49*1000</f>
        <v>25490</v>
      </c>
      <c r="AB76" s="8">
        <v>7359.96</v>
      </c>
      <c r="AC76" s="8">
        <v>63.7</v>
      </c>
      <c r="AD76" s="8">
        <v>16.899999999999999</v>
      </c>
      <c r="AE76" s="8"/>
      <c r="AF76" s="8">
        <v>0.253</v>
      </c>
      <c r="AG76" s="8">
        <v>62</v>
      </c>
      <c r="AH76" s="8">
        <v>31.5</v>
      </c>
      <c r="AI76" s="8">
        <v>0</v>
      </c>
      <c r="AJ76" s="8">
        <v>78.099999999999994</v>
      </c>
      <c r="AK76" s="8">
        <v>64.096029942557394</v>
      </c>
      <c r="AL76" s="17">
        <v>100</v>
      </c>
      <c r="AM76" s="8">
        <v>49.6</v>
      </c>
      <c r="AN76" s="8">
        <v>62.5</v>
      </c>
      <c r="AO76" s="8">
        <v>37.6</v>
      </c>
      <c r="AP76" s="8">
        <v>1.3009999999999999</v>
      </c>
    </row>
    <row r="77" spans="1:42">
      <c r="A77" s="22" t="s">
        <v>242</v>
      </c>
      <c r="B77">
        <v>1.0307423146324799</v>
      </c>
      <c r="C77">
        <v>0.16664201899179801</v>
      </c>
      <c r="D77">
        <v>0.35924867917370001</v>
      </c>
      <c r="E77">
        <v>0.15250397602049001</v>
      </c>
      <c r="F77">
        <v>0.123421098007</v>
      </c>
      <c r="G77">
        <v>0.2289265424395</v>
      </c>
      <c r="H77" s="17">
        <v>71</v>
      </c>
      <c r="I77" s="8">
        <v>5.2</v>
      </c>
      <c r="J77" s="8">
        <v>56.6</v>
      </c>
      <c r="K77" s="8">
        <v>55</v>
      </c>
      <c r="L77" s="29">
        <v>75</v>
      </c>
      <c r="M77" s="8">
        <v>81</v>
      </c>
      <c r="N77" s="17">
        <v>100</v>
      </c>
      <c r="O77" s="23">
        <v>3.13</v>
      </c>
      <c r="P77" s="8">
        <v>-0.8</v>
      </c>
      <c r="Q77" s="13">
        <v>19119.88</v>
      </c>
      <c r="R77" s="8">
        <v>-16177203.810000001</v>
      </c>
      <c r="S77">
        <v>11.3</v>
      </c>
      <c r="T77" s="8">
        <v>74.2</v>
      </c>
      <c r="U77" s="17">
        <v>4</v>
      </c>
      <c r="V77" s="21">
        <v>8380691</v>
      </c>
      <c r="W77" s="8">
        <v>42</v>
      </c>
      <c r="X77" s="8">
        <v>71.7</v>
      </c>
      <c r="Y77" s="8">
        <v>11</v>
      </c>
      <c r="Z77" s="8">
        <v>51.6</v>
      </c>
      <c r="AA77" s="8">
        <f>16.23*1000</f>
        <v>16230</v>
      </c>
      <c r="AB77" s="8">
        <v>10456.5</v>
      </c>
      <c r="AC77" s="8">
        <v>31.8</v>
      </c>
      <c r="AD77" s="8">
        <v>14.2</v>
      </c>
      <c r="AE77" s="8"/>
      <c r="AF77" s="8">
        <v>0.2</v>
      </c>
      <c r="AG77" s="8">
        <v>45</v>
      </c>
      <c r="AH77" s="8">
        <v>16</v>
      </c>
      <c r="AI77" s="8">
        <v>4</v>
      </c>
      <c r="AJ77" s="8">
        <v>39.200000000000003</v>
      </c>
      <c r="AK77" s="8">
        <v>65.049579482382597</v>
      </c>
      <c r="AL77" s="17">
        <v>100</v>
      </c>
      <c r="AM77" s="8">
        <v>65.400000000000006</v>
      </c>
      <c r="AN77" s="8">
        <v>45.6</v>
      </c>
      <c r="AO77" s="8">
        <v>51.3</v>
      </c>
      <c r="AP77" s="8">
        <v>1.64</v>
      </c>
    </row>
    <row r="78" spans="1:42">
      <c r="A78" s="22" t="s">
        <v>244</v>
      </c>
      <c r="B78">
        <v>6.2312511065999998E-3</v>
      </c>
      <c r="C78" s="8">
        <v>0</v>
      </c>
      <c r="D78">
        <v>2.1271948515999999E-3</v>
      </c>
      <c r="E78" s="8">
        <v>0</v>
      </c>
      <c r="F78" s="8">
        <v>0</v>
      </c>
      <c r="G78" s="38">
        <v>4.1040599999999997E-3</v>
      </c>
      <c r="H78" s="17">
        <v>54</v>
      </c>
      <c r="I78" s="8">
        <v>1.6</v>
      </c>
      <c r="J78" s="8">
        <v>54</v>
      </c>
      <c r="K78" s="8">
        <v>33</v>
      </c>
      <c r="L78" s="29">
        <v>91</v>
      </c>
      <c r="M78" s="8">
        <v>55</v>
      </c>
      <c r="N78" s="17">
        <v>60.414999999999999</v>
      </c>
      <c r="O78" s="23">
        <v>74.36</v>
      </c>
      <c r="P78" s="8">
        <v>2.4</v>
      </c>
      <c r="Q78" s="13">
        <v>13461.89</v>
      </c>
      <c r="R78" s="8">
        <v>-1745970.65</v>
      </c>
      <c r="S78" s="8">
        <v>4.4000000000000004</v>
      </c>
      <c r="T78" s="8">
        <v>66.099999999999994</v>
      </c>
      <c r="U78" s="17">
        <v>3</v>
      </c>
      <c r="V78" s="21">
        <v>6776063</v>
      </c>
      <c r="W78" s="8">
        <v>31</v>
      </c>
      <c r="X78" s="8">
        <v>52</v>
      </c>
      <c r="Y78" s="8">
        <v>8</v>
      </c>
      <c r="Z78" s="8">
        <v>68.599999999999994</v>
      </c>
      <c r="AA78" s="8">
        <f>967.74</f>
        <v>967.74</v>
      </c>
      <c r="AB78" s="8">
        <v>211.9</v>
      </c>
      <c r="AC78" s="8">
        <v>32.299999999999997</v>
      </c>
      <c r="AD78" s="8">
        <v>11.2</v>
      </c>
      <c r="AE78" s="8"/>
      <c r="AF78" s="8">
        <v>0.24099999999999999</v>
      </c>
      <c r="AG78" s="8">
        <v>53</v>
      </c>
      <c r="AH78" s="8">
        <v>30</v>
      </c>
      <c r="AI78" s="8">
        <v>182</v>
      </c>
      <c r="AJ78" s="8">
        <v>24.7</v>
      </c>
      <c r="AK78" s="8">
        <v>57.967094138916302</v>
      </c>
      <c r="AL78">
        <v>46.599998474121101</v>
      </c>
      <c r="AM78" s="8">
        <v>37.700000000000003</v>
      </c>
      <c r="AN78" s="8">
        <v>4.5</v>
      </c>
      <c r="AO78" s="8">
        <v>32.6</v>
      </c>
      <c r="AP78" s="8">
        <v>1.9450000000000001</v>
      </c>
    </row>
    <row r="79" spans="1:42">
      <c r="A79" s="22" t="s">
        <v>249</v>
      </c>
      <c r="B79">
        <v>8.5124016393999993E-3</v>
      </c>
      <c r="C79" s="8">
        <v>0</v>
      </c>
      <c r="D79">
        <v>1.9048916394000001E-3</v>
      </c>
      <c r="E79" s="8">
        <v>0</v>
      </c>
      <c r="F79" s="8">
        <v>0</v>
      </c>
      <c r="G79" s="38">
        <v>6.6075099999999996E-3</v>
      </c>
      <c r="H79" s="17">
        <v>49</v>
      </c>
      <c r="I79" s="8">
        <v>3.7</v>
      </c>
      <c r="J79" s="8">
        <v>52.6</v>
      </c>
      <c r="K79" s="8">
        <v>37</v>
      </c>
      <c r="L79" s="29">
        <v>60</v>
      </c>
      <c r="M79" s="8">
        <v>39</v>
      </c>
      <c r="N79" s="17">
        <v>84.905000000000001</v>
      </c>
      <c r="O79" s="23">
        <v>57.21</v>
      </c>
      <c r="P79" s="8">
        <v>2.6</v>
      </c>
      <c r="Q79" s="13">
        <v>16876.72</v>
      </c>
      <c r="R79" s="8">
        <v>-3673057.36</v>
      </c>
      <c r="S79" s="8">
        <v>2.9</v>
      </c>
      <c r="T79" s="8">
        <v>67.099999999999994</v>
      </c>
      <c r="U79" s="17">
        <v>4</v>
      </c>
      <c r="V79" s="21">
        <v>4377305</v>
      </c>
      <c r="W79" s="8">
        <v>32</v>
      </c>
      <c r="X79" s="8">
        <v>51.3</v>
      </c>
      <c r="Y79" s="8">
        <v>3.1</v>
      </c>
      <c r="Z79" s="8">
        <v>74.3</v>
      </c>
      <c r="AA79" s="8">
        <f>1.64*1000</f>
        <v>1640</v>
      </c>
      <c r="AB79" s="8">
        <v>2231.9</v>
      </c>
      <c r="AC79" s="8">
        <v>25.1</v>
      </c>
      <c r="AD79" s="8">
        <v>0</v>
      </c>
      <c r="AE79" s="8"/>
      <c r="AF79" s="8">
        <v>0.16800000000000001</v>
      </c>
      <c r="AG79" s="8">
        <v>43</v>
      </c>
      <c r="AH79" s="8">
        <v>30</v>
      </c>
      <c r="AI79" s="8">
        <v>19</v>
      </c>
      <c r="AJ79" s="8">
        <v>22.1</v>
      </c>
      <c r="AK79" s="8">
        <v>55.081950165671998</v>
      </c>
      <c r="AL79">
        <v>70.368942260742202</v>
      </c>
      <c r="AM79" s="8">
        <v>40.200000000000003</v>
      </c>
      <c r="AN79" s="8">
        <v>11.2</v>
      </c>
      <c r="AO79" s="8">
        <v>33.6</v>
      </c>
      <c r="AP79" s="8">
        <v>1.9159999999999999</v>
      </c>
    </row>
    <row r="80" spans="1:42">
      <c r="A80" s="22" t="s">
        <v>250</v>
      </c>
      <c r="B80">
        <v>0.44998740733183401</v>
      </c>
      <c r="C80">
        <v>0.30423887629892898</v>
      </c>
      <c r="D80">
        <v>1.599945194134E-2</v>
      </c>
      <c r="E80">
        <v>3.6131409836065297E-2</v>
      </c>
      <c r="F80" s="8">
        <v>0</v>
      </c>
      <c r="G80" s="38">
        <v>9.361767E-2</v>
      </c>
      <c r="H80" s="17">
        <v>71</v>
      </c>
      <c r="I80" s="8">
        <v>11.8</v>
      </c>
      <c r="J80" s="8">
        <v>61.5</v>
      </c>
      <c r="K80" s="8">
        <v>48</v>
      </c>
      <c r="L80" s="29">
        <v>57</v>
      </c>
      <c r="M80" s="8">
        <v>55</v>
      </c>
      <c r="N80" s="17">
        <v>95.296000000000006</v>
      </c>
      <c r="O80" s="23">
        <v>0.19</v>
      </c>
      <c r="P80" s="8">
        <v>-0.9</v>
      </c>
      <c r="Q80" s="13">
        <v>6834.33</v>
      </c>
      <c r="R80" s="8">
        <v>-5312331.7699999996</v>
      </c>
      <c r="S80" s="8">
        <v>11.4</v>
      </c>
      <c r="T80" s="8">
        <v>74.2</v>
      </c>
      <c r="U80" s="17">
        <v>4</v>
      </c>
      <c r="V80" s="21">
        <v>3176077</v>
      </c>
      <c r="W80" s="8">
        <v>40</v>
      </c>
      <c r="X80" s="8">
        <v>73.8</v>
      </c>
      <c r="Y80" s="8">
        <v>8.3000000000000007</v>
      </c>
      <c r="Z80" s="8">
        <v>50.3</v>
      </c>
      <c r="AA80" s="8">
        <f>10.08*1000</f>
        <v>10080</v>
      </c>
      <c r="AB80" s="8">
        <v>4567.7</v>
      </c>
      <c r="AC80" s="8">
        <v>34.700000000000003</v>
      </c>
      <c r="AD80" s="8">
        <v>14.4</v>
      </c>
      <c r="AE80" s="8"/>
      <c r="AF80" s="8">
        <v>9.2999999999999999E-2</v>
      </c>
      <c r="AG80" s="8">
        <v>38</v>
      </c>
      <c r="AH80" s="8">
        <v>15</v>
      </c>
      <c r="AI80" s="8">
        <v>1</v>
      </c>
      <c r="AJ80" s="8">
        <v>29.4</v>
      </c>
      <c r="AK80" s="8">
        <v>65.011278622858896</v>
      </c>
      <c r="AL80" s="17">
        <v>100</v>
      </c>
      <c r="AM80" s="8">
        <v>47</v>
      </c>
      <c r="AN80" s="8">
        <v>40.299999999999997</v>
      </c>
      <c r="AO80" s="8">
        <v>41.7</v>
      </c>
      <c r="AP80" s="8">
        <v>1.8320000000000001</v>
      </c>
    </row>
    <row r="81" spans="1:42">
      <c r="A81" s="22" t="s">
        <v>253</v>
      </c>
      <c r="B81">
        <v>5.72775352E-2</v>
      </c>
      <c r="C81" s="31">
        <v>0</v>
      </c>
      <c r="D81" s="31">
        <v>0</v>
      </c>
      <c r="E81" s="31">
        <v>0</v>
      </c>
      <c r="F81" s="31" t="s">
        <v>254</v>
      </c>
      <c r="G81">
        <v>5.72775352E-2</v>
      </c>
      <c r="H81" s="17">
        <v>86</v>
      </c>
      <c r="I81" s="8">
        <v>3.6</v>
      </c>
      <c r="J81" s="8">
        <v>88.7</v>
      </c>
      <c r="K81" s="8">
        <v>98</v>
      </c>
      <c r="L81" s="8">
        <v>65</v>
      </c>
      <c r="M81" s="8">
        <v>78</v>
      </c>
      <c r="N81" s="17">
        <v>100</v>
      </c>
      <c r="O81" s="23">
        <v>0.99</v>
      </c>
      <c r="P81" s="8">
        <v>-4.2</v>
      </c>
      <c r="Q81" s="35">
        <v>5453.57</v>
      </c>
      <c r="R81" s="8">
        <v>124501507.28</v>
      </c>
      <c r="S81" s="8">
        <v>11.9</v>
      </c>
      <c r="T81" s="8">
        <v>82.8</v>
      </c>
      <c r="U81" s="17">
        <v>2</v>
      </c>
      <c r="V81" s="21">
        <v>3289682</v>
      </c>
      <c r="W81" s="8">
        <v>75</v>
      </c>
      <c r="X81" s="8">
        <v>95</v>
      </c>
      <c r="Y81" s="8">
        <v>3</v>
      </c>
      <c r="Z81" s="8">
        <v>140</v>
      </c>
      <c r="AA81" s="34">
        <f>84.5*1000</f>
        <v>84500</v>
      </c>
      <c r="AB81" s="34">
        <v>105490.7</v>
      </c>
      <c r="AC81" s="8">
        <v>86.7</v>
      </c>
      <c r="AD81" s="8">
        <v>16.5</v>
      </c>
      <c r="AE81" s="8">
        <v>98</v>
      </c>
      <c r="AF81" s="8">
        <v>0.20200000000000001</v>
      </c>
      <c r="AG81" s="8">
        <v>85</v>
      </c>
      <c r="AH81" s="8">
        <v>21</v>
      </c>
      <c r="AI81" s="8">
        <v>5</v>
      </c>
      <c r="AJ81" s="8">
        <v>69.2</v>
      </c>
      <c r="AK81" s="8">
        <v>73.880883724378805</v>
      </c>
      <c r="AL81" s="17">
        <v>100</v>
      </c>
      <c r="AM81" s="8">
        <v>42.5</v>
      </c>
      <c r="AN81" s="8">
        <v>71.7</v>
      </c>
      <c r="AO81" s="8">
        <v>46.5</v>
      </c>
      <c r="AP81" s="8">
        <v>1.3260000000000001</v>
      </c>
    </row>
    <row r="82" spans="1:42">
      <c r="A82" s="22" t="s">
        <v>314</v>
      </c>
      <c r="B82">
        <v>0.246111020034224</v>
      </c>
      <c r="C82">
        <v>1.4967112046383201E-2</v>
      </c>
      <c r="D82">
        <v>2.55572882252588E-3</v>
      </c>
      <c r="E82">
        <v>4.7213282331511899E-4</v>
      </c>
      <c r="F82">
        <v>0.16943361019200001</v>
      </c>
      <c r="G82">
        <v>5.8682436150000003E-2</v>
      </c>
      <c r="H82" s="17">
        <v>77</v>
      </c>
      <c r="I82" s="8">
        <v>6.7</v>
      </c>
      <c r="J82" s="8">
        <v>57.5</v>
      </c>
      <c r="K82" s="8">
        <v>76</v>
      </c>
      <c r="L82" s="8">
        <v>82</v>
      </c>
      <c r="M82" s="8">
        <v>81</v>
      </c>
      <c r="N82" s="17">
        <v>99.787999999999997</v>
      </c>
      <c r="O82" s="23">
        <v>0.75</v>
      </c>
      <c r="P82" s="8">
        <v>-0.2</v>
      </c>
      <c r="Q82" s="13">
        <v>5447.25</v>
      </c>
      <c r="R82" s="8">
        <v>71827.83</v>
      </c>
      <c r="S82" s="8">
        <v>12.9</v>
      </c>
      <c r="T82" s="8">
        <v>74.900000000000006</v>
      </c>
      <c r="U82" s="17">
        <v>2</v>
      </c>
      <c r="V82" s="21">
        <v>2766437</v>
      </c>
      <c r="W82" s="8">
        <v>46</v>
      </c>
      <c r="X82" s="8">
        <v>78.599999999999994</v>
      </c>
      <c r="Y82" s="8">
        <v>10.1</v>
      </c>
      <c r="Z82" s="8">
        <v>57.4</v>
      </c>
      <c r="AA82" s="8">
        <f>22.3*1000</f>
        <v>22300</v>
      </c>
      <c r="AB82" s="8">
        <v>970.9</v>
      </c>
      <c r="AC82" s="8">
        <v>40.6</v>
      </c>
      <c r="AD82" s="8">
        <v>14.5</v>
      </c>
      <c r="AE82" s="8"/>
      <c r="AF82" s="8">
        <v>0.2</v>
      </c>
      <c r="AG82" s="8">
        <v>52</v>
      </c>
      <c r="AH82" s="8">
        <v>21</v>
      </c>
      <c r="AI82" s="8">
        <v>0</v>
      </c>
      <c r="AJ82" s="8">
        <v>50.9</v>
      </c>
      <c r="AK82" s="8">
        <v>66.890489097811894</v>
      </c>
      <c r="AL82" s="17">
        <v>100</v>
      </c>
      <c r="AM82" s="8">
        <v>66.3</v>
      </c>
      <c r="AN82" s="8">
        <v>62.2</v>
      </c>
      <c r="AO82" s="8">
        <v>53.5</v>
      </c>
      <c r="AP82" s="8">
        <v>1.4990000000000001</v>
      </c>
    </row>
    <row r="83" spans="1:42">
      <c r="A83" s="22" t="s">
        <v>260</v>
      </c>
      <c r="B83">
        <v>5.9235683923049196</v>
      </c>
      <c r="C83">
        <v>5.6235443198555997</v>
      </c>
      <c r="D83">
        <v>4.5461724766320002E-2</v>
      </c>
      <c r="E83">
        <v>6.2854476829999999E-3</v>
      </c>
      <c r="F83">
        <v>0.13650610499999999</v>
      </c>
      <c r="G83">
        <v>0.11177079500000001</v>
      </c>
      <c r="H83" s="17">
        <v>67</v>
      </c>
      <c r="I83" s="8">
        <v>33.6</v>
      </c>
      <c r="J83" s="8">
        <v>56.5</v>
      </c>
      <c r="K83" s="8">
        <v>41</v>
      </c>
      <c r="L83" s="29">
        <v>85</v>
      </c>
      <c r="M83" s="29">
        <v>74</v>
      </c>
      <c r="N83" s="17">
        <v>93.885000000000005</v>
      </c>
      <c r="O83" s="23">
        <v>37.119999999999997</v>
      </c>
      <c r="P83" s="8">
        <v>1</v>
      </c>
      <c r="Q83" s="13">
        <v>59392.25</v>
      </c>
      <c r="R83" s="8">
        <v>26078868.890000001</v>
      </c>
      <c r="S83" s="8">
        <v>11.4</v>
      </c>
      <c r="T83" s="8">
        <v>62.3</v>
      </c>
      <c r="U83" s="17">
        <v>3</v>
      </c>
      <c r="V83" s="21">
        <v>22397601</v>
      </c>
      <c r="W83" s="8">
        <v>45</v>
      </c>
      <c r="X83" s="8">
        <v>68.099999999999994</v>
      </c>
      <c r="Y83" s="8">
        <v>5.0999999999999996</v>
      </c>
      <c r="Z83" s="8">
        <v>70.7</v>
      </c>
      <c r="AA83" s="8">
        <f>6.81*1000</f>
        <v>6810</v>
      </c>
      <c r="AB83" s="8">
        <v>41296.14</v>
      </c>
      <c r="AC83" s="8">
        <v>75.599999999999994</v>
      </c>
      <c r="AD83" s="8">
        <v>13.6</v>
      </c>
      <c r="AE83" s="8"/>
      <c r="AF83" s="8">
        <v>0.14799999999999999</v>
      </c>
      <c r="AG83" s="8">
        <v>44</v>
      </c>
      <c r="AH83" s="8">
        <v>28</v>
      </c>
      <c r="AI83" s="8">
        <v>72</v>
      </c>
      <c r="AJ83" s="8">
        <v>22.2</v>
      </c>
      <c r="AK83" s="8">
        <v>65.354906965563103</v>
      </c>
      <c r="AL83">
        <v>84.385536193847699</v>
      </c>
      <c r="AM83" s="8">
        <v>44.2</v>
      </c>
      <c r="AN83" s="8">
        <v>39.200000000000003</v>
      </c>
      <c r="AO83" s="8">
        <v>34.1</v>
      </c>
      <c r="AP83" s="8">
        <v>2.2829999999999999</v>
      </c>
    </row>
    <row r="84" spans="1:42">
      <c r="A84" s="22" t="s">
        <v>313</v>
      </c>
      <c r="B84">
        <v>1.6326379149280701</v>
      </c>
      <c r="C84">
        <v>2.8929539095700198E-2</v>
      </c>
      <c r="D84">
        <v>9.49026675217895E-3</v>
      </c>
      <c r="E84" s="8">
        <v>0</v>
      </c>
      <c r="F84">
        <v>1.3429694095992</v>
      </c>
      <c r="G84">
        <v>0.25124869948099998</v>
      </c>
      <c r="H84" s="17">
        <v>87</v>
      </c>
      <c r="I84" s="8">
        <v>3.5</v>
      </c>
      <c r="J84" s="8">
        <v>58.6</v>
      </c>
      <c r="K84" s="8">
        <v>86</v>
      </c>
      <c r="L84" s="8">
        <v>87</v>
      </c>
      <c r="M84" s="8">
        <v>87</v>
      </c>
      <c r="N84" s="17">
        <v>99.930999999999997</v>
      </c>
      <c r="O84" s="13">
        <v>0.46</v>
      </c>
      <c r="P84" s="8">
        <v>-0.2</v>
      </c>
      <c r="Q84" s="13">
        <v>51744.88</v>
      </c>
      <c r="R84" s="8">
        <v>73098900</v>
      </c>
      <c r="S84" s="8">
        <v>12.5</v>
      </c>
      <c r="T84" s="8">
        <v>83.7</v>
      </c>
      <c r="U84" s="8">
        <v>5</v>
      </c>
      <c r="V84" s="17">
        <v>28673.67</v>
      </c>
      <c r="W84" s="8">
        <v>79</v>
      </c>
      <c r="X84" s="8">
        <v>92.1</v>
      </c>
      <c r="Y84" s="8">
        <v>3.8</v>
      </c>
      <c r="Z84" s="8">
        <v>54.4</v>
      </c>
      <c r="AA84" s="8">
        <f>34.77*1000</f>
        <v>34770</v>
      </c>
      <c r="AB84" s="8">
        <v>16819.7</v>
      </c>
      <c r="AC84" s="8">
        <v>78.599999999999994</v>
      </c>
      <c r="AD84" s="8">
        <v>16.5</v>
      </c>
      <c r="AE84" s="8"/>
      <c r="AF84" s="8">
        <v>8.7999999999999995E-2</v>
      </c>
      <c r="AG84" s="8">
        <v>62</v>
      </c>
      <c r="AH84" s="8">
        <v>27.5</v>
      </c>
      <c r="AI84" s="8">
        <v>12</v>
      </c>
      <c r="AJ84" s="8">
        <v>62.9</v>
      </c>
      <c r="AK84">
        <v>71.456879558050204</v>
      </c>
      <c r="AL84" s="17">
        <v>100</v>
      </c>
      <c r="AM84" s="8">
        <v>48.8</v>
      </c>
      <c r="AN84" s="8">
        <v>72</v>
      </c>
      <c r="AO84" s="8">
        <v>30.9</v>
      </c>
      <c r="AP84" s="8">
        <v>1.7789999999999999</v>
      </c>
    </row>
    <row r="85" spans="1:42">
      <c r="A85" s="22" t="s">
        <v>263</v>
      </c>
      <c r="B85">
        <v>1.53179472794517</v>
      </c>
      <c r="C85" s="8">
        <v>0</v>
      </c>
      <c r="D85">
        <v>5.1214208094733796E-3</v>
      </c>
      <c r="E85">
        <v>1.7196388488160399E-3</v>
      </c>
      <c r="F85">
        <v>0.55551539703688002</v>
      </c>
      <c r="G85">
        <v>0.96943827125000004</v>
      </c>
      <c r="H85" s="17">
        <v>86</v>
      </c>
      <c r="I85" s="8">
        <v>14.7</v>
      </c>
      <c r="J85" s="8">
        <v>63.9</v>
      </c>
      <c r="K85" s="8">
        <v>71</v>
      </c>
      <c r="L85" s="8">
        <v>81</v>
      </c>
      <c r="M85" s="8">
        <v>83</v>
      </c>
      <c r="N85" s="17">
        <v>99.926000000000002</v>
      </c>
      <c r="O85" s="23">
        <v>1.03</v>
      </c>
      <c r="P85" s="8">
        <v>0.1</v>
      </c>
      <c r="Q85" s="13">
        <v>47415.75</v>
      </c>
      <c r="R85" s="8">
        <v>21189981.510000002</v>
      </c>
      <c r="S85" s="8">
        <v>10.6</v>
      </c>
      <c r="T85" s="8">
        <v>83</v>
      </c>
      <c r="U85" s="17">
        <v>2</v>
      </c>
      <c r="V85" s="21">
        <v>23381693</v>
      </c>
      <c r="W85" s="8">
        <v>64</v>
      </c>
      <c r="X85" s="8">
        <v>90.3</v>
      </c>
      <c r="Y85" s="8">
        <v>4.9000000000000004</v>
      </c>
      <c r="Z85" s="8">
        <v>112.1</v>
      </c>
      <c r="AA85" s="8">
        <f>29.73*1000</f>
        <v>29730</v>
      </c>
      <c r="AB85" s="8">
        <v>36609.61</v>
      </c>
      <c r="AC85" s="8">
        <v>68.3</v>
      </c>
      <c r="AD85" s="8">
        <v>17.899999999999999</v>
      </c>
      <c r="AE85" s="8"/>
      <c r="AF85" s="8">
        <v>0.34399999999999997</v>
      </c>
      <c r="AG85" s="8">
        <v>61</v>
      </c>
      <c r="AH85" s="8">
        <v>25</v>
      </c>
      <c r="AI85" s="8">
        <v>3</v>
      </c>
      <c r="AJ85" s="8">
        <v>74</v>
      </c>
      <c r="AK85" s="8">
        <v>65.9902065694491</v>
      </c>
      <c r="AL85" s="17">
        <v>100</v>
      </c>
      <c r="AM85" s="8">
        <v>60.3</v>
      </c>
      <c r="AN85" s="8">
        <v>61.4</v>
      </c>
      <c r="AO85" s="8">
        <v>41.3</v>
      </c>
      <c r="AP85" s="8">
        <v>1.603</v>
      </c>
    </row>
    <row r="86" spans="1:42" ht="15" customHeight="1">
      <c r="A86" s="22" t="s">
        <v>264</v>
      </c>
      <c r="B86">
        <v>5.0178276915E-2</v>
      </c>
      <c r="C86" s="8">
        <v>0</v>
      </c>
      <c r="D86" s="8">
        <v>0</v>
      </c>
      <c r="E86" s="8">
        <v>0</v>
      </c>
      <c r="F86" s="8">
        <v>0</v>
      </c>
      <c r="G86">
        <v>5.0178276915E-2</v>
      </c>
      <c r="H86" s="17">
        <v>67</v>
      </c>
      <c r="I86" s="8">
        <v>5.4</v>
      </c>
      <c r="J86" s="8">
        <v>38.4</v>
      </c>
      <c r="K86" s="8">
        <v>11</v>
      </c>
      <c r="L86" s="29">
        <v>44</v>
      </c>
      <c r="M86" s="8">
        <v>42</v>
      </c>
      <c r="N86" s="17">
        <v>92.228000000000009</v>
      </c>
      <c r="O86" s="23">
        <v>7.3900000000000006</v>
      </c>
      <c r="P86" s="8">
        <v>1.1000000000000001</v>
      </c>
      <c r="Q86" s="13">
        <v>22156</v>
      </c>
      <c r="R86" s="8">
        <v>-5188536.22</v>
      </c>
      <c r="S86" s="8">
        <v>10.8</v>
      </c>
      <c r="T86" s="8">
        <v>76.400000000000006</v>
      </c>
      <c r="U86" s="17">
        <v>4</v>
      </c>
      <c r="V86" s="21">
        <v>8267764</v>
      </c>
      <c r="W86" s="8">
        <v>35</v>
      </c>
      <c r="X86" s="8">
        <v>69.2</v>
      </c>
      <c r="Y86" s="8">
        <v>29.5</v>
      </c>
      <c r="Z86" s="29">
        <v>130.52600000000001</v>
      </c>
      <c r="AA86" s="54">
        <v>4013.7</v>
      </c>
      <c r="AB86" s="8">
        <v>597.52</v>
      </c>
      <c r="AC86" s="8">
        <v>35.299999999999997</v>
      </c>
      <c r="AD86" s="8">
        <v>14.1</v>
      </c>
      <c r="AE86" s="8"/>
      <c r="AF86" s="8">
        <v>0.04</v>
      </c>
      <c r="AG86" s="8">
        <v>37</v>
      </c>
      <c r="AH86" s="8">
        <v>24</v>
      </c>
      <c r="AI86" s="8">
        <v>16</v>
      </c>
      <c r="AJ86" s="8">
        <v>32.5</v>
      </c>
      <c r="AK86" s="8">
        <v>65.628695657904899</v>
      </c>
      <c r="AL86" s="17">
        <v>100</v>
      </c>
      <c r="AM86" s="8">
        <v>40.1</v>
      </c>
      <c r="AN86" s="8">
        <v>19.100000000000001</v>
      </c>
      <c r="AO86" s="8">
        <v>26.4</v>
      </c>
      <c r="AP86" s="8">
        <v>2.02</v>
      </c>
    </row>
    <row r="87" spans="1:42">
      <c r="A87" s="22" t="s">
        <v>272</v>
      </c>
      <c r="B87">
        <v>1.5534012149253</v>
      </c>
      <c r="C87" s="8">
        <v>0</v>
      </c>
      <c r="D87" s="8">
        <v>0</v>
      </c>
      <c r="E87" s="8">
        <v>0</v>
      </c>
      <c r="F87">
        <v>0.64700703699429996</v>
      </c>
      <c r="G87">
        <v>0.90639417793099997</v>
      </c>
      <c r="H87" s="17">
        <v>87</v>
      </c>
      <c r="I87" s="8">
        <v>8.6999999999999993</v>
      </c>
      <c r="J87" s="8">
        <v>67.7</v>
      </c>
      <c r="K87" s="8">
        <v>99</v>
      </c>
      <c r="L87" s="8">
        <v>73</v>
      </c>
      <c r="M87" s="8">
        <v>64</v>
      </c>
      <c r="N87" s="17">
        <v>99.826999999999998</v>
      </c>
      <c r="O87" s="23">
        <v>0.72</v>
      </c>
      <c r="P87" s="8">
        <v>0.6</v>
      </c>
      <c r="Q87" s="13">
        <v>10415.81</v>
      </c>
      <c r="R87" s="8">
        <v>27523728.559999999</v>
      </c>
      <c r="S87" s="8">
        <v>12.6</v>
      </c>
      <c r="T87" s="8">
        <v>83</v>
      </c>
      <c r="U87" s="17">
        <v>1</v>
      </c>
      <c r="V87" s="21">
        <v>5555561</v>
      </c>
      <c r="W87" s="8">
        <v>79</v>
      </c>
      <c r="X87" s="8">
        <v>84</v>
      </c>
      <c r="Y87" s="8">
        <v>8.4</v>
      </c>
      <c r="Z87" s="8">
        <v>31.2</v>
      </c>
      <c r="AA87" s="8">
        <f>60.47*1000</f>
        <v>60470</v>
      </c>
      <c r="AB87" s="8">
        <v>58324.35</v>
      </c>
      <c r="AC87" s="8">
        <v>83.7</v>
      </c>
      <c r="AD87" s="8">
        <v>19.399999999999999</v>
      </c>
      <c r="AE87" s="8"/>
      <c r="AF87" s="8">
        <v>0.28399999999999997</v>
      </c>
      <c r="AG87" s="8">
        <v>85</v>
      </c>
      <c r="AH87" s="8">
        <v>20.6</v>
      </c>
      <c r="AI87" s="8">
        <v>0</v>
      </c>
      <c r="AJ87" s="8">
        <v>94</v>
      </c>
      <c r="AK87" s="8">
        <v>62.181687052293498</v>
      </c>
      <c r="AL87" s="17">
        <v>100</v>
      </c>
      <c r="AM87" s="8">
        <v>60.6</v>
      </c>
      <c r="AN87" s="8">
        <v>70.8</v>
      </c>
      <c r="AO87" s="8">
        <v>75.400000000000006</v>
      </c>
      <c r="AP87" s="8">
        <v>1.5640000000000001</v>
      </c>
    </row>
    <row r="88" spans="1:42">
      <c r="A88" s="22" t="s">
        <v>273</v>
      </c>
      <c r="B88">
        <v>0.62336308501899995</v>
      </c>
      <c r="C88" s="8">
        <v>0</v>
      </c>
      <c r="D88" s="8">
        <v>0</v>
      </c>
      <c r="E88" s="8">
        <v>0</v>
      </c>
      <c r="F88">
        <v>0.26121823999999999</v>
      </c>
      <c r="G88">
        <v>0.36214484501900002</v>
      </c>
      <c r="H88" s="17">
        <v>87</v>
      </c>
      <c r="I88" s="8">
        <v>5.3</v>
      </c>
      <c r="J88" s="8">
        <v>54.7</v>
      </c>
      <c r="K88" s="8">
        <v>100</v>
      </c>
      <c r="L88" s="8">
        <v>87</v>
      </c>
      <c r="M88" s="8">
        <v>73</v>
      </c>
      <c r="N88" s="17">
        <v>100</v>
      </c>
      <c r="O88" s="23">
        <v>0.19</v>
      </c>
      <c r="P88" s="8">
        <v>0.8</v>
      </c>
      <c r="Q88" s="13">
        <v>8703.41</v>
      </c>
      <c r="R88" s="8">
        <v>90854381.329999998</v>
      </c>
      <c r="S88" s="8">
        <v>13.9</v>
      </c>
      <c r="T88" s="8">
        <v>84</v>
      </c>
      <c r="U88" s="29">
        <v>2</v>
      </c>
      <c r="V88" s="21">
        <v>4963476</v>
      </c>
      <c r="W88" s="8">
        <v>81</v>
      </c>
      <c r="X88" s="8">
        <v>93.2</v>
      </c>
      <c r="Y88" s="8">
        <v>2.4</v>
      </c>
      <c r="Z88" s="8">
        <v>39.1</v>
      </c>
      <c r="AA88" s="8">
        <f>94.83*1000</f>
        <v>94830</v>
      </c>
      <c r="AB88" s="8">
        <v>9312.17</v>
      </c>
      <c r="AC88" s="8">
        <v>84.4</v>
      </c>
      <c r="AD88" s="8">
        <v>16.5</v>
      </c>
      <c r="AE88" s="8"/>
      <c r="AF88" s="8">
        <v>0.23100000000000001</v>
      </c>
      <c r="AG88" s="8">
        <v>84</v>
      </c>
      <c r="AH88" s="8">
        <v>19.7</v>
      </c>
      <c r="AI88" s="8">
        <v>6</v>
      </c>
      <c r="AJ88" s="8">
        <v>84.3</v>
      </c>
      <c r="AK88" s="8">
        <v>65.9689775181957</v>
      </c>
      <c r="AL88" s="17">
        <v>100</v>
      </c>
      <c r="AM88" s="8">
        <v>60.2</v>
      </c>
      <c r="AN88" s="8">
        <v>76.400000000000006</v>
      </c>
      <c r="AO88" s="8">
        <v>60.5</v>
      </c>
      <c r="AP88" s="8">
        <v>1.357</v>
      </c>
    </row>
    <row r="89" spans="1:42">
      <c r="A89" s="22" t="s">
        <v>278</v>
      </c>
      <c r="B89">
        <v>9.3161498831971001E-2</v>
      </c>
      <c r="C89">
        <v>1.8330869831970999E-2</v>
      </c>
      <c r="D89">
        <v>5.0979477000000002E-2</v>
      </c>
      <c r="E89" s="8">
        <v>0</v>
      </c>
      <c r="F89" s="8">
        <v>0</v>
      </c>
      <c r="G89">
        <v>2.3851152E-2</v>
      </c>
      <c r="H89" s="17">
        <v>46</v>
      </c>
      <c r="I89" s="8">
        <v>2.6</v>
      </c>
      <c r="J89" s="8">
        <v>52.3</v>
      </c>
      <c r="K89" s="8">
        <v>30</v>
      </c>
      <c r="L89" s="29">
        <v>50</v>
      </c>
      <c r="M89" s="8">
        <v>17</v>
      </c>
      <c r="N89" s="17">
        <v>60.716999999999999</v>
      </c>
      <c r="O89" s="23">
        <v>75.180000000000007</v>
      </c>
      <c r="P89" s="8">
        <v>3</v>
      </c>
      <c r="Q89" s="13">
        <v>63588.33</v>
      </c>
      <c r="R89" s="8">
        <v>-625517.36</v>
      </c>
      <c r="S89" s="8">
        <v>6.4</v>
      </c>
      <c r="T89" s="8">
        <v>66.2</v>
      </c>
      <c r="U89" s="17">
        <v>4</v>
      </c>
      <c r="V89" s="21">
        <v>29862778</v>
      </c>
      <c r="W89" s="8">
        <v>28</v>
      </c>
      <c r="X89" s="8">
        <v>44.9</v>
      </c>
      <c r="Y89" s="8">
        <v>5.3</v>
      </c>
      <c r="Z89" s="8">
        <v>38.1</v>
      </c>
      <c r="AA89" s="8">
        <f>1.34*1000</f>
        <v>1340</v>
      </c>
      <c r="AB89" s="8">
        <v>921.83</v>
      </c>
      <c r="AC89" s="8">
        <v>23.3</v>
      </c>
      <c r="AD89" s="8">
        <v>9.1999999999999993</v>
      </c>
      <c r="AE89" s="8"/>
      <c r="AF89" s="8">
        <v>9.8000000000000004E-2</v>
      </c>
      <c r="AG89" s="8">
        <v>39</v>
      </c>
      <c r="AH89" s="8">
        <v>30</v>
      </c>
      <c r="AI89" s="8">
        <v>34</v>
      </c>
      <c r="AJ89" s="8">
        <v>33.200000000000003</v>
      </c>
      <c r="AK89" s="8">
        <v>53.274958422405</v>
      </c>
      <c r="AL89">
        <v>39.900001525878899</v>
      </c>
      <c r="AM89" s="8">
        <v>45.2</v>
      </c>
      <c r="AN89" s="8">
        <v>10.4</v>
      </c>
      <c r="AO89" s="8">
        <v>25.3</v>
      </c>
      <c r="AP89" s="8">
        <v>2.0009999999999999</v>
      </c>
    </row>
    <row r="90" spans="1:42">
      <c r="A90" s="22" t="s">
        <v>279</v>
      </c>
      <c r="B90">
        <v>2.7646371888446502</v>
      </c>
      <c r="C90">
        <v>0.14913655572579801</v>
      </c>
      <c r="D90">
        <v>1.3535412946480001</v>
      </c>
      <c r="E90">
        <v>0.86769166216585203</v>
      </c>
      <c r="F90" s="31" t="s">
        <v>254</v>
      </c>
      <c r="G90">
        <v>0.39426767630499998</v>
      </c>
      <c r="H90" s="17">
        <v>83</v>
      </c>
      <c r="I90" s="8">
        <v>1.4</v>
      </c>
      <c r="J90" s="8">
        <v>53.3</v>
      </c>
      <c r="K90" s="8">
        <v>65</v>
      </c>
      <c r="L90" s="8">
        <v>45</v>
      </c>
      <c r="M90" s="8">
        <v>67</v>
      </c>
      <c r="N90" s="17">
        <v>100</v>
      </c>
      <c r="O90" s="23">
        <v>0.01</v>
      </c>
      <c r="P90" s="8">
        <v>0.2</v>
      </c>
      <c r="Q90" s="35">
        <v>71601.100000000006</v>
      </c>
      <c r="R90" s="8">
        <v>222212.52</v>
      </c>
      <c r="S90" s="8">
        <v>8.6999999999999993</v>
      </c>
      <c r="T90" s="8">
        <v>78.7</v>
      </c>
      <c r="U90" s="17">
        <v>5</v>
      </c>
      <c r="V90" s="21">
        <v>40213210</v>
      </c>
      <c r="W90" s="8">
        <v>44</v>
      </c>
      <c r="X90" s="8">
        <v>68</v>
      </c>
      <c r="Y90" s="8">
        <v>2.8</v>
      </c>
      <c r="Z90" s="8">
        <v>61.4</v>
      </c>
      <c r="AA90" s="34">
        <f>8.27*1000</f>
        <v>8270</v>
      </c>
      <c r="AB90" s="34">
        <v>12156.21</v>
      </c>
      <c r="AC90" s="8">
        <v>78.3</v>
      </c>
      <c r="AD90" s="8">
        <v>15.9</v>
      </c>
      <c r="AE90" s="8">
        <v>42</v>
      </c>
      <c r="AF90" s="8">
        <v>0.109</v>
      </c>
      <c r="AG90" s="8">
        <v>35</v>
      </c>
      <c r="AH90" s="8">
        <v>20</v>
      </c>
      <c r="AI90" s="8">
        <v>83</v>
      </c>
      <c r="AJ90" s="8">
        <v>34.299999999999997</v>
      </c>
      <c r="AK90" s="8">
        <v>69.688046565427896</v>
      </c>
      <c r="AL90" s="17">
        <v>100</v>
      </c>
      <c r="AM90" s="8">
        <v>37.299999999999997</v>
      </c>
      <c r="AN90" s="8">
        <v>28.5</v>
      </c>
      <c r="AO90" s="8">
        <v>36</v>
      </c>
      <c r="AP90" s="8">
        <v>2.0979999999999999</v>
      </c>
    </row>
    <row r="91" spans="1:42">
      <c r="A91" s="22" t="s">
        <v>283</v>
      </c>
      <c r="B91">
        <v>0.12605141498893299</v>
      </c>
      <c r="C91" s="8">
        <v>0</v>
      </c>
      <c r="D91">
        <v>4.2114178277400001E-2</v>
      </c>
      <c r="E91">
        <v>7.6716172211532999E-2</v>
      </c>
      <c r="F91" s="8">
        <v>0</v>
      </c>
      <c r="G91">
        <v>7.2210644999999999E-3</v>
      </c>
      <c r="H91" s="17">
        <v>70</v>
      </c>
      <c r="I91" s="8">
        <v>16.8</v>
      </c>
      <c r="J91" s="8">
        <v>51.9</v>
      </c>
      <c r="K91" s="8">
        <v>23</v>
      </c>
      <c r="L91" s="29">
        <v>77</v>
      </c>
      <c r="M91" s="8">
        <v>66</v>
      </c>
      <c r="N91" s="17">
        <v>97.543000000000006</v>
      </c>
      <c r="O91" s="23">
        <v>2.82</v>
      </c>
      <c r="P91" s="8">
        <v>0.8</v>
      </c>
      <c r="Q91" s="13">
        <v>12262.95</v>
      </c>
      <c r="R91" s="8">
        <v>-4525657.8499999996</v>
      </c>
      <c r="S91" s="8">
        <v>7.4</v>
      </c>
      <c r="T91" s="8">
        <v>73.8</v>
      </c>
      <c r="U91" s="17">
        <v>5</v>
      </c>
      <c r="V91" s="21">
        <v>4226277</v>
      </c>
      <c r="W91" s="8">
        <v>33</v>
      </c>
      <c r="X91" s="8">
        <v>62.7</v>
      </c>
      <c r="Y91" s="8">
        <v>8.5</v>
      </c>
      <c r="Z91" s="8">
        <v>89.2</v>
      </c>
      <c r="AA91" s="8">
        <f>3.76*1000</f>
        <v>3760</v>
      </c>
      <c r="AB91" s="8">
        <v>660.23</v>
      </c>
      <c r="AC91" s="8">
        <v>40.799999999999997</v>
      </c>
      <c r="AD91" s="8">
        <v>15.4</v>
      </c>
      <c r="AE91" s="8"/>
      <c r="AF91" s="8">
        <v>6.7000000000000004E-2</v>
      </c>
      <c r="AG91" s="8">
        <v>44</v>
      </c>
      <c r="AH91" s="8">
        <v>15</v>
      </c>
      <c r="AI91" s="8">
        <v>1</v>
      </c>
      <c r="AJ91" s="8">
        <v>43.3</v>
      </c>
      <c r="AK91" s="8">
        <v>66.283623853517696</v>
      </c>
      <c r="AL91" s="17">
        <v>100</v>
      </c>
      <c r="AM91" s="8">
        <v>32.700000000000003</v>
      </c>
      <c r="AN91" s="8">
        <v>26.2</v>
      </c>
      <c r="AO91" s="8">
        <v>48.3</v>
      </c>
      <c r="AP91" s="8">
        <v>1.996</v>
      </c>
    </row>
    <row r="92" spans="1:42">
      <c r="A92" s="22" t="s">
        <v>284</v>
      </c>
      <c r="B92">
        <v>2.0904842285363299</v>
      </c>
      <c r="C92">
        <v>0.77263872615143903</v>
      </c>
      <c r="D92">
        <v>1.7031130411287801E-2</v>
      </c>
      <c r="E92">
        <v>0.12544472258360601</v>
      </c>
      <c r="F92" s="8">
        <v>0</v>
      </c>
      <c r="G92" s="38">
        <v>1.1753696499999999</v>
      </c>
      <c r="H92" s="17">
        <v>79</v>
      </c>
      <c r="I92" s="8">
        <v>13.4</v>
      </c>
      <c r="J92" s="8">
        <v>54.7</v>
      </c>
      <c r="K92" s="8">
        <v>30</v>
      </c>
      <c r="L92" s="29">
        <v>78</v>
      </c>
      <c r="M92" s="8">
        <v>57</v>
      </c>
      <c r="N92" s="17">
        <v>97.013999999999996</v>
      </c>
      <c r="O92" s="23">
        <v>0.57000000000000006</v>
      </c>
      <c r="P92" s="8">
        <v>0.8</v>
      </c>
      <c r="Q92" s="13">
        <v>84775.4</v>
      </c>
      <c r="R92" s="8">
        <v>2499000</v>
      </c>
      <c r="S92" s="8">
        <v>8.6</v>
      </c>
      <c r="T92" s="8">
        <v>76</v>
      </c>
      <c r="U92" s="17">
        <v>5</v>
      </c>
      <c r="V92" s="21">
        <v>32554211</v>
      </c>
      <c r="W92" s="8">
        <v>45</v>
      </c>
      <c r="X92" s="8">
        <v>74.3</v>
      </c>
      <c r="Y92" s="8">
        <v>51.2</v>
      </c>
      <c r="Z92" s="8">
        <v>37.700000000000003</v>
      </c>
      <c r="AA92" s="8">
        <f>10.86*1000</f>
        <v>10860</v>
      </c>
      <c r="AB92" s="8">
        <v>13842</v>
      </c>
      <c r="AC92" s="8">
        <v>39.4</v>
      </c>
      <c r="AD92" s="8">
        <v>18.3</v>
      </c>
      <c r="AE92" s="8"/>
      <c r="AF92" s="8">
        <v>6.9000000000000006E-2</v>
      </c>
      <c r="AG92" s="8">
        <v>38</v>
      </c>
      <c r="AH92" s="8">
        <v>23</v>
      </c>
      <c r="AI92" s="8">
        <v>500</v>
      </c>
      <c r="AJ92" s="8">
        <v>44.6</v>
      </c>
      <c r="AK92" s="8">
        <v>68.140742615279905</v>
      </c>
      <c r="AL92" s="17">
        <v>100</v>
      </c>
      <c r="AM92" s="8">
        <v>20.3</v>
      </c>
      <c r="AN92" s="8">
        <v>40.6</v>
      </c>
      <c r="AO92" s="8">
        <v>21.5</v>
      </c>
      <c r="AP92" s="8">
        <v>2.7850000000000001</v>
      </c>
    </row>
    <row r="93" spans="1:42">
      <c r="A93" s="22" t="s">
        <v>288</v>
      </c>
      <c r="B93" s="38">
        <v>3.7905109999999999E-2</v>
      </c>
      <c r="C93" s="8">
        <v>0</v>
      </c>
      <c r="D93" s="8">
        <v>0</v>
      </c>
      <c r="E93" s="8">
        <v>0</v>
      </c>
      <c r="F93" s="8">
        <v>0</v>
      </c>
      <c r="G93" s="38">
        <v>3.7905109999999999E-2</v>
      </c>
      <c r="H93" s="17">
        <v>50</v>
      </c>
      <c r="I93" s="8">
        <v>2.9</v>
      </c>
      <c r="J93" s="8">
        <v>53.6</v>
      </c>
      <c r="K93" s="8">
        <v>31</v>
      </c>
      <c r="L93" s="29">
        <v>66</v>
      </c>
      <c r="M93" s="8">
        <v>30</v>
      </c>
      <c r="N93" s="17">
        <v>55.855000000000004</v>
      </c>
      <c r="O93" s="23">
        <v>61.52</v>
      </c>
      <c r="P93" s="8">
        <v>3.2</v>
      </c>
      <c r="Q93" s="13">
        <v>45853.78</v>
      </c>
      <c r="R93" s="8">
        <v>-4527330.82</v>
      </c>
      <c r="S93" s="8">
        <v>5.7</v>
      </c>
      <c r="T93" s="8">
        <v>62.7</v>
      </c>
      <c r="U93" s="17">
        <v>4</v>
      </c>
      <c r="V93" s="21">
        <v>16994563</v>
      </c>
      <c r="W93" s="8">
        <v>30</v>
      </c>
      <c r="X93" s="8">
        <v>47.9</v>
      </c>
      <c r="Y93" s="8">
        <v>6.4</v>
      </c>
      <c r="Z93" s="8">
        <v>51.3</v>
      </c>
      <c r="AA93" s="8">
        <f>1.16*1000</f>
        <v>1160</v>
      </c>
      <c r="AB93" s="8">
        <v>1142.21</v>
      </c>
      <c r="AC93" s="8">
        <v>20.7</v>
      </c>
      <c r="AD93" s="8">
        <v>10.1</v>
      </c>
      <c r="AE93" s="8"/>
      <c r="AF93" s="8">
        <v>0.16400000000000001</v>
      </c>
      <c r="AG93" s="8">
        <v>27</v>
      </c>
      <c r="AH93" s="8">
        <v>30</v>
      </c>
      <c r="AI93" s="8">
        <v>208</v>
      </c>
      <c r="AJ93" s="8">
        <v>27.4</v>
      </c>
      <c r="AK93" s="8">
        <v>53.131194555004797</v>
      </c>
      <c r="AL93">
        <v>42.074417114257798</v>
      </c>
      <c r="AM93" s="8">
        <v>49.2</v>
      </c>
      <c r="AN93" s="8">
        <v>13.2</v>
      </c>
      <c r="AO93" s="8">
        <v>26.8</v>
      </c>
      <c r="AP93" s="8">
        <v>2.3090000000000002</v>
      </c>
    </row>
    <row r="94" spans="1:42">
      <c r="A94" s="22" t="s">
        <v>289</v>
      </c>
      <c r="B94">
        <v>5.4670603181236599</v>
      </c>
      <c r="C94">
        <v>7.12302985754249E-2</v>
      </c>
      <c r="D94">
        <v>1.4944113514186499</v>
      </c>
      <c r="E94">
        <v>2.3112207514014802</v>
      </c>
      <c r="F94">
        <v>0.46087080569310002</v>
      </c>
      <c r="G94">
        <v>1.1293271110350001</v>
      </c>
      <c r="H94" s="17">
        <v>88</v>
      </c>
      <c r="I94" s="8">
        <v>4.5</v>
      </c>
      <c r="J94" s="8">
        <v>64.900000000000006</v>
      </c>
      <c r="K94" s="8">
        <v>90</v>
      </c>
      <c r="L94" s="8">
        <v>92</v>
      </c>
      <c r="M94" s="8">
        <v>82</v>
      </c>
      <c r="N94" s="17">
        <v>93.927999999999997</v>
      </c>
      <c r="O94" s="23">
        <v>0.33</v>
      </c>
      <c r="P94" s="8">
        <v>0.4</v>
      </c>
      <c r="Q94" s="13">
        <v>67326.570000000007</v>
      </c>
      <c r="R94" s="8">
        <v>-24233324.66</v>
      </c>
      <c r="S94" s="8">
        <v>13.4</v>
      </c>
      <c r="T94" s="8">
        <v>80.7</v>
      </c>
      <c r="U94" s="17">
        <v>3</v>
      </c>
      <c r="V94" s="21">
        <v>34637447</v>
      </c>
      <c r="W94" s="8">
        <v>78</v>
      </c>
      <c r="X94" s="8">
        <v>88.9</v>
      </c>
      <c r="Y94" s="8">
        <v>9</v>
      </c>
      <c r="Z94" s="8">
        <v>79.900000000000006</v>
      </c>
      <c r="AA94" s="8">
        <f>51.29*1000</f>
        <v>51290</v>
      </c>
      <c r="AB94" s="8">
        <v>22604.21</v>
      </c>
      <c r="AC94" s="8">
        <v>84.1</v>
      </c>
      <c r="AD94" s="8">
        <v>17.3</v>
      </c>
      <c r="AE94" s="8"/>
      <c r="AF94" s="8">
        <v>0.33600000000000002</v>
      </c>
      <c r="AG94" s="8">
        <v>78</v>
      </c>
      <c r="AH94" s="8">
        <v>19</v>
      </c>
      <c r="AI94" s="8">
        <v>5</v>
      </c>
      <c r="AJ94" s="8">
        <v>78.599999999999994</v>
      </c>
      <c r="AK94" s="8">
        <v>63.422691321527502</v>
      </c>
      <c r="AL94" s="17">
        <v>100</v>
      </c>
      <c r="AM94" s="8">
        <v>62.3</v>
      </c>
      <c r="AN94" s="8">
        <v>62.6</v>
      </c>
      <c r="AO94" s="8">
        <v>91.5</v>
      </c>
      <c r="AP94" s="8">
        <v>1.667</v>
      </c>
    </row>
    <row r="95" spans="1:42">
      <c r="A95" s="22" t="s">
        <v>292</v>
      </c>
      <c r="B95">
        <v>0.142058119875</v>
      </c>
      <c r="C95" s="8">
        <v>0</v>
      </c>
      <c r="D95" s="8">
        <v>0</v>
      </c>
      <c r="E95" s="8">
        <v>0</v>
      </c>
      <c r="F95" s="8">
        <v>0</v>
      </c>
      <c r="G95">
        <v>0.142058119875</v>
      </c>
      <c r="H95" s="17">
        <v>79</v>
      </c>
      <c r="I95" s="8">
        <v>10.4</v>
      </c>
      <c r="J95" s="8">
        <v>58</v>
      </c>
      <c r="K95" s="8">
        <v>55</v>
      </c>
      <c r="L95" s="29">
        <v>68</v>
      </c>
      <c r="M95" s="8">
        <v>76</v>
      </c>
      <c r="N95" s="17">
        <v>99.884</v>
      </c>
      <c r="O95" s="23">
        <v>7.0000000000000007E-2</v>
      </c>
      <c r="P95" s="8">
        <v>-0.1</v>
      </c>
      <c r="Q95" s="13">
        <v>3426.26</v>
      </c>
      <c r="R95" s="8">
        <v>3769252.08</v>
      </c>
      <c r="S95" s="8">
        <v>9</v>
      </c>
      <c r="T95" s="8">
        <v>75.400000000000006</v>
      </c>
      <c r="U95" s="17">
        <v>2</v>
      </c>
      <c r="V95" s="21">
        <v>1702310</v>
      </c>
      <c r="W95" s="8">
        <v>38</v>
      </c>
      <c r="X95" s="8">
        <v>68.7</v>
      </c>
      <c r="Y95" s="8">
        <v>7.8</v>
      </c>
      <c r="Z95" s="8">
        <v>62.6</v>
      </c>
      <c r="AA95" s="8">
        <f>20.46*1000</f>
        <v>20460</v>
      </c>
      <c r="AB95" s="8">
        <v>2586.5300000000002</v>
      </c>
      <c r="AC95" s="8">
        <v>30.9</v>
      </c>
      <c r="AD95" s="8">
        <v>16.8</v>
      </c>
      <c r="AE95" s="8"/>
      <c r="AF95" s="8">
        <v>0.246</v>
      </c>
      <c r="AG95" s="8">
        <v>73</v>
      </c>
      <c r="AH95" s="8">
        <v>25</v>
      </c>
      <c r="AI95" s="8">
        <v>19</v>
      </c>
      <c r="AJ95" s="8">
        <v>63.6</v>
      </c>
      <c r="AK95" s="8">
        <v>65.104788472677001</v>
      </c>
      <c r="AL95" s="17">
        <v>100</v>
      </c>
      <c r="AM95" s="8">
        <v>25.8</v>
      </c>
      <c r="AN95" s="8">
        <v>38.5</v>
      </c>
      <c r="AO95" s="8">
        <v>37</v>
      </c>
      <c r="AP95" s="8">
        <v>1.7949999999999999</v>
      </c>
    </row>
    <row r="96" spans="1:42">
      <c r="A96" s="22" t="s">
        <v>312</v>
      </c>
      <c r="B96">
        <v>101.49072414600001</v>
      </c>
      <c r="C96">
        <v>14.255763025</v>
      </c>
      <c r="D96">
        <v>35.187183374999996</v>
      </c>
      <c r="E96">
        <v>31.964210010999999</v>
      </c>
      <c r="F96">
        <v>8.4518515129999994</v>
      </c>
      <c r="G96">
        <v>11.631716222</v>
      </c>
      <c r="H96" s="17">
        <v>83</v>
      </c>
      <c r="I96" s="8">
        <v>5.5</v>
      </c>
      <c r="J96" s="8">
        <v>67</v>
      </c>
      <c r="K96" s="8">
        <v>98</v>
      </c>
      <c r="L96" s="8">
        <v>63</v>
      </c>
      <c r="M96" s="8">
        <v>84</v>
      </c>
      <c r="N96" s="17">
        <v>99.495999999999995</v>
      </c>
      <c r="O96" s="23">
        <v>0.57999999999999996</v>
      </c>
      <c r="P96" s="8">
        <v>0.1</v>
      </c>
      <c r="Q96" s="13">
        <v>331893.74</v>
      </c>
      <c r="R96" s="8">
        <v>-845050000</v>
      </c>
      <c r="S96" s="8">
        <v>13.7</v>
      </c>
      <c r="T96" s="8">
        <v>77.2</v>
      </c>
      <c r="U96" s="17">
        <v>4</v>
      </c>
      <c r="V96" s="21">
        <v>164796725</v>
      </c>
      <c r="W96" s="8">
        <v>84</v>
      </c>
      <c r="X96" s="8">
        <v>87.9</v>
      </c>
      <c r="Y96" s="8">
        <v>3.5</v>
      </c>
      <c r="Z96" s="8">
        <v>122.9</v>
      </c>
      <c r="AA96" s="8">
        <f>78.42*1000</f>
        <v>78420</v>
      </c>
      <c r="AB96" s="8">
        <v>448324</v>
      </c>
      <c r="AC96" s="8">
        <v>89.1</v>
      </c>
      <c r="AD96" s="8">
        <v>16.3</v>
      </c>
      <c r="AE96" s="8"/>
      <c r="AF96" s="8">
        <v>0.16200000000000001</v>
      </c>
      <c r="AG96" s="8">
        <v>67</v>
      </c>
      <c r="AH96" s="8">
        <v>25.81</v>
      </c>
      <c r="AI96" s="8">
        <v>1309</v>
      </c>
      <c r="AJ96" s="8">
        <v>77</v>
      </c>
      <c r="AK96" s="8">
        <v>65.078069808587102</v>
      </c>
      <c r="AL96" s="17">
        <v>100</v>
      </c>
      <c r="AM96" s="8">
        <v>51.4</v>
      </c>
      <c r="AN96" s="8">
        <v>54.3</v>
      </c>
      <c r="AO96" s="8">
        <v>37.200000000000003</v>
      </c>
      <c r="AP96" s="8">
        <v>2.44</v>
      </c>
    </row>
    <row r="97" spans="1:42">
      <c r="A97" s="22" t="s">
        <v>296</v>
      </c>
      <c r="B97">
        <v>3.22112472373668</v>
      </c>
      <c r="C97">
        <v>1.2013544693078301E-2</v>
      </c>
      <c r="D97">
        <v>0.73777496231810002</v>
      </c>
      <c r="E97">
        <v>2.0284570839254998</v>
      </c>
      <c r="F97" s="8">
        <v>0</v>
      </c>
      <c r="G97" s="38">
        <v>0.44287913000000001</v>
      </c>
      <c r="H97" s="17">
        <v>70</v>
      </c>
      <c r="I97" s="8">
        <v>6.4</v>
      </c>
      <c r="J97" s="8">
        <v>43.3</v>
      </c>
      <c r="K97" s="8">
        <v>11</v>
      </c>
      <c r="L97" s="29">
        <v>19</v>
      </c>
      <c r="M97" s="8">
        <v>51</v>
      </c>
      <c r="N97" s="17">
        <v>93.686000000000007</v>
      </c>
      <c r="O97" s="23">
        <v>78.02</v>
      </c>
      <c r="P97" s="8">
        <v>-1</v>
      </c>
      <c r="Q97" s="13">
        <v>28199.87</v>
      </c>
      <c r="R97" s="8">
        <v>2874000</v>
      </c>
      <c r="S97" s="8">
        <v>11.1</v>
      </c>
      <c r="T97" s="8">
        <v>70.599999999999994</v>
      </c>
      <c r="U97" s="17">
        <v>4</v>
      </c>
      <c r="V97" s="21">
        <v>10244756</v>
      </c>
      <c r="W97" s="8">
        <v>31</v>
      </c>
      <c r="X97" s="8">
        <v>46.2</v>
      </c>
      <c r="Y97" s="8">
        <v>195</v>
      </c>
      <c r="Z97" s="50">
        <v>240.5</v>
      </c>
      <c r="AA97" s="8">
        <f>3.27*1000</f>
        <v>3270</v>
      </c>
      <c r="AB97" s="8">
        <v>-761.33</v>
      </c>
      <c r="AC97" s="8">
        <v>25.4</v>
      </c>
      <c r="AD97" s="8">
        <v>12.8</v>
      </c>
      <c r="AE97" s="8"/>
      <c r="AF97" s="8">
        <v>0.17299999999999999</v>
      </c>
      <c r="AG97" s="8">
        <v>14</v>
      </c>
      <c r="AH97" s="8">
        <v>34</v>
      </c>
      <c r="AI97" s="8">
        <v>0</v>
      </c>
      <c r="AJ97" s="8">
        <v>46.7</v>
      </c>
      <c r="AK97" s="8">
        <v>63.491135676120997</v>
      </c>
      <c r="AL97" s="17">
        <v>100</v>
      </c>
      <c r="AM97" s="8">
        <v>52</v>
      </c>
      <c r="AN97" s="8">
        <v>12.1</v>
      </c>
      <c r="AO97" s="8">
        <v>42.1</v>
      </c>
      <c r="AP97" s="8">
        <v>2.798</v>
      </c>
    </row>
    <row r="98" spans="1:42">
      <c r="A98" s="22" t="s">
        <v>315</v>
      </c>
      <c r="B98">
        <v>2.7189795206298002</v>
      </c>
      <c r="C98">
        <v>1.20231556281137</v>
      </c>
      <c r="D98">
        <v>0.35486619027720001</v>
      </c>
      <c r="E98">
        <v>0.50452090254123705</v>
      </c>
      <c r="F98" s="31">
        <v>0</v>
      </c>
      <c r="G98">
        <v>0.65727686500000004</v>
      </c>
      <c r="H98" s="17">
        <v>70</v>
      </c>
      <c r="I98" s="8">
        <v>2.2000000000000002</v>
      </c>
      <c r="J98" s="8">
        <v>54.3</v>
      </c>
      <c r="K98" s="8">
        <v>45</v>
      </c>
      <c r="L98" s="8">
        <v>84</v>
      </c>
      <c r="M98" s="8">
        <v>69</v>
      </c>
      <c r="N98" s="17">
        <v>96.884</v>
      </c>
      <c r="O98" s="23">
        <v>3.96</v>
      </c>
      <c r="P98" s="8">
        <v>0.8</v>
      </c>
      <c r="Q98" s="35">
        <v>97468.03</v>
      </c>
      <c r="R98" s="8">
        <v>1963000</v>
      </c>
      <c r="S98" s="8">
        <v>8.4</v>
      </c>
      <c r="T98" s="8">
        <v>73.599999999999994</v>
      </c>
      <c r="U98" s="17">
        <v>4</v>
      </c>
      <c r="V98" s="21">
        <v>56202805</v>
      </c>
      <c r="W98" s="8">
        <v>37</v>
      </c>
      <c r="X98" s="8">
        <v>66</v>
      </c>
      <c r="Y98" s="8">
        <v>3.9</v>
      </c>
      <c r="Z98" s="8">
        <v>40.5</v>
      </c>
      <c r="AA98" s="34">
        <f>4.68*1000</f>
        <v>4680</v>
      </c>
      <c r="AB98" s="34">
        <v>15660</v>
      </c>
      <c r="AC98" s="8">
        <v>48.2</v>
      </c>
      <c r="AD98" s="8">
        <v>13</v>
      </c>
      <c r="AE98" s="8">
        <v>-15</v>
      </c>
      <c r="AF98" s="8">
        <v>7.9000000000000001E-2</v>
      </c>
      <c r="AG98" s="8">
        <v>39</v>
      </c>
      <c r="AH98" s="8">
        <v>20</v>
      </c>
      <c r="AI98" s="8">
        <v>0</v>
      </c>
      <c r="AJ98" s="8">
        <v>26.5</v>
      </c>
      <c r="AK98" s="8">
        <v>68.701715865731302</v>
      </c>
      <c r="AL98" s="17">
        <v>100</v>
      </c>
      <c r="AM98" s="8">
        <v>22.1</v>
      </c>
      <c r="AN98" s="8">
        <v>25.6</v>
      </c>
      <c r="AO98" s="8">
        <v>10.1</v>
      </c>
      <c r="AP98" s="8">
        <v>1.786</v>
      </c>
    </row>
    <row r="99" spans="1:42">
      <c r="A99" s="25" t="s">
        <v>301</v>
      </c>
      <c r="B99">
        <v>0.13610105188730301</v>
      </c>
      <c r="C99">
        <v>2.45382145273037E-2</v>
      </c>
      <c r="D99" s="26">
        <v>0</v>
      </c>
      <c r="E99" s="26">
        <v>0</v>
      </c>
      <c r="F99" s="8">
        <v>0</v>
      </c>
      <c r="G99" s="38">
        <v>0.11156284</v>
      </c>
      <c r="H99" s="17">
        <v>55</v>
      </c>
      <c r="I99" s="8">
        <v>13</v>
      </c>
      <c r="J99" s="8">
        <v>51.5</v>
      </c>
      <c r="K99" s="8">
        <v>30</v>
      </c>
      <c r="L99" s="8">
        <v>59</v>
      </c>
      <c r="M99" s="8">
        <v>37</v>
      </c>
      <c r="N99" s="17">
        <v>65.412000000000006</v>
      </c>
      <c r="O99" s="23">
        <v>76.8</v>
      </c>
      <c r="P99" s="8">
        <v>2.8</v>
      </c>
      <c r="Q99" s="13">
        <v>19473.13</v>
      </c>
      <c r="R99" s="8">
        <v>4015027.85</v>
      </c>
      <c r="S99" s="26">
        <v>7.2</v>
      </c>
      <c r="T99" s="26">
        <v>61.2</v>
      </c>
      <c r="U99" s="17">
        <v>4</v>
      </c>
      <c r="V99" s="21">
        <v>8113422</v>
      </c>
      <c r="W99" s="8">
        <v>29</v>
      </c>
      <c r="X99" s="8">
        <v>43.3</v>
      </c>
      <c r="Y99" s="8">
        <v>9.5</v>
      </c>
      <c r="Z99" s="29">
        <v>119.14100000000001</v>
      </c>
      <c r="AA99" s="8">
        <f>1.4*1000</f>
        <v>1400</v>
      </c>
      <c r="AB99" s="8">
        <v>-823.08</v>
      </c>
      <c r="AC99" s="8">
        <v>19.5</v>
      </c>
      <c r="AD99" s="26">
        <v>10.9</v>
      </c>
      <c r="AE99" s="26"/>
      <c r="AF99" s="26">
        <v>3.1E-2</v>
      </c>
      <c r="AG99" s="26">
        <v>33</v>
      </c>
      <c r="AH99" s="8">
        <v>30</v>
      </c>
      <c r="AI99" s="8">
        <v>52</v>
      </c>
      <c r="AJ99" s="26">
        <v>23.6</v>
      </c>
      <c r="AK99" s="8">
        <v>54.998707192605202</v>
      </c>
      <c r="AL99">
        <v>44.5244750976563</v>
      </c>
      <c r="AM99" s="26">
        <v>58.2</v>
      </c>
      <c r="AN99" s="26">
        <v>6.9</v>
      </c>
      <c r="AO99" s="26">
        <v>25.6</v>
      </c>
      <c r="AP99" s="26">
        <v>1.841</v>
      </c>
    </row>
  </sheetData>
  <hyperlinks>
    <hyperlink ref="J3" r:id="rId1" xr:uid="{F6AAA826-358F-2641-B6BC-5BCA94206DD2}"/>
    <hyperlink ref="M3" r:id="rId2" xr:uid="{36CB8873-5CAE-D34E-881D-E157927EB8C1}"/>
    <hyperlink ref="T3" r:id="rId3" location="/indicies/HDI" xr:uid="{DB0E9996-E2ED-8B4D-956A-DB6E4572027B}"/>
    <hyperlink ref="AE3" r:id="rId4" xr:uid="{FE8C14AF-0780-5547-B199-9542CDF0D40A}"/>
    <hyperlink ref="AF3" r:id="rId5" xr:uid="{664711E3-3E89-B448-88BA-C7E969C7A185}"/>
    <hyperlink ref="AL3" r:id="rId6" xr:uid="{E9733AED-EB94-D444-A433-6DBD023D8EC4}"/>
    <hyperlink ref="I3" r:id="rId7" xr:uid="{4FA7BDC9-8EC1-0E4B-B9BE-A9E52973D336}"/>
    <hyperlink ref="P3" r:id="rId8" xr:uid="{F1E5E581-4562-E34D-95FC-A5507B82F9CB}"/>
    <hyperlink ref="Q3" r:id="rId9" xr:uid="{08CCEA1E-A183-F341-B0A1-B7866E9DD7FC}"/>
    <hyperlink ref="L3" r:id="rId10" xr:uid="{54AD238C-1DDA-7B45-B268-7F8577D4D999}"/>
    <hyperlink ref="S3" r:id="rId11" location="/indicies/HDI" xr:uid="{3C8B49D7-85EE-324C-A44B-810984CB4B62}"/>
    <hyperlink ref="AB3" r:id="rId12" xr:uid="{DA9510FD-38E8-5543-A197-E3F56BEB3FE3}"/>
    <hyperlink ref="K3" r:id="rId13" xr:uid="{9C96DED5-3844-744E-BED9-F1A8BF00408B}"/>
    <hyperlink ref="E3" r:id="rId14" display="https://www.eia.gov/international/data/world/total-energy/total-energy-production?pd=44&amp;p=004000000000000000000000000000000000000000000000000000000f00o&amp;u=0&amp;f=A&amp;v=mapbubble&amp;a=-&amp;i=none&amp;vo=value&amp;t=C&amp;g=00000000000000000000000000000000000000000000000001&amp;l=249-ruvvvvvfvtvnvv1vrvvvvfvvvvvvfvvvou20evvvvvvvvvvnvvvs0008&amp;s=315532800000&amp;e=1546300800000&amp;" xr:uid="{9611CF1F-32F3-404C-9FDF-2779992BCF0A}"/>
    <hyperlink ref="AG3" r:id="rId15" xr:uid="{AC370E5F-51B4-2441-AACF-2E9AF283F4BA}"/>
    <hyperlink ref="H3" r:id="rId16" xr:uid="{97AD6538-482B-1546-8E53-A44971303207}"/>
    <hyperlink ref="AK3" r:id="rId17" xr:uid="{241C79CE-E9E0-D046-BB4B-388CA6519CF3}"/>
    <hyperlink ref="U3" r:id="rId18" xr:uid="{D7CCF400-115D-724E-BC06-1B30956E4063}"/>
  </hyperlinks>
  <pageMargins left="0.7" right="0.7" top="0.75" bottom="0.75" header="0.3" footer="0.3"/>
  <legacy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631A-AD93-4047-9ED6-877FAD6A552C}">
  <dimension ref="A1:M99"/>
  <sheetViews>
    <sheetView topLeftCell="A25" workbookViewId="0">
      <selection activeCell="A42" sqref="A42:A98"/>
    </sheetView>
  </sheetViews>
  <sheetFormatPr baseColWidth="10" defaultRowHeight="16"/>
  <sheetData>
    <row r="1" spans="1:1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11</v>
      </c>
      <c r="I1" s="1" t="s">
        <v>12</v>
      </c>
      <c r="J1" s="1" t="s">
        <v>311</v>
      </c>
      <c r="K1" s="1" t="s">
        <v>34</v>
      </c>
      <c r="L1" s="1" t="s">
        <v>35</v>
      </c>
      <c r="M1" s="7" t="s">
        <v>36</v>
      </c>
    </row>
    <row r="2" spans="1:13">
      <c r="A2" s="1" t="s">
        <v>38</v>
      </c>
      <c r="B2" s="8" t="s">
        <v>39</v>
      </c>
      <c r="C2" s="8" t="s">
        <v>39</v>
      </c>
      <c r="D2" s="8" t="s">
        <v>39</v>
      </c>
      <c r="E2" s="8" t="s">
        <v>39</v>
      </c>
      <c r="F2" s="8" t="s">
        <v>39</v>
      </c>
      <c r="G2" s="8" t="s">
        <v>39</v>
      </c>
      <c r="H2" s="8" t="s">
        <v>39</v>
      </c>
      <c r="I2" s="8" t="s">
        <v>39</v>
      </c>
      <c r="J2" s="8" t="s">
        <v>39</v>
      </c>
      <c r="K2" s="8" t="s">
        <v>39</v>
      </c>
      <c r="L2" s="8" t="s">
        <v>39</v>
      </c>
      <c r="M2" s="8" t="s">
        <v>39</v>
      </c>
    </row>
    <row r="3" spans="1:13">
      <c r="A3" s="1" t="s">
        <v>43</v>
      </c>
      <c r="B3" s="8" t="s">
        <v>44</v>
      </c>
      <c r="C3" s="8" t="s">
        <v>44</v>
      </c>
      <c r="D3" s="8" t="s">
        <v>44</v>
      </c>
      <c r="E3" s="10" t="s">
        <v>44</v>
      </c>
      <c r="F3" s="8" t="s">
        <v>44</v>
      </c>
      <c r="G3" s="8" t="s">
        <v>44</v>
      </c>
      <c r="H3" s="10" t="s">
        <v>49</v>
      </c>
      <c r="I3" s="11" t="s">
        <v>49</v>
      </c>
      <c r="J3" s="8" t="s">
        <v>67</v>
      </c>
      <c r="K3" s="8" t="s">
        <v>70</v>
      </c>
      <c r="L3" s="8" t="s">
        <v>70</v>
      </c>
      <c r="M3" s="8" t="s">
        <v>70</v>
      </c>
    </row>
    <row r="4" spans="1:13">
      <c r="A4" s="1" t="s">
        <v>72</v>
      </c>
      <c r="B4" s="8">
        <v>2019</v>
      </c>
      <c r="C4" s="8">
        <v>2019</v>
      </c>
      <c r="D4" s="8">
        <v>2019</v>
      </c>
      <c r="E4" s="8">
        <v>2019</v>
      </c>
      <c r="F4" s="8">
        <v>2019</v>
      </c>
      <c r="G4" s="8">
        <v>2019</v>
      </c>
      <c r="H4" s="8">
        <v>2022</v>
      </c>
      <c r="I4" s="8">
        <v>2021</v>
      </c>
      <c r="J4" s="8">
        <v>2022</v>
      </c>
      <c r="K4" s="8">
        <v>2022</v>
      </c>
      <c r="L4" s="8">
        <v>2022</v>
      </c>
      <c r="M4" s="8">
        <v>2022</v>
      </c>
    </row>
    <row r="5" spans="1:13">
      <c r="A5" s="22" t="s">
        <v>79</v>
      </c>
      <c r="B5">
        <v>9.1399757885471597E-2</v>
      </c>
      <c r="C5">
        <v>1.13555559521066E-3</v>
      </c>
      <c r="D5">
        <v>2.7492780838860001E-3</v>
      </c>
      <c r="E5">
        <v>4.1423178506375002E-2</v>
      </c>
      <c r="F5" s="8">
        <v>0</v>
      </c>
      <c r="G5">
        <v>4.6091745699999999E-2</v>
      </c>
      <c r="H5" s="8">
        <v>51</v>
      </c>
      <c r="I5" s="8">
        <v>49</v>
      </c>
      <c r="J5" s="8">
        <v>1</v>
      </c>
      <c r="K5" s="8">
        <v>45.5</v>
      </c>
      <c r="L5" s="8">
        <v>13.4</v>
      </c>
      <c r="M5" s="8">
        <v>52.5</v>
      </c>
    </row>
    <row r="6" spans="1:13">
      <c r="A6" s="25" t="s">
        <v>83</v>
      </c>
      <c r="B6">
        <v>3.5266384694823101</v>
      </c>
      <c r="C6" s="8">
        <v>0</v>
      </c>
      <c r="D6">
        <v>0.25023258120000003</v>
      </c>
      <c r="E6">
        <v>3.1776316282823101</v>
      </c>
      <c r="F6" s="8">
        <v>0</v>
      </c>
      <c r="G6">
        <v>9.8774260000000003E-2</v>
      </c>
      <c r="H6" s="8">
        <v>42</v>
      </c>
      <c r="I6" s="8">
        <v>4</v>
      </c>
      <c r="J6" s="8">
        <v>3</v>
      </c>
      <c r="K6" s="8">
        <v>28.6</v>
      </c>
      <c r="L6" s="8">
        <v>9.6</v>
      </c>
      <c r="M6" s="8">
        <v>37.700000000000003</v>
      </c>
    </row>
    <row r="7" spans="1:13">
      <c r="A7" s="22" t="s">
        <v>86</v>
      </c>
      <c r="B7">
        <v>3.4340616299064601</v>
      </c>
      <c r="C7">
        <v>4.9272919021225796E-4</v>
      </c>
      <c r="D7">
        <v>1.6135832397300001</v>
      </c>
      <c r="E7">
        <v>1.30400884573625</v>
      </c>
      <c r="F7">
        <v>9.3123237085499994E-2</v>
      </c>
      <c r="G7">
        <v>0.42285357816449998</v>
      </c>
      <c r="H7" s="8">
        <v>55</v>
      </c>
      <c r="I7" s="8">
        <v>31</v>
      </c>
      <c r="J7" s="8">
        <v>20</v>
      </c>
      <c r="K7" s="8">
        <v>38.9</v>
      </c>
      <c r="L7" s="8">
        <v>42.4</v>
      </c>
      <c r="M7" s="8">
        <v>35.5</v>
      </c>
    </row>
    <row r="8" spans="1:13">
      <c r="A8" s="22" t="s">
        <v>87</v>
      </c>
      <c r="B8">
        <v>4.5262562450000002E-2</v>
      </c>
      <c r="C8" s="8">
        <v>0</v>
      </c>
      <c r="D8" s="8">
        <v>0</v>
      </c>
      <c r="E8" s="8">
        <v>0</v>
      </c>
      <c r="F8">
        <v>2.3790024999999999E-2</v>
      </c>
      <c r="G8">
        <v>2.1472537449999999E-2</v>
      </c>
      <c r="H8" s="8">
        <v>62</v>
      </c>
      <c r="I8" s="8">
        <v>44</v>
      </c>
      <c r="J8" s="8">
        <v>0</v>
      </c>
      <c r="K8" s="8">
        <v>58.1</v>
      </c>
      <c r="L8" s="8">
        <v>37.5</v>
      </c>
      <c r="M8" s="8">
        <v>41.4</v>
      </c>
    </row>
    <row r="9" spans="1:13">
      <c r="A9" s="22" t="s">
        <v>89</v>
      </c>
      <c r="B9">
        <v>18.922531914677599</v>
      </c>
      <c r="C9">
        <v>12.160396164848599</v>
      </c>
      <c r="D9">
        <v>5.3999333829563998</v>
      </c>
      <c r="E9">
        <v>0.87831278442654503</v>
      </c>
      <c r="F9" s="8">
        <v>0</v>
      </c>
      <c r="G9">
        <v>0.483889582446</v>
      </c>
      <c r="H9" s="8">
        <v>84</v>
      </c>
      <c r="I9" s="8">
        <v>75</v>
      </c>
      <c r="J9" s="8">
        <v>8</v>
      </c>
      <c r="K9" s="8">
        <v>62.3</v>
      </c>
      <c r="L9" s="8">
        <v>69</v>
      </c>
      <c r="M9" s="8">
        <v>43.8</v>
      </c>
    </row>
    <row r="10" spans="1:13">
      <c r="A10" s="22" t="s">
        <v>90</v>
      </c>
      <c r="B10">
        <v>0.56410934985922201</v>
      </c>
      <c r="C10" s="8">
        <v>0</v>
      </c>
      <c r="D10">
        <v>3.34832918475318E-2</v>
      </c>
      <c r="E10">
        <v>2.7553737077690401E-2</v>
      </c>
      <c r="F10" s="8">
        <v>0</v>
      </c>
      <c r="G10">
        <v>0.50307232093400001</v>
      </c>
      <c r="H10" s="8">
        <v>81</v>
      </c>
      <c r="I10" s="8">
        <v>84</v>
      </c>
      <c r="J10" s="8">
        <v>1</v>
      </c>
      <c r="K10" s="8">
        <v>73.900000000000006</v>
      </c>
      <c r="L10" s="8">
        <v>77.400000000000006</v>
      </c>
      <c r="M10" s="8">
        <v>50.3</v>
      </c>
    </row>
    <row r="11" spans="1:13">
      <c r="A11" s="22" t="s">
        <v>94</v>
      </c>
      <c r="B11">
        <v>1.06001279778747</v>
      </c>
      <c r="C11">
        <v>1.95486662616688E-2</v>
      </c>
      <c r="D11">
        <v>1.0080073760749799</v>
      </c>
      <c r="E11">
        <v>2.2603372950819701E-2</v>
      </c>
      <c r="F11" s="8">
        <v>0</v>
      </c>
      <c r="G11">
        <v>9.8533825000000005E-3</v>
      </c>
      <c r="H11" s="8">
        <v>37</v>
      </c>
      <c r="I11" s="8">
        <v>41</v>
      </c>
      <c r="J11" s="8">
        <v>78</v>
      </c>
      <c r="K11" s="8">
        <v>29.4</v>
      </c>
      <c r="L11" s="8">
        <v>10.5</v>
      </c>
      <c r="M11" s="8">
        <v>18.8</v>
      </c>
    </row>
    <row r="12" spans="1:13">
      <c r="A12" s="22" t="s">
        <v>97</v>
      </c>
      <c r="B12">
        <v>0.6291810314456</v>
      </c>
      <c r="C12" s="8">
        <v>0</v>
      </c>
      <c r="D12">
        <v>1.42556232E-4</v>
      </c>
      <c r="E12">
        <v>7.3064474076125902E-2</v>
      </c>
      <c r="F12">
        <v>0.42768565871359998</v>
      </c>
      <c r="G12">
        <v>0.2013528165</v>
      </c>
      <c r="H12" s="8">
        <v>84</v>
      </c>
      <c r="I12" s="8">
        <v>78</v>
      </c>
      <c r="J12" s="8">
        <v>0</v>
      </c>
      <c r="K12" s="8">
        <v>57.9</v>
      </c>
      <c r="L12" s="8">
        <v>68</v>
      </c>
      <c r="M12" s="8">
        <v>48.1</v>
      </c>
    </row>
    <row r="13" spans="1:13">
      <c r="A13" s="22" t="s">
        <v>99</v>
      </c>
      <c r="B13">
        <v>7.1774300000000002E-5</v>
      </c>
      <c r="C13" s="8">
        <v>0</v>
      </c>
      <c r="D13" s="8">
        <v>0</v>
      </c>
      <c r="E13" s="8">
        <v>0</v>
      </c>
      <c r="F13" s="8">
        <v>0</v>
      </c>
      <c r="G13">
        <v>7.1774300000000002E-5</v>
      </c>
      <c r="H13" s="8">
        <v>38</v>
      </c>
      <c r="I13" s="8">
        <v>27</v>
      </c>
      <c r="J13" s="8">
        <v>7</v>
      </c>
      <c r="K13" s="8">
        <v>36.200000000000003</v>
      </c>
      <c r="L13" s="8">
        <v>29.7</v>
      </c>
      <c r="M13" s="8">
        <v>26.2</v>
      </c>
    </row>
    <row r="14" spans="1:13">
      <c r="A14" s="25" t="s">
        <v>102</v>
      </c>
      <c r="B14">
        <v>0.71915658829025997</v>
      </c>
      <c r="C14" s="8">
        <v>0</v>
      </c>
      <c r="D14">
        <v>0.56567833890700003</v>
      </c>
      <c r="E14">
        <v>0.11766196503326</v>
      </c>
      <c r="F14" s="8">
        <v>0</v>
      </c>
      <c r="G14">
        <v>3.5816284349999998E-2</v>
      </c>
      <c r="H14" s="26">
        <v>50</v>
      </c>
      <c r="I14" s="26">
        <v>26</v>
      </c>
      <c r="J14" s="8">
        <v>14</v>
      </c>
      <c r="K14" s="8">
        <v>52.9</v>
      </c>
      <c r="L14" s="8">
        <v>50</v>
      </c>
      <c r="M14" s="8">
        <v>28.3</v>
      </c>
    </row>
    <row r="15" spans="1:13">
      <c r="A15" s="22" t="s">
        <v>308</v>
      </c>
      <c r="B15">
        <v>0.15309487839793201</v>
      </c>
      <c r="C15">
        <v>9.6884826447932101E-2</v>
      </c>
      <c r="D15" s="8">
        <v>0</v>
      </c>
      <c r="E15" s="8">
        <v>0</v>
      </c>
      <c r="F15" s="8">
        <v>0</v>
      </c>
      <c r="G15">
        <v>5.6210051949999999E-2</v>
      </c>
      <c r="H15" s="8">
        <v>54</v>
      </c>
      <c r="I15" s="8">
        <v>48</v>
      </c>
      <c r="J15" s="8">
        <v>1</v>
      </c>
      <c r="K15" s="8">
        <v>34.799999999999997</v>
      </c>
      <c r="L15" s="8">
        <v>30.9</v>
      </c>
      <c r="M15" s="8">
        <v>45.1</v>
      </c>
    </row>
    <row r="16" spans="1:13">
      <c r="A16" s="22" t="s">
        <v>104</v>
      </c>
      <c r="B16">
        <v>12.752488736646599</v>
      </c>
      <c r="C16">
        <v>9.1082761105480803E-2</v>
      </c>
      <c r="D16">
        <v>0.848213625047326</v>
      </c>
      <c r="E16">
        <v>6.1738545979912098</v>
      </c>
      <c r="F16">
        <v>0.15702368418861901</v>
      </c>
      <c r="G16">
        <v>5.4823140683140004</v>
      </c>
      <c r="H16" s="8">
        <v>78</v>
      </c>
      <c r="I16" s="8">
        <v>69</v>
      </c>
      <c r="J16" s="8">
        <v>194</v>
      </c>
      <c r="K16" s="8">
        <v>55.2</v>
      </c>
      <c r="L16" s="8">
        <v>38.700000000000003</v>
      </c>
      <c r="M16" s="8">
        <v>29.6</v>
      </c>
    </row>
    <row r="17" spans="1:13">
      <c r="A17" s="22" t="s">
        <v>107</v>
      </c>
      <c r="B17">
        <v>0.43443392004665699</v>
      </c>
      <c r="C17">
        <v>0.19541422131363401</v>
      </c>
      <c r="D17">
        <v>1.3846798854299999E-3</v>
      </c>
      <c r="E17">
        <v>2.1457877959926899E-3</v>
      </c>
      <c r="F17">
        <v>0.1729311817766</v>
      </c>
      <c r="G17">
        <v>6.2558049274999999E-2</v>
      </c>
      <c r="H17" s="8">
        <v>80</v>
      </c>
      <c r="I17" s="8">
        <v>69</v>
      </c>
      <c r="J17" s="8">
        <v>4</v>
      </c>
      <c r="K17" s="8">
        <v>58</v>
      </c>
      <c r="L17" s="8">
        <v>58.8</v>
      </c>
      <c r="M17" s="8">
        <v>49.8</v>
      </c>
    </row>
    <row r="18" spans="1:13">
      <c r="A18" s="22" t="s">
        <v>108</v>
      </c>
      <c r="B18">
        <v>1.9056699999999999E-3</v>
      </c>
      <c r="C18" s="8">
        <v>0</v>
      </c>
      <c r="D18" s="8">
        <v>0</v>
      </c>
      <c r="E18" s="8">
        <v>0</v>
      </c>
      <c r="F18" s="8">
        <v>0</v>
      </c>
      <c r="G18">
        <v>1.9056699999999999E-3</v>
      </c>
      <c r="H18" s="8">
        <v>33</v>
      </c>
      <c r="I18" s="8">
        <v>28</v>
      </c>
      <c r="J18" s="8">
        <v>58</v>
      </c>
      <c r="K18" s="8">
        <v>49.6</v>
      </c>
      <c r="L18" s="8">
        <v>16.7</v>
      </c>
      <c r="M18" s="8">
        <v>27.6</v>
      </c>
    </row>
    <row r="19" spans="1:13">
      <c r="A19" s="22" t="s">
        <v>111</v>
      </c>
      <c r="B19">
        <v>3.78845415E-2</v>
      </c>
      <c r="C19" s="31">
        <v>0</v>
      </c>
      <c r="D19" s="31">
        <v>0</v>
      </c>
      <c r="E19" s="31">
        <v>0</v>
      </c>
      <c r="F19" s="8">
        <v>0</v>
      </c>
      <c r="G19">
        <v>3.78845415E-2</v>
      </c>
      <c r="H19" s="8">
        <v>39</v>
      </c>
      <c r="I19" s="8">
        <v>43</v>
      </c>
      <c r="J19" s="8">
        <v>21</v>
      </c>
      <c r="K19" s="8">
        <v>37.5</v>
      </c>
      <c r="L19" s="8">
        <v>13.7</v>
      </c>
      <c r="M19" s="8">
        <v>23.3</v>
      </c>
    </row>
    <row r="20" spans="1:13">
      <c r="A20" s="22" t="s">
        <v>112</v>
      </c>
      <c r="B20">
        <v>0.28547580641065801</v>
      </c>
      <c r="C20" s="8">
        <v>0</v>
      </c>
      <c r="D20">
        <v>8.7479904098999806E-2</v>
      </c>
      <c r="E20">
        <v>0.15026510231165799</v>
      </c>
      <c r="F20" s="8">
        <v>0</v>
      </c>
      <c r="G20">
        <v>4.7730799999999997E-2</v>
      </c>
      <c r="H20" s="8">
        <v>34</v>
      </c>
      <c r="I20" s="8">
        <v>26</v>
      </c>
      <c r="J20" s="8">
        <v>9</v>
      </c>
      <c r="K20" s="8">
        <v>33</v>
      </c>
      <c r="L20" s="8">
        <v>15.4</v>
      </c>
      <c r="M20" s="8">
        <v>35.4</v>
      </c>
    </row>
    <row r="21" spans="1:13">
      <c r="A21" s="22" t="s">
        <v>113</v>
      </c>
      <c r="B21">
        <v>23.458860674513399</v>
      </c>
      <c r="C21">
        <v>1.1604315941373999</v>
      </c>
      <c r="D21">
        <v>6.6477726659214103</v>
      </c>
      <c r="E21">
        <v>10.744366071845899</v>
      </c>
      <c r="F21">
        <v>1.07946514493714</v>
      </c>
      <c r="G21">
        <v>3.8268251976715</v>
      </c>
      <c r="H21" s="8">
        <v>84</v>
      </c>
      <c r="I21" s="8">
        <v>79</v>
      </c>
      <c r="J21" s="8">
        <v>23</v>
      </c>
      <c r="K21" s="8">
        <v>52.5</v>
      </c>
      <c r="L21" s="8">
        <v>59.5</v>
      </c>
      <c r="M21" s="8">
        <v>28.2</v>
      </c>
    </row>
    <row r="22" spans="1:13">
      <c r="A22" s="22" t="s">
        <v>119</v>
      </c>
      <c r="B22">
        <v>0.43901146863224</v>
      </c>
      <c r="C22">
        <v>2.6220411329043101E-2</v>
      </c>
      <c r="D22">
        <v>5.6462028666804297E-2</v>
      </c>
      <c r="E22">
        <v>1.9962209016393399E-2</v>
      </c>
      <c r="F22" s="8">
        <v>0</v>
      </c>
      <c r="G22">
        <v>0.33636681961999998</v>
      </c>
      <c r="H22" s="8">
        <v>88</v>
      </c>
      <c r="I22" s="8">
        <v>74</v>
      </c>
      <c r="J22" s="8">
        <v>33</v>
      </c>
      <c r="K22" s="8">
        <v>51.2</v>
      </c>
      <c r="L22" s="8">
        <v>46.4</v>
      </c>
      <c r="M22" s="8">
        <v>35.799999999999997</v>
      </c>
    </row>
    <row r="23" spans="1:13">
      <c r="A23" s="22" t="s">
        <v>120</v>
      </c>
      <c r="B23">
        <v>123.839248839411</v>
      </c>
      <c r="C23">
        <v>87.634713183355203</v>
      </c>
      <c r="D23">
        <v>6.3623124060148797</v>
      </c>
      <c r="E23">
        <v>8.2152476330513409</v>
      </c>
      <c r="F23">
        <v>3.5684974</v>
      </c>
      <c r="G23">
        <v>18.058478216990501</v>
      </c>
      <c r="H23" s="8">
        <v>72</v>
      </c>
      <c r="I23" s="8">
        <v>72</v>
      </c>
      <c r="J23" s="8">
        <v>1105</v>
      </c>
      <c r="K23" s="8">
        <v>24.5</v>
      </c>
      <c r="L23" s="8">
        <v>28.6</v>
      </c>
      <c r="M23" s="8">
        <v>30.4</v>
      </c>
    </row>
    <row r="24" spans="1:13">
      <c r="A24" s="22" t="s">
        <v>121</v>
      </c>
      <c r="B24">
        <v>5.0643434767019899</v>
      </c>
      <c r="C24">
        <v>2.2146832894587298</v>
      </c>
      <c r="D24">
        <v>0.37645205691349398</v>
      </c>
      <c r="E24">
        <v>1.9521872188717599</v>
      </c>
      <c r="F24" s="8">
        <v>0</v>
      </c>
      <c r="G24" s="38">
        <v>0.52102090999999995</v>
      </c>
      <c r="H24" s="8">
        <v>72</v>
      </c>
      <c r="I24" s="8">
        <v>56</v>
      </c>
      <c r="J24" s="8">
        <v>81</v>
      </c>
      <c r="K24" s="8">
        <v>49.6</v>
      </c>
      <c r="L24" s="8">
        <v>60.3</v>
      </c>
      <c r="M24" s="8">
        <v>30.2</v>
      </c>
    </row>
    <row r="25" spans="1:13">
      <c r="A25" s="22" t="s">
        <v>122</v>
      </c>
      <c r="B25">
        <v>0.10092686565</v>
      </c>
      <c r="C25" s="8">
        <v>0</v>
      </c>
      <c r="D25" s="8">
        <v>0</v>
      </c>
      <c r="E25" s="8">
        <v>0</v>
      </c>
      <c r="F25" s="8">
        <v>0</v>
      </c>
      <c r="G25">
        <v>0.10092686565</v>
      </c>
      <c r="H25" s="8">
        <v>67</v>
      </c>
      <c r="I25" s="8">
        <v>63</v>
      </c>
      <c r="J25" s="8">
        <v>6</v>
      </c>
      <c r="K25" s="8">
        <v>46.4</v>
      </c>
      <c r="L25" s="8">
        <v>52.5</v>
      </c>
      <c r="M25" s="8">
        <v>41.5</v>
      </c>
    </row>
    <row r="26" spans="1:13">
      <c r="A26" s="22" t="s">
        <v>125</v>
      </c>
      <c r="B26">
        <v>0.14160011254729399</v>
      </c>
      <c r="C26" s="8">
        <v>0</v>
      </c>
      <c r="D26">
        <v>3.6886003266E-2</v>
      </c>
      <c r="E26">
        <v>3.0182015662294899E-2</v>
      </c>
      <c r="F26" s="8">
        <v>0</v>
      </c>
      <c r="G26">
        <v>7.4532093618999998E-2</v>
      </c>
      <c r="H26" s="8">
        <v>66</v>
      </c>
      <c r="I26" s="8">
        <v>66</v>
      </c>
      <c r="J26" s="8">
        <v>0</v>
      </c>
      <c r="K26" s="8">
        <v>65.599999999999994</v>
      </c>
      <c r="L26" s="8">
        <v>55.3</v>
      </c>
      <c r="M26" s="8">
        <v>56.6</v>
      </c>
    </row>
    <row r="27" spans="1:13">
      <c r="A27" s="22" t="s">
        <v>130</v>
      </c>
      <c r="B27">
        <v>0.99731323445864295</v>
      </c>
      <c r="C27">
        <v>0.56180485309829697</v>
      </c>
      <c r="D27">
        <v>7.6450606515303396E-3</v>
      </c>
      <c r="E27">
        <v>3.6849056284152999E-3</v>
      </c>
      <c r="F27">
        <v>0.32326103802990003</v>
      </c>
      <c r="G27">
        <v>0.1009173770505</v>
      </c>
      <c r="H27" s="8">
        <v>72</v>
      </c>
      <c r="I27" s="8">
        <v>77</v>
      </c>
      <c r="J27" s="8">
        <v>0</v>
      </c>
      <c r="K27" s="8">
        <v>64.5</v>
      </c>
      <c r="L27" s="8">
        <v>74.900000000000006</v>
      </c>
      <c r="M27" s="8">
        <v>52.8</v>
      </c>
    </row>
    <row r="28" spans="1:13">
      <c r="A28" s="22" t="s">
        <v>131</v>
      </c>
      <c r="B28">
        <v>0.545530959207989</v>
      </c>
      <c r="C28" s="8">
        <v>0</v>
      </c>
      <c r="D28">
        <v>0.12120525140409601</v>
      </c>
      <c r="E28">
        <v>0.21149670621839201</v>
      </c>
      <c r="F28" s="8">
        <v>0</v>
      </c>
      <c r="G28">
        <v>0.2128290015855</v>
      </c>
      <c r="H28" s="8">
        <v>94</v>
      </c>
      <c r="I28" s="8">
        <v>83</v>
      </c>
      <c r="J28" s="8">
        <v>0</v>
      </c>
      <c r="K28" s="8">
        <v>61.3</v>
      </c>
      <c r="L28" s="8">
        <v>68.3</v>
      </c>
      <c r="M28" s="8">
        <v>92.4</v>
      </c>
    </row>
    <row r="29" spans="1:13">
      <c r="A29" s="22" t="s">
        <v>134</v>
      </c>
      <c r="B29">
        <v>2.0672823925E-2</v>
      </c>
      <c r="C29" s="8">
        <v>0</v>
      </c>
      <c r="D29" s="8">
        <v>0</v>
      </c>
      <c r="E29" s="8">
        <v>0</v>
      </c>
      <c r="F29" s="8">
        <v>0</v>
      </c>
      <c r="G29">
        <v>2.0672823925E-2</v>
      </c>
      <c r="H29" s="8">
        <v>61</v>
      </c>
      <c r="I29" s="8">
        <v>30</v>
      </c>
      <c r="J29" s="8">
        <v>7</v>
      </c>
      <c r="K29" s="8">
        <v>51.8</v>
      </c>
      <c r="L29" s="8">
        <v>18.2</v>
      </c>
      <c r="M29" s="8">
        <v>36.5</v>
      </c>
    </row>
    <row r="30" spans="1:13">
      <c r="A30" s="22" t="s">
        <v>135</v>
      </c>
      <c r="B30">
        <v>0.15013952992898399</v>
      </c>
      <c r="C30" s="8">
        <v>0</v>
      </c>
      <c r="D30">
        <v>1.3963200159999999E-5</v>
      </c>
      <c r="E30">
        <v>5.1498907103824702E-2</v>
      </c>
      <c r="F30" s="8">
        <v>0</v>
      </c>
      <c r="G30">
        <v>9.8626659625000002E-2</v>
      </c>
      <c r="H30" s="8">
        <v>40</v>
      </c>
      <c r="I30" s="8">
        <v>16</v>
      </c>
      <c r="J30" s="8">
        <v>28</v>
      </c>
      <c r="K30" s="8">
        <v>46.1</v>
      </c>
      <c r="L30" s="8">
        <v>4.0999999999999996</v>
      </c>
      <c r="M30" s="8">
        <v>35.1</v>
      </c>
    </row>
    <row r="31" spans="1:13">
      <c r="A31" s="22" t="s">
        <v>137</v>
      </c>
      <c r="B31">
        <v>1.40759063782089</v>
      </c>
      <c r="C31" s="8">
        <v>0</v>
      </c>
      <c r="D31">
        <v>1.27689942652798E-2</v>
      </c>
      <c r="E31">
        <v>1.1679189083106101</v>
      </c>
      <c r="F31" s="8">
        <v>0</v>
      </c>
      <c r="G31">
        <v>0.22690273524499999</v>
      </c>
      <c r="H31" s="8">
        <v>59</v>
      </c>
      <c r="I31" s="8">
        <v>59</v>
      </c>
      <c r="J31" s="8">
        <v>5</v>
      </c>
      <c r="K31" s="8">
        <v>49.2</v>
      </c>
      <c r="L31" s="8">
        <v>38.5</v>
      </c>
      <c r="M31" s="8">
        <v>43.2</v>
      </c>
    </row>
    <row r="32" spans="1:13">
      <c r="A32" s="22" t="s">
        <v>138</v>
      </c>
      <c r="B32">
        <v>4.1707490221462704</v>
      </c>
      <c r="C32" s="8">
        <v>0</v>
      </c>
      <c r="D32">
        <v>2.4653708340390001</v>
      </c>
      <c r="E32">
        <v>1.51740254310727</v>
      </c>
      <c r="F32" s="8">
        <v>0</v>
      </c>
      <c r="G32">
        <v>0.187975645</v>
      </c>
      <c r="H32" s="8">
        <v>85</v>
      </c>
      <c r="I32" s="8">
        <v>42</v>
      </c>
      <c r="J32" s="8">
        <v>9</v>
      </c>
      <c r="K32" s="8">
        <v>43.7</v>
      </c>
      <c r="L32" s="8">
        <v>19.8</v>
      </c>
      <c r="M32" s="8">
        <v>28.5</v>
      </c>
    </row>
    <row r="33" spans="1:13">
      <c r="A33" s="22" t="s">
        <v>139</v>
      </c>
      <c r="B33">
        <v>3.7846249999999998E-2</v>
      </c>
      <c r="C33" s="8">
        <v>0</v>
      </c>
      <c r="D33" s="8">
        <v>0</v>
      </c>
      <c r="E33" s="8">
        <v>0</v>
      </c>
      <c r="F33" s="8">
        <v>0</v>
      </c>
      <c r="G33">
        <v>3.7846249999999998E-2</v>
      </c>
      <c r="H33" s="8">
        <v>63</v>
      </c>
      <c r="I33" s="8">
        <v>41</v>
      </c>
      <c r="J33" s="8">
        <v>9</v>
      </c>
      <c r="K33" s="8">
        <v>33</v>
      </c>
      <c r="L33" s="8">
        <v>52.1</v>
      </c>
      <c r="M33" s="8">
        <v>50.2</v>
      </c>
    </row>
    <row r="34" spans="1:13">
      <c r="A34" s="25" t="s">
        <v>144</v>
      </c>
      <c r="B34">
        <v>0.12662108550000001</v>
      </c>
      <c r="C34" s="8">
        <v>0</v>
      </c>
      <c r="D34" s="8">
        <v>0</v>
      </c>
      <c r="E34" s="8">
        <v>0</v>
      </c>
      <c r="F34" s="8">
        <v>0</v>
      </c>
      <c r="G34">
        <v>0.12662108550000001</v>
      </c>
      <c r="H34" s="26">
        <v>42</v>
      </c>
      <c r="I34" s="26">
        <v>35</v>
      </c>
      <c r="J34" s="8">
        <v>61</v>
      </c>
      <c r="K34" s="8">
        <v>45.6</v>
      </c>
      <c r="L34" s="8">
        <v>5</v>
      </c>
      <c r="M34" s="8">
        <v>19.899999999999999</v>
      </c>
    </row>
    <row r="35" spans="1:13">
      <c r="A35" s="22" t="s">
        <v>147</v>
      </c>
      <c r="B35">
        <v>0.53704027065517301</v>
      </c>
      <c r="C35" s="8">
        <v>0</v>
      </c>
      <c r="D35" s="8">
        <v>0</v>
      </c>
      <c r="E35" s="8">
        <v>0</v>
      </c>
      <c r="F35">
        <v>0.233922437284173</v>
      </c>
      <c r="G35">
        <v>0.30311783337100001</v>
      </c>
      <c r="H35" s="8">
        <v>82</v>
      </c>
      <c r="I35" s="8">
        <v>76</v>
      </c>
      <c r="J35" s="8">
        <v>0</v>
      </c>
      <c r="K35" s="8">
        <v>62</v>
      </c>
      <c r="L35" s="8">
        <v>69.599999999999994</v>
      </c>
      <c r="M35" s="8">
        <v>83.6</v>
      </c>
    </row>
    <row r="36" spans="1:13">
      <c r="A36" s="22" t="s">
        <v>148</v>
      </c>
      <c r="B36">
        <v>5.1045867086367496</v>
      </c>
      <c r="C36" s="8">
        <v>0</v>
      </c>
      <c r="D36">
        <v>6.5202670170439402E-4</v>
      </c>
      <c r="E36">
        <v>3.1185724423782899E-2</v>
      </c>
      <c r="F36">
        <v>3.9398392443902601</v>
      </c>
      <c r="G36">
        <v>1.132909713121</v>
      </c>
      <c r="H36" s="8">
        <v>88</v>
      </c>
      <c r="I36" s="8">
        <v>69</v>
      </c>
      <c r="J36" s="8">
        <v>0</v>
      </c>
      <c r="K36" s="8">
        <v>64</v>
      </c>
      <c r="L36" s="8">
        <v>63.8</v>
      </c>
      <c r="M36" s="8">
        <v>49.5</v>
      </c>
    </row>
    <row r="37" spans="1:13">
      <c r="A37" s="22" t="s">
        <v>152</v>
      </c>
      <c r="B37">
        <v>8.07945307948328E-2</v>
      </c>
      <c r="C37">
        <v>2.5950204129554798E-4</v>
      </c>
      <c r="D37">
        <v>2.9965052569999899E-4</v>
      </c>
      <c r="E37">
        <v>7.3438782783726301E-4</v>
      </c>
      <c r="F37">
        <v>0</v>
      </c>
      <c r="G37" s="38">
        <v>7.9500989999999994E-2</v>
      </c>
      <c r="H37" s="8">
        <v>28</v>
      </c>
      <c r="I37" s="8">
        <v>25</v>
      </c>
      <c r="J37" s="8">
        <v>3</v>
      </c>
      <c r="K37" s="8">
        <v>35.700000000000003</v>
      </c>
      <c r="L37" s="8">
        <v>43.1</v>
      </c>
      <c r="M37" s="8">
        <v>43.6</v>
      </c>
    </row>
    <row r="38" spans="1:13">
      <c r="A38" s="22" t="s">
        <v>153</v>
      </c>
      <c r="B38">
        <v>4.4780071178468104</v>
      </c>
      <c r="C38">
        <v>1.1795020713601601</v>
      </c>
      <c r="D38">
        <v>0.191815374031481</v>
      </c>
      <c r="E38">
        <v>8.1568276346365404E-2</v>
      </c>
      <c r="F38">
        <v>0.70942305699929997</v>
      </c>
      <c r="G38">
        <v>2.3156983391094998</v>
      </c>
      <c r="H38" s="8">
        <v>92</v>
      </c>
      <c r="I38" s="8">
        <v>83</v>
      </c>
      <c r="J38" s="8">
        <v>43</v>
      </c>
      <c r="K38" s="8">
        <v>66.8</v>
      </c>
      <c r="L38" s="8">
        <v>69</v>
      </c>
      <c r="M38" s="8">
        <v>47.2</v>
      </c>
    </row>
    <row r="39" spans="1:13">
      <c r="A39" s="22" t="s">
        <v>154</v>
      </c>
      <c r="B39">
        <v>0.55393648349332902</v>
      </c>
      <c r="C39" s="8">
        <v>0</v>
      </c>
      <c r="D39">
        <v>5.5396622781329598E-2</v>
      </c>
      <c r="E39">
        <v>0.43333210771199998</v>
      </c>
      <c r="F39" s="8">
        <v>0</v>
      </c>
      <c r="G39" s="38">
        <v>6.5207749999999995E-2</v>
      </c>
      <c r="H39" s="8">
        <v>76</v>
      </c>
      <c r="I39" s="8">
        <v>42</v>
      </c>
      <c r="J39" s="8">
        <v>23</v>
      </c>
      <c r="K39" s="8">
        <v>34.700000000000003</v>
      </c>
      <c r="L39" s="8">
        <v>13.6</v>
      </c>
      <c r="M39" s="8">
        <v>23.8</v>
      </c>
    </row>
    <row r="40" spans="1:13">
      <c r="A40" s="22" t="s">
        <v>156</v>
      </c>
      <c r="B40">
        <v>0.29174446270769799</v>
      </c>
      <c r="C40">
        <v>0.133967886618888</v>
      </c>
      <c r="D40">
        <v>5.84568603737E-4</v>
      </c>
      <c r="E40">
        <v>7.2452436810730098E-3</v>
      </c>
      <c r="F40" s="8">
        <v>0</v>
      </c>
      <c r="G40" s="38">
        <v>0.14994676000000001</v>
      </c>
      <c r="H40" s="8">
        <v>83</v>
      </c>
      <c r="I40" s="8">
        <v>65</v>
      </c>
      <c r="J40" s="8">
        <v>1</v>
      </c>
      <c r="K40" s="8">
        <v>53.9</v>
      </c>
      <c r="L40" s="8">
        <v>59.9</v>
      </c>
      <c r="M40" s="8">
        <v>50.8</v>
      </c>
    </row>
    <row r="41" spans="1:13">
      <c r="A41" s="22" t="s">
        <v>160</v>
      </c>
      <c r="B41">
        <v>9.2653777148744607E-2</v>
      </c>
      <c r="C41" s="8">
        <v>0</v>
      </c>
      <c r="D41" s="8">
        <v>0</v>
      </c>
      <c r="E41">
        <v>1.9152519999744599E-2</v>
      </c>
      <c r="F41" s="8">
        <v>0</v>
      </c>
      <c r="G41" s="38">
        <v>7.3501259999999999E-2</v>
      </c>
      <c r="H41" s="8">
        <v>52</v>
      </c>
      <c r="I41" s="8">
        <v>13</v>
      </c>
      <c r="J41" s="8">
        <v>19</v>
      </c>
      <c r="K41" s="8">
        <v>29</v>
      </c>
      <c r="L41" s="8">
        <v>20.6</v>
      </c>
      <c r="M41" s="8">
        <v>26.7</v>
      </c>
    </row>
    <row r="42" spans="1:13">
      <c r="A42" s="22" t="s">
        <v>165</v>
      </c>
      <c r="B42">
        <v>5.7134310804999998E-2</v>
      </c>
      <c r="C42" s="8">
        <v>0</v>
      </c>
      <c r="D42" s="8">
        <v>0</v>
      </c>
      <c r="E42" s="8">
        <v>0</v>
      </c>
      <c r="F42" s="8">
        <v>0</v>
      </c>
      <c r="G42" s="38">
        <v>5.7134310000000001E-2</v>
      </c>
      <c r="H42" s="8">
        <v>47</v>
      </c>
      <c r="I42" s="8">
        <v>21</v>
      </c>
      <c r="J42" s="8">
        <v>40</v>
      </c>
      <c r="K42" s="8">
        <v>40.9</v>
      </c>
      <c r="L42" s="8">
        <v>28.4</v>
      </c>
      <c r="M42" s="8">
        <v>35</v>
      </c>
    </row>
    <row r="43" spans="1:13">
      <c r="A43" s="22" t="s">
        <v>167</v>
      </c>
      <c r="B43">
        <v>0.36917729356678602</v>
      </c>
      <c r="C43">
        <v>4.5386885111648602E-2</v>
      </c>
      <c r="D43">
        <v>5.8079258322714399E-2</v>
      </c>
      <c r="E43">
        <v>4.8293236022923403E-2</v>
      </c>
      <c r="F43">
        <v>0.15502113000000001</v>
      </c>
      <c r="G43">
        <v>6.2396784109500003E-2</v>
      </c>
      <c r="H43" s="8">
        <v>81</v>
      </c>
      <c r="I43" s="8">
        <v>85</v>
      </c>
      <c r="J43" s="8">
        <v>0</v>
      </c>
      <c r="K43" s="8">
        <v>65</v>
      </c>
      <c r="L43" s="8">
        <v>43.4</v>
      </c>
      <c r="M43" s="8">
        <v>48.1</v>
      </c>
    </row>
    <row r="44" spans="1:13">
      <c r="A44" s="22" t="s">
        <v>169</v>
      </c>
      <c r="B44">
        <v>18.322181169577799</v>
      </c>
      <c r="C44">
        <v>12.3361856314328</v>
      </c>
      <c r="D44">
        <v>1.1580820617900001</v>
      </c>
      <c r="E44">
        <v>1.6187339493353201</v>
      </c>
      <c r="F44">
        <v>0.45678104000000003</v>
      </c>
      <c r="G44">
        <v>2.7523984870196299</v>
      </c>
      <c r="H44" s="8">
        <v>88</v>
      </c>
      <c r="I44" s="8">
        <v>85</v>
      </c>
      <c r="J44" s="8">
        <v>1360</v>
      </c>
      <c r="K44" s="8">
        <v>19.3</v>
      </c>
      <c r="L44" s="8">
        <v>12.9</v>
      </c>
      <c r="M44" s="8">
        <v>21.7</v>
      </c>
    </row>
    <row r="45" spans="1:13">
      <c r="A45" s="22" t="s">
        <v>170</v>
      </c>
      <c r="B45">
        <v>17.051618358495102</v>
      </c>
      <c r="C45">
        <v>12.177612709251701</v>
      </c>
      <c r="D45">
        <v>2.5821780324799999</v>
      </c>
      <c r="E45">
        <v>1.5943754167634501</v>
      </c>
      <c r="F45" s="31">
        <v>0</v>
      </c>
      <c r="G45">
        <v>0.69745219999999997</v>
      </c>
      <c r="H45" s="8">
        <v>53</v>
      </c>
      <c r="I45" s="8">
        <v>32</v>
      </c>
      <c r="J45" s="8">
        <v>47</v>
      </c>
      <c r="K45" s="8">
        <v>34.1</v>
      </c>
      <c r="L45" s="8">
        <v>29.5</v>
      </c>
      <c r="M45" s="8">
        <v>23.2</v>
      </c>
    </row>
    <row r="46" spans="1:13">
      <c r="A46" s="22" t="s">
        <v>173</v>
      </c>
      <c r="B46">
        <v>0.201538061495664</v>
      </c>
      <c r="C46" s="8">
        <v>0</v>
      </c>
      <c r="D46">
        <v>9.5003461320664603E-2</v>
      </c>
      <c r="E46" s="8">
        <v>0</v>
      </c>
      <c r="F46" s="8">
        <v>0</v>
      </c>
      <c r="G46" s="38">
        <v>0.10653459999999999</v>
      </c>
      <c r="H46" s="8">
        <v>88</v>
      </c>
      <c r="I46" s="8">
        <v>80</v>
      </c>
      <c r="J46" s="8">
        <v>0</v>
      </c>
      <c r="K46" s="8">
        <v>50.9</v>
      </c>
      <c r="L46" s="8">
        <v>67.900000000000006</v>
      </c>
      <c r="M46" s="8">
        <v>48.2</v>
      </c>
    </row>
    <row r="47" spans="1:13">
      <c r="A47" s="22" t="s">
        <v>175</v>
      </c>
      <c r="B47">
        <v>0.40001327517332103</v>
      </c>
      <c r="C47" s="8">
        <v>0</v>
      </c>
      <c r="D47">
        <v>0.37401779917332101</v>
      </c>
      <c r="E47" s="8">
        <v>0</v>
      </c>
      <c r="F47" s="8">
        <v>0</v>
      </c>
      <c r="G47" s="38">
        <v>2.5995480000000001E-2</v>
      </c>
      <c r="H47" s="8">
        <v>77</v>
      </c>
      <c r="I47" s="8">
        <v>85</v>
      </c>
      <c r="J47" s="8">
        <v>2</v>
      </c>
      <c r="K47" s="8">
        <v>42.5</v>
      </c>
      <c r="L47" s="8">
        <v>62.7</v>
      </c>
      <c r="M47" s="8">
        <v>39.9</v>
      </c>
    </row>
    <row r="48" spans="1:13">
      <c r="A48" s="22" t="s">
        <v>176</v>
      </c>
      <c r="B48">
        <v>1.25093741080749</v>
      </c>
      <c r="C48" s="8">
        <v>0</v>
      </c>
      <c r="D48">
        <v>0.17344099156899101</v>
      </c>
      <c r="E48">
        <v>0.17454529329950599</v>
      </c>
      <c r="F48" s="8">
        <v>0</v>
      </c>
      <c r="G48" s="38">
        <v>0.90295113000000005</v>
      </c>
      <c r="H48" s="8">
        <v>82</v>
      </c>
      <c r="I48" s="8">
        <v>80</v>
      </c>
      <c r="J48" s="8">
        <v>3</v>
      </c>
      <c r="K48" s="8">
        <v>57.2</v>
      </c>
      <c r="L48" s="8">
        <v>60.6</v>
      </c>
      <c r="M48" s="8">
        <v>48.2</v>
      </c>
    </row>
    <row r="49" spans="1:13">
      <c r="A49" s="22" t="s">
        <v>179</v>
      </c>
      <c r="B49">
        <v>4.8194928599999999E-3</v>
      </c>
      <c r="C49" s="8">
        <v>0</v>
      </c>
      <c r="D49" s="8">
        <v>0</v>
      </c>
      <c r="E49" s="8">
        <v>0</v>
      </c>
      <c r="F49" s="8">
        <v>0</v>
      </c>
      <c r="G49" s="38">
        <v>4.8194900000000001E-3</v>
      </c>
      <c r="H49" s="8">
        <v>56</v>
      </c>
      <c r="I49" s="8">
        <v>51</v>
      </c>
      <c r="J49" s="8">
        <v>0</v>
      </c>
      <c r="K49" s="8">
        <v>39.799999999999997</v>
      </c>
      <c r="L49" s="8">
        <v>28</v>
      </c>
      <c r="M49" s="8">
        <v>54.1</v>
      </c>
    </row>
    <row r="50" spans="1:13">
      <c r="A50" s="22" t="s">
        <v>180</v>
      </c>
      <c r="B50">
        <v>2.4458076661701398</v>
      </c>
      <c r="C50">
        <v>1.96156180133551E-2</v>
      </c>
      <c r="D50">
        <v>0.102632016081695</v>
      </c>
      <c r="E50">
        <v>1.9111390026690302E-2</v>
      </c>
      <c r="F50">
        <v>0.64268449009240003</v>
      </c>
      <c r="G50">
        <v>1.661764151956</v>
      </c>
      <c r="H50" s="8">
        <v>78</v>
      </c>
      <c r="I50" s="8">
        <v>68</v>
      </c>
      <c r="J50" s="8">
        <v>0</v>
      </c>
      <c r="K50" s="8">
        <v>59.6</v>
      </c>
      <c r="L50" s="8">
        <v>52.8</v>
      </c>
      <c r="M50" s="8">
        <v>41.2</v>
      </c>
    </row>
    <row r="51" spans="1:13">
      <c r="A51" s="22" t="s">
        <v>181</v>
      </c>
      <c r="B51">
        <v>2.98033391545846E-2</v>
      </c>
      <c r="C51" s="8">
        <v>0</v>
      </c>
      <c r="D51">
        <v>3.4287681928360002E-3</v>
      </c>
      <c r="E51">
        <v>4.7828961748634098E-5</v>
      </c>
      <c r="F51" s="8">
        <v>0</v>
      </c>
      <c r="G51" s="38">
        <v>2.6326740000000001E-2</v>
      </c>
      <c r="H51" s="8">
        <v>72</v>
      </c>
      <c r="I51" s="8">
        <v>68</v>
      </c>
      <c r="J51" s="8">
        <v>1</v>
      </c>
      <c r="K51" s="8">
        <v>40.299999999999997</v>
      </c>
      <c r="L51" s="8">
        <v>40</v>
      </c>
      <c r="M51" s="8">
        <v>42.8</v>
      </c>
    </row>
    <row r="52" spans="1:13">
      <c r="A52" s="22" t="s">
        <v>182</v>
      </c>
      <c r="B52">
        <v>8.0291954796574991</v>
      </c>
      <c r="C52">
        <v>2.8405593333758099</v>
      </c>
      <c r="D52">
        <v>0.935362896091397</v>
      </c>
      <c r="E52">
        <v>4.1504413467952803</v>
      </c>
      <c r="F52" s="8">
        <v>0</v>
      </c>
      <c r="G52" s="38">
        <v>0.1028319</v>
      </c>
      <c r="H52" s="8">
        <v>56</v>
      </c>
      <c r="I52" s="8">
        <v>42</v>
      </c>
      <c r="J52" s="8">
        <v>4</v>
      </c>
      <c r="K52" s="8">
        <v>48.1</v>
      </c>
      <c r="L52" s="8">
        <v>27.7</v>
      </c>
      <c r="M52" s="8">
        <v>34.9</v>
      </c>
    </row>
    <row r="53" spans="1:13">
      <c r="A53" s="22" t="s">
        <v>183</v>
      </c>
      <c r="B53">
        <v>9.1216586500000002E-2</v>
      </c>
      <c r="C53" s="8">
        <v>0</v>
      </c>
      <c r="D53" s="8">
        <v>0</v>
      </c>
      <c r="E53" s="8">
        <v>0</v>
      </c>
      <c r="F53" s="8">
        <v>0</v>
      </c>
      <c r="G53" s="38">
        <v>9.121659E-2</v>
      </c>
      <c r="H53" s="8">
        <v>65</v>
      </c>
      <c r="I53" s="8">
        <v>58</v>
      </c>
      <c r="J53" s="8">
        <v>196</v>
      </c>
      <c r="K53" s="8">
        <v>34.6</v>
      </c>
      <c r="L53" s="8">
        <v>13.3</v>
      </c>
      <c r="M53" s="8">
        <v>29</v>
      </c>
    </row>
    <row r="54" spans="1:13">
      <c r="A54" s="25" t="s">
        <v>318</v>
      </c>
      <c r="B54">
        <v>0.16485385657691401</v>
      </c>
      <c r="C54">
        <v>4.0109396548473897E-2</v>
      </c>
      <c r="D54">
        <v>9.4479190397399999E-4</v>
      </c>
      <c r="E54">
        <v>1.75165632446634E-3</v>
      </c>
      <c r="F54" s="8">
        <v>0</v>
      </c>
      <c r="G54">
        <v>0.12204801179999999</v>
      </c>
      <c r="H54" s="8">
        <v>34</v>
      </c>
      <c r="I54" s="8">
        <v>28</v>
      </c>
      <c r="J54" s="8">
        <v>0</v>
      </c>
      <c r="K54" s="8">
        <v>40.4</v>
      </c>
      <c r="L54" s="8">
        <v>7.2</v>
      </c>
      <c r="M54" s="8">
        <v>34</v>
      </c>
    </row>
    <row r="55" spans="1:13">
      <c r="A55" s="22" t="s">
        <v>317</v>
      </c>
      <c r="B55">
        <v>0.49873181207398098</v>
      </c>
      <c r="C55">
        <v>0.322172377073981</v>
      </c>
      <c r="D55" s="31">
        <v>0</v>
      </c>
      <c r="E55" s="31">
        <v>0</v>
      </c>
      <c r="F55" s="31">
        <v>0</v>
      </c>
      <c r="G55" s="38">
        <v>0.17655944000000001</v>
      </c>
      <c r="H55" s="8">
        <v>32</v>
      </c>
      <c r="I55" s="8">
        <v>14</v>
      </c>
      <c r="J55" s="8">
        <v>24</v>
      </c>
      <c r="K55" s="8">
        <v>46.9</v>
      </c>
      <c r="L55" s="8">
        <v>16.7</v>
      </c>
      <c r="M55" s="8">
        <v>16.2</v>
      </c>
    </row>
    <row r="56" spans="1:13">
      <c r="A56" s="22" t="s">
        <v>191</v>
      </c>
      <c r="B56">
        <v>9.9292174800000004E-3</v>
      </c>
      <c r="C56" s="8">
        <v>0</v>
      </c>
      <c r="D56" s="8">
        <v>0</v>
      </c>
      <c r="E56" s="8">
        <v>0</v>
      </c>
      <c r="F56" s="8">
        <v>0</v>
      </c>
      <c r="G56">
        <v>9.9292174800000004E-3</v>
      </c>
      <c r="H56" s="8">
        <v>64</v>
      </c>
      <c r="I56" s="8">
        <v>43</v>
      </c>
      <c r="J56" s="8">
        <v>0</v>
      </c>
      <c r="K56" s="8">
        <v>20.399999999999999</v>
      </c>
      <c r="L56" s="8">
        <v>44.4</v>
      </c>
      <c r="M56" s="8">
        <v>37.9</v>
      </c>
    </row>
    <row r="57" spans="1:13">
      <c r="A57" s="22" t="s">
        <v>199</v>
      </c>
      <c r="B57">
        <v>8.3119893350000005E-3</v>
      </c>
      <c r="C57" s="8">
        <v>0</v>
      </c>
      <c r="D57" s="8">
        <v>0</v>
      </c>
      <c r="E57" s="8">
        <v>0</v>
      </c>
      <c r="F57" s="8">
        <v>0</v>
      </c>
      <c r="G57" s="38">
        <v>8.31199E-3</v>
      </c>
      <c r="H57" s="8">
        <v>19</v>
      </c>
      <c r="I57" s="8">
        <v>7</v>
      </c>
      <c r="J57" s="8">
        <v>97</v>
      </c>
      <c r="K57" s="8">
        <v>29.5</v>
      </c>
      <c r="L57" s="8">
        <v>11.2</v>
      </c>
      <c r="M57" s="8">
        <v>28.4</v>
      </c>
    </row>
    <row r="58" spans="1:13">
      <c r="A58" s="22" t="s">
        <v>201</v>
      </c>
      <c r="B58">
        <v>4.4168637612564101</v>
      </c>
      <c r="C58">
        <v>7.5927004927494296E-2</v>
      </c>
      <c r="D58">
        <v>2.6739730188989999</v>
      </c>
      <c r="E58">
        <v>1.3498213524299101</v>
      </c>
      <c r="F58" s="31">
        <v>0</v>
      </c>
      <c r="G58">
        <v>0.31714238500000003</v>
      </c>
      <c r="H58" s="8">
        <v>49</v>
      </c>
      <c r="I58" s="8">
        <v>63</v>
      </c>
      <c r="J58" s="8">
        <v>14</v>
      </c>
      <c r="K58" s="8">
        <v>36</v>
      </c>
      <c r="L58" s="8">
        <v>33.799999999999997</v>
      </c>
      <c r="M58" s="8">
        <v>27.2</v>
      </c>
    </row>
    <row r="59" spans="1:13">
      <c r="A59" s="22" t="s">
        <v>203</v>
      </c>
      <c r="B59">
        <v>9.2968200000000008E-3</v>
      </c>
      <c r="C59" s="8">
        <v>0</v>
      </c>
      <c r="D59" s="8">
        <v>0</v>
      </c>
      <c r="E59" s="8">
        <v>0</v>
      </c>
      <c r="F59" s="8">
        <v>0</v>
      </c>
      <c r="G59" s="38">
        <v>9.2968200000000008E-3</v>
      </c>
      <c r="H59" s="8">
        <v>38</v>
      </c>
      <c r="I59" s="8">
        <v>22</v>
      </c>
      <c r="J59" s="8">
        <v>9</v>
      </c>
      <c r="K59" s="8">
        <v>38.4</v>
      </c>
      <c r="L59" s="8">
        <v>4.5</v>
      </c>
      <c r="M59" s="8">
        <v>21.9</v>
      </c>
    </row>
    <row r="60" spans="1:13">
      <c r="A60" s="22" t="s">
        <v>208</v>
      </c>
      <c r="B60">
        <v>5.78512956350741</v>
      </c>
      <c r="C60">
        <v>0.207907904953996</v>
      </c>
      <c r="D60">
        <v>0.98576421532432601</v>
      </c>
      <c r="E60">
        <v>3.9945459907845802</v>
      </c>
      <c r="F60">
        <v>0.1095172660065</v>
      </c>
      <c r="G60">
        <v>0.48739418643799998</v>
      </c>
      <c r="H60" s="8">
        <v>91</v>
      </c>
      <c r="I60" s="8">
        <v>64</v>
      </c>
      <c r="J60" s="8">
        <v>206</v>
      </c>
      <c r="K60" s="8">
        <v>53.7</v>
      </c>
      <c r="L60" s="8">
        <v>43.5</v>
      </c>
      <c r="M60" s="8">
        <v>38.9</v>
      </c>
    </row>
    <row r="61" spans="1:13">
      <c r="A61" s="22" t="s">
        <v>210</v>
      </c>
      <c r="B61">
        <v>3.341568375614E-3</v>
      </c>
      <c r="C61" s="8">
        <v>0</v>
      </c>
      <c r="D61">
        <v>2.2824256139999999E-6</v>
      </c>
      <c r="E61" s="8">
        <v>0</v>
      </c>
      <c r="F61" s="8">
        <v>0</v>
      </c>
      <c r="G61" s="38">
        <v>3.33929E-3</v>
      </c>
      <c r="H61" s="8">
        <v>64</v>
      </c>
      <c r="I61" s="8">
        <v>65</v>
      </c>
      <c r="J61" s="8">
        <v>0</v>
      </c>
      <c r="K61" s="8">
        <v>42.9</v>
      </c>
      <c r="L61" s="8">
        <v>17.7</v>
      </c>
      <c r="M61" s="8">
        <v>42.9</v>
      </c>
    </row>
    <row r="62" spans="1:13">
      <c r="A62" s="22" t="s">
        <v>214</v>
      </c>
      <c r="B62">
        <v>2.8684279244283999E-2</v>
      </c>
      <c r="C62">
        <v>1.4749904439283999E-2</v>
      </c>
      <c r="D62" s="8">
        <v>0</v>
      </c>
      <c r="E62" s="8">
        <v>0</v>
      </c>
      <c r="F62" s="8">
        <v>0</v>
      </c>
      <c r="G62">
        <v>1.3934374805E-2</v>
      </c>
      <c r="H62" s="8">
        <v>46</v>
      </c>
      <c r="I62" s="8">
        <v>57</v>
      </c>
      <c r="J62" s="8">
        <v>0</v>
      </c>
      <c r="K62" s="8">
        <v>44.7</v>
      </c>
      <c r="L62" s="8">
        <v>15.5</v>
      </c>
      <c r="M62" s="8">
        <v>52.3</v>
      </c>
    </row>
    <row r="63" spans="1:13">
      <c r="A63" s="22" t="s">
        <v>215</v>
      </c>
      <c r="B63">
        <v>7.1747687148660699E-2</v>
      </c>
      <c r="C63" s="8">
        <v>0</v>
      </c>
      <c r="D63">
        <v>3.8627039830050002E-3</v>
      </c>
      <c r="E63">
        <v>1.46598360655738E-4</v>
      </c>
      <c r="F63" s="8">
        <v>0</v>
      </c>
      <c r="G63">
        <v>6.7738384804999996E-2</v>
      </c>
      <c r="H63" s="8">
        <v>67</v>
      </c>
      <c r="I63" s="8">
        <v>54</v>
      </c>
      <c r="J63" s="8">
        <v>11</v>
      </c>
      <c r="K63" s="8">
        <v>27.2</v>
      </c>
      <c r="L63" s="8">
        <v>30.8</v>
      </c>
      <c r="M63" s="8">
        <v>29.5</v>
      </c>
    </row>
    <row r="64" spans="1:13">
      <c r="A64" s="22" t="s">
        <v>216</v>
      </c>
      <c r="B64">
        <v>0.62290767440338801</v>
      </c>
      <c r="C64">
        <v>0.276770370977588</v>
      </c>
      <c r="D64">
        <v>0.21222730623079999</v>
      </c>
      <c r="E64" s="8">
        <v>0</v>
      </c>
      <c r="F64" s="8">
        <v>0</v>
      </c>
      <c r="G64" s="38">
        <v>0.13391</v>
      </c>
      <c r="H64" s="8">
        <v>59</v>
      </c>
      <c r="I64" s="8">
        <v>14</v>
      </c>
      <c r="J64" s="8">
        <v>55</v>
      </c>
      <c r="K64" s="8">
        <v>44.5</v>
      </c>
      <c r="L64" s="8">
        <v>9.8000000000000007</v>
      </c>
      <c r="M64" s="8">
        <v>19.3</v>
      </c>
    </row>
    <row r="65" spans="1:13">
      <c r="A65" s="22" t="s">
        <v>221</v>
      </c>
      <c r="B65">
        <v>1.42052782751741</v>
      </c>
      <c r="C65" s="8">
        <v>0</v>
      </c>
      <c r="D65">
        <v>1.0514752429851599</v>
      </c>
      <c r="E65">
        <v>4.5587612103147102E-2</v>
      </c>
      <c r="F65">
        <v>3.5969859118602003E-2</v>
      </c>
      <c r="G65">
        <v>0.28749511331049998</v>
      </c>
      <c r="H65" s="8">
        <v>82</v>
      </c>
      <c r="I65" s="8">
        <v>80</v>
      </c>
      <c r="J65" s="8">
        <v>5</v>
      </c>
      <c r="K65" s="8">
        <v>60</v>
      </c>
      <c r="L65" s="8">
        <v>66.2</v>
      </c>
      <c r="M65" s="8">
        <v>54.5</v>
      </c>
    </row>
    <row r="66" spans="1:13">
      <c r="A66" s="22" t="s">
        <v>223</v>
      </c>
      <c r="B66">
        <v>0.59892289659706599</v>
      </c>
      <c r="C66">
        <v>7.2253997613011198E-2</v>
      </c>
      <c r="D66">
        <v>0.17171114044188199</v>
      </c>
      <c r="E66">
        <v>3.1803839219717703E-2</v>
      </c>
      <c r="F66" s="8">
        <v>0</v>
      </c>
      <c r="G66">
        <v>0.32315391932245502</v>
      </c>
      <c r="H66" s="8">
        <v>65</v>
      </c>
      <c r="I66" s="8">
        <v>56</v>
      </c>
      <c r="J66" s="8">
        <v>6</v>
      </c>
      <c r="K66" s="8">
        <v>57.9</v>
      </c>
      <c r="L66" s="8">
        <v>60.9</v>
      </c>
      <c r="M66" s="8">
        <v>40.4</v>
      </c>
    </row>
    <row r="67" spans="1:13">
      <c r="A67" s="22" t="s">
        <v>226</v>
      </c>
      <c r="B67">
        <v>6.0449941695051699</v>
      </c>
      <c r="C67">
        <v>1.4057761356446399E-3</v>
      </c>
      <c r="D67">
        <v>1.7118035157660001</v>
      </c>
      <c r="E67">
        <v>4.2561631634485302</v>
      </c>
      <c r="F67" s="8">
        <v>0</v>
      </c>
      <c r="G67" s="38">
        <v>7.5621709999999995E-2</v>
      </c>
      <c r="H67" s="8">
        <v>65</v>
      </c>
      <c r="I67" s="8">
        <v>32</v>
      </c>
      <c r="J67" s="8">
        <v>53</v>
      </c>
      <c r="K67" s="8">
        <v>33.299999999999997</v>
      </c>
      <c r="L67" s="8">
        <v>12.7</v>
      </c>
      <c r="M67" s="8">
        <v>29.6</v>
      </c>
    </row>
    <row r="68" spans="1:13">
      <c r="A68" s="22" t="s">
        <v>316</v>
      </c>
      <c r="B68">
        <v>4.4963710562272198E-2</v>
      </c>
      <c r="C68">
        <v>3.3100763427272202E-2</v>
      </c>
      <c r="D68" s="8">
        <v>0</v>
      </c>
      <c r="E68" s="8">
        <v>0</v>
      </c>
      <c r="F68" s="8">
        <v>0</v>
      </c>
      <c r="G68">
        <v>1.1862947134999999E-2</v>
      </c>
      <c r="H68" s="8">
        <v>44</v>
      </c>
      <c r="I68" s="8">
        <v>53</v>
      </c>
      <c r="J68" s="8">
        <v>1</v>
      </c>
      <c r="K68" s="8">
        <v>48.7</v>
      </c>
      <c r="L68" s="8">
        <v>42.1</v>
      </c>
      <c r="M68" s="8">
        <v>69.900000000000006</v>
      </c>
    </row>
    <row r="69" spans="1:13">
      <c r="A69" s="22" t="s">
        <v>229</v>
      </c>
      <c r="B69">
        <v>8.8695090074519207</v>
      </c>
      <c r="C69">
        <v>3.3928440360429502E-3</v>
      </c>
      <c r="D69">
        <v>4.28547675230522</v>
      </c>
      <c r="E69">
        <v>3.42317989746565</v>
      </c>
      <c r="F69" s="8">
        <v>0</v>
      </c>
      <c r="G69" s="38">
        <v>1.15745951</v>
      </c>
      <c r="H69" s="8">
        <v>88</v>
      </c>
      <c r="I69" s="8">
        <v>68</v>
      </c>
      <c r="J69" s="8">
        <v>0</v>
      </c>
      <c r="K69" s="8">
        <v>57.6</v>
      </c>
      <c r="L69" s="8">
        <v>70.7</v>
      </c>
      <c r="M69" s="8">
        <v>43.9</v>
      </c>
    </row>
    <row r="70" spans="1:13">
      <c r="A70" s="22" t="s">
        <v>231</v>
      </c>
      <c r="B70">
        <v>1.8563134225745801</v>
      </c>
      <c r="C70">
        <v>0.134293084142631</v>
      </c>
      <c r="D70">
        <v>1.045685766072</v>
      </c>
      <c r="E70">
        <v>0.20791654435995799</v>
      </c>
      <c r="F70">
        <v>9.5718828000000006E-2</v>
      </c>
      <c r="G70">
        <v>0.37269920000000001</v>
      </c>
      <c r="H70" s="29">
        <v>42</v>
      </c>
      <c r="I70" s="8">
        <v>36</v>
      </c>
      <c r="J70" s="8">
        <v>14</v>
      </c>
      <c r="K70" s="8">
        <v>37.799999999999997</v>
      </c>
      <c r="L70" s="8">
        <v>15.8</v>
      </c>
      <c r="M70" s="8">
        <v>16.899999999999999</v>
      </c>
    </row>
    <row r="71" spans="1:13">
      <c r="A71" s="22" t="s">
        <v>233</v>
      </c>
      <c r="B71">
        <v>5.5284911499999999E-2</v>
      </c>
      <c r="C71" s="8">
        <v>0</v>
      </c>
      <c r="D71" s="8">
        <v>0</v>
      </c>
      <c r="E71" s="8">
        <v>0</v>
      </c>
      <c r="F71" s="8">
        <v>0</v>
      </c>
      <c r="G71">
        <v>5.5284911499999999E-2</v>
      </c>
      <c r="H71" s="29">
        <v>58</v>
      </c>
      <c r="I71" s="8">
        <v>54</v>
      </c>
      <c r="J71" s="8">
        <v>5</v>
      </c>
      <c r="K71" s="8">
        <v>57.5</v>
      </c>
      <c r="L71" s="8">
        <v>38.6</v>
      </c>
      <c r="M71" s="8">
        <v>43.5</v>
      </c>
    </row>
    <row r="72" spans="1:13">
      <c r="A72" s="22" t="s">
        <v>235</v>
      </c>
      <c r="B72">
        <v>0.44862367255000002</v>
      </c>
      <c r="C72" s="8">
        <v>0</v>
      </c>
      <c r="D72" s="8">
        <v>0</v>
      </c>
      <c r="E72" s="8">
        <v>0</v>
      </c>
      <c r="F72" s="8">
        <v>0</v>
      </c>
      <c r="G72">
        <v>0.44862367255000002</v>
      </c>
      <c r="H72" s="29">
        <v>24</v>
      </c>
      <c r="I72" s="8">
        <v>28</v>
      </c>
      <c r="J72" s="8">
        <v>12</v>
      </c>
      <c r="K72" s="8">
        <v>48.9</v>
      </c>
      <c r="L72" s="8">
        <v>41</v>
      </c>
      <c r="M72" s="8">
        <v>30.1</v>
      </c>
    </row>
    <row r="73" spans="1:13">
      <c r="A73" s="22" t="s">
        <v>236</v>
      </c>
      <c r="B73">
        <v>1.1614671639076899</v>
      </c>
      <c r="C73">
        <v>1.84464487422152E-2</v>
      </c>
      <c r="D73">
        <v>0.57376316486879997</v>
      </c>
      <c r="E73">
        <v>0.25893697284667899</v>
      </c>
      <c r="F73" s="8">
        <v>0</v>
      </c>
      <c r="G73" s="38">
        <v>0.31032058000000001</v>
      </c>
      <c r="H73" s="29">
        <v>55</v>
      </c>
      <c r="I73" s="8">
        <v>39</v>
      </c>
      <c r="J73" s="8">
        <v>49</v>
      </c>
      <c r="K73" s="8">
        <v>45.2</v>
      </c>
      <c r="L73" s="8">
        <v>27.7</v>
      </c>
      <c r="M73" s="8">
        <v>32.200000000000003</v>
      </c>
    </row>
    <row r="74" spans="1:13">
      <c r="A74" s="22" t="s">
        <v>237</v>
      </c>
      <c r="B74">
        <v>0.67939692340608604</v>
      </c>
      <c r="C74">
        <v>0.33672685003093</v>
      </c>
      <c r="D74">
        <v>0.1292663712645</v>
      </c>
      <c r="E74">
        <v>2.1540983606557298E-3</v>
      </c>
      <c r="F74" s="31">
        <v>0</v>
      </c>
      <c r="G74" s="38">
        <v>0.21124960000000001</v>
      </c>
      <c r="H74" s="8">
        <v>54</v>
      </c>
      <c r="I74" s="8">
        <v>55</v>
      </c>
      <c r="J74" s="8">
        <v>13</v>
      </c>
      <c r="K74" s="8">
        <v>38.6</v>
      </c>
      <c r="L74" s="8">
        <v>23.4</v>
      </c>
      <c r="M74" s="8">
        <v>16.899999999999999</v>
      </c>
    </row>
    <row r="75" spans="1:13">
      <c r="A75" s="22" t="s">
        <v>238</v>
      </c>
      <c r="B75">
        <v>2.3518896507066702</v>
      </c>
      <c r="C75">
        <v>1.8929207373744901</v>
      </c>
      <c r="D75">
        <v>0.153431926870299</v>
      </c>
      <c r="E75">
        <v>4.3043082786884901E-2</v>
      </c>
      <c r="F75" s="8">
        <v>0</v>
      </c>
      <c r="G75" s="38">
        <v>0.2624939</v>
      </c>
      <c r="H75" s="8">
        <v>54</v>
      </c>
      <c r="I75" s="8">
        <v>55</v>
      </c>
      <c r="J75" s="8">
        <v>0</v>
      </c>
      <c r="K75" s="8">
        <v>60</v>
      </c>
      <c r="L75" s="8">
        <v>63.7</v>
      </c>
      <c r="M75" s="8">
        <v>38.799999999999997</v>
      </c>
    </row>
    <row r="76" spans="1:13">
      <c r="A76" s="22" t="s">
        <v>239</v>
      </c>
      <c r="B76">
        <v>0.25796302379500002</v>
      </c>
      <c r="C76" s="8">
        <v>0</v>
      </c>
      <c r="D76" s="8">
        <v>0</v>
      </c>
      <c r="E76" s="8">
        <v>0</v>
      </c>
      <c r="F76" s="8">
        <v>0</v>
      </c>
      <c r="G76">
        <v>0.25796302379500002</v>
      </c>
      <c r="H76" s="8">
        <v>83</v>
      </c>
      <c r="I76" s="8">
        <v>84</v>
      </c>
      <c r="J76" s="8">
        <v>0</v>
      </c>
      <c r="K76" s="8">
        <v>49.6</v>
      </c>
      <c r="L76" s="8">
        <v>62.5</v>
      </c>
      <c r="M76" s="8">
        <v>37.6</v>
      </c>
    </row>
    <row r="77" spans="1:13">
      <c r="A77" s="22" t="s">
        <v>242</v>
      </c>
      <c r="B77">
        <v>1.0307423146324799</v>
      </c>
      <c r="C77">
        <v>0.16664201899179801</v>
      </c>
      <c r="D77">
        <v>0.35924867917370001</v>
      </c>
      <c r="E77">
        <v>0.15250397602049001</v>
      </c>
      <c r="F77">
        <v>0.123421098007</v>
      </c>
      <c r="G77">
        <v>0.2289265424395</v>
      </c>
      <c r="H77" s="29">
        <v>75</v>
      </c>
      <c r="I77" s="8">
        <v>81</v>
      </c>
      <c r="J77" s="8">
        <v>4</v>
      </c>
      <c r="K77" s="8">
        <v>65.400000000000006</v>
      </c>
      <c r="L77" s="8">
        <v>45.6</v>
      </c>
      <c r="M77" s="8">
        <v>51.3</v>
      </c>
    </row>
    <row r="78" spans="1:13">
      <c r="A78" s="22" t="s">
        <v>244</v>
      </c>
      <c r="B78">
        <v>6.2312511065999998E-3</v>
      </c>
      <c r="C78" s="8">
        <v>0</v>
      </c>
      <c r="D78">
        <v>2.1271948515999999E-3</v>
      </c>
      <c r="E78" s="8">
        <v>0</v>
      </c>
      <c r="F78" s="8">
        <v>0</v>
      </c>
      <c r="G78" s="38">
        <v>4.1040599999999997E-3</v>
      </c>
      <c r="H78" s="29">
        <v>91</v>
      </c>
      <c r="I78" s="8">
        <v>55</v>
      </c>
      <c r="J78" s="8">
        <v>182</v>
      </c>
      <c r="K78" s="8">
        <v>37.700000000000003</v>
      </c>
      <c r="L78" s="8">
        <v>4.5</v>
      </c>
      <c r="M78" s="8">
        <v>32.6</v>
      </c>
    </row>
    <row r="79" spans="1:13">
      <c r="A79" s="22" t="s">
        <v>249</v>
      </c>
      <c r="B79">
        <v>8.5124016393999993E-3</v>
      </c>
      <c r="C79" s="8">
        <v>0</v>
      </c>
      <c r="D79">
        <v>1.9048916394000001E-3</v>
      </c>
      <c r="E79" s="8">
        <v>0</v>
      </c>
      <c r="F79" s="8">
        <v>0</v>
      </c>
      <c r="G79" s="38">
        <v>6.6075099999999996E-3</v>
      </c>
      <c r="H79" s="29">
        <v>60</v>
      </c>
      <c r="I79" s="8">
        <v>39</v>
      </c>
      <c r="J79" s="8">
        <v>19</v>
      </c>
      <c r="K79" s="8">
        <v>40.200000000000003</v>
      </c>
      <c r="L79" s="8">
        <v>11.2</v>
      </c>
      <c r="M79" s="8">
        <v>33.6</v>
      </c>
    </row>
    <row r="80" spans="1:13">
      <c r="A80" s="22" t="s">
        <v>250</v>
      </c>
      <c r="B80">
        <v>0.44998740733183401</v>
      </c>
      <c r="C80">
        <v>0.30423887629892898</v>
      </c>
      <c r="D80">
        <v>1.599945194134E-2</v>
      </c>
      <c r="E80">
        <v>3.6131409836065297E-2</v>
      </c>
      <c r="F80" s="8">
        <v>0</v>
      </c>
      <c r="G80" s="38">
        <v>9.361767E-2</v>
      </c>
      <c r="H80" s="29">
        <v>57</v>
      </c>
      <c r="I80" s="8">
        <v>55</v>
      </c>
      <c r="J80" s="8">
        <v>1</v>
      </c>
      <c r="K80" s="8">
        <v>47</v>
      </c>
      <c r="L80" s="8">
        <v>40.299999999999997</v>
      </c>
      <c r="M80" s="8">
        <v>41.7</v>
      </c>
    </row>
    <row r="81" spans="1:13">
      <c r="A81" s="22" t="s">
        <v>253</v>
      </c>
      <c r="B81">
        <v>5.72775352E-2</v>
      </c>
      <c r="C81" s="31">
        <v>0</v>
      </c>
      <c r="D81" s="31">
        <v>0</v>
      </c>
      <c r="E81" s="31">
        <v>0</v>
      </c>
      <c r="F81" s="31" t="s">
        <v>254</v>
      </c>
      <c r="G81">
        <v>5.72775352E-2</v>
      </c>
      <c r="H81" s="8">
        <v>65</v>
      </c>
      <c r="I81" s="8">
        <v>78</v>
      </c>
      <c r="J81" s="8">
        <v>5</v>
      </c>
      <c r="K81" s="8">
        <v>42.5</v>
      </c>
      <c r="L81" s="8">
        <v>71.7</v>
      </c>
      <c r="M81" s="8">
        <v>46.5</v>
      </c>
    </row>
    <row r="82" spans="1:13">
      <c r="A82" s="22" t="s">
        <v>314</v>
      </c>
      <c r="B82">
        <v>0.246111020034224</v>
      </c>
      <c r="C82">
        <v>1.4967112046383201E-2</v>
      </c>
      <c r="D82">
        <v>2.55572882252588E-3</v>
      </c>
      <c r="E82">
        <v>4.7213282331511899E-4</v>
      </c>
      <c r="F82">
        <v>0.16943361019200001</v>
      </c>
      <c r="G82">
        <v>5.8682436150000003E-2</v>
      </c>
      <c r="H82" s="8">
        <v>82</v>
      </c>
      <c r="I82" s="8">
        <v>81</v>
      </c>
      <c r="J82" s="8">
        <v>0</v>
      </c>
      <c r="K82" s="8">
        <v>66.3</v>
      </c>
      <c r="L82" s="8">
        <v>62.2</v>
      </c>
      <c r="M82" s="8">
        <v>53.5</v>
      </c>
    </row>
    <row r="83" spans="1:13">
      <c r="A83" s="22" t="s">
        <v>260</v>
      </c>
      <c r="B83">
        <v>5.9235683923049196</v>
      </c>
      <c r="C83">
        <v>5.6235443198555997</v>
      </c>
      <c r="D83">
        <v>4.5461724766320002E-2</v>
      </c>
      <c r="E83">
        <v>6.2854476829999999E-3</v>
      </c>
      <c r="F83">
        <v>0.13650610499999999</v>
      </c>
      <c r="G83">
        <v>0.11177079500000001</v>
      </c>
      <c r="H83" s="29">
        <v>85</v>
      </c>
      <c r="I83" s="29">
        <v>74</v>
      </c>
      <c r="J83" s="8">
        <v>72</v>
      </c>
      <c r="K83" s="8">
        <v>44.2</v>
      </c>
      <c r="L83" s="8">
        <v>39.200000000000003</v>
      </c>
      <c r="M83" s="8">
        <v>34.1</v>
      </c>
    </row>
    <row r="84" spans="1:13">
      <c r="A84" s="22" t="s">
        <v>313</v>
      </c>
      <c r="B84">
        <v>1.6326379149280701</v>
      </c>
      <c r="C84">
        <v>2.8929539095700198E-2</v>
      </c>
      <c r="D84">
        <v>9.49026675217895E-3</v>
      </c>
      <c r="E84" s="8">
        <v>0</v>
      </c>
      <c r="F84">
        <v>1.3429694095992</v>
      </c>
      <c r="G84">
        <v>0.25124869948099998</v>
      </c>
      <c r="H84" s="8">
        <v>87</v>
      </c>
      <c r="I84" s="8">
        <v>87</v>
      </c>
      <c r="J84" s="8">
        <v>12</v>
      </c>
      <c r="K84" s="8">
        <v>48.8</v>
      </c>
      <c r="L84" s="8">
        <v>72</v>
      </c>
      <c r="M84" s="8">
        <v>30.9</v>
      </c>
    </row>
    <row r="85" spans="1:13">
      <c r="A85" s="22" t="s">
        <v>263</v>
      </c>
      <c r="B85">
        <v>1.53179472794517</v>
      </c>
      <c r="C85" s="8">
        <v>0</v>
      </c>
      <c r="D85">
        <v>5.1214208094733796E-3</v>
      </c>
      <c r="E85">
        <v>1.7196388488160399E-3</v>
      </c>
      <c r="F85">
        <v>0.55551539703688002</v>
      </c>
      <c r="G85">
        <v>0.96943827125000004</v>
      </c>
      <c r="H85" s="8">
        <v>81</v>
      </c>
      <c r="I85" s="8">
        <v>83</v>
      </c>
      <c r="J85" s="8">
        <v>3</v>
      </c>
      <c r="K85" s="8">
        <v>60.3</v>
      </c>
      <c r="L85" s="8">
        <v>61.4</v>
      </c>
      <c r="M85" s="8">
        <v>41.3</v>
      </c>
    </row>
    <row r="86" spans="1:13">
      <c r="A86" s="22" t="s">
        <v>264</v>
      </c>
      <c r="B86">
        <v>5.0178276915E-2</v>
      </c>
      <c r="C86" s="8">
        <v>0</v>
      </c>
      <c r="D86" s="8">
        <v>0</v>
      </c>
      <c r="E86" s="8">
        <v>0</v>
      </c>
      <c r="F86" s="8">
        <v>0</v>
      </c>
      <c r="G86">
        <v>5.0178276915E-2</v>
      </c>
      <c r="H86" s="29">
        <v>44</v>
      </c>
      <c r="I86" s="8">
        <v>42</v>
      </c>
      <c r="J86" s="8">
        <v>16</v>
      </c>
      <c r="K86" s="8">
        <v>40.1</v>
      </c>
      <c r="L86" s="8">
        <v>19.100000000000001</v>
      </c>
      <c r="M86" s="8">
        <v>26.4</v>
      </c>
    </row>
    <row r="87" spans="1:13">
      <c r="A87" s="22" t="s">
        <v>272</v>
      </c>
      <c r="B87">
        <v>1.5534012149253</v>
      </c>
      <c r="C87" s="8">
        <v>0</v>
      </c>
      <c r="D87" s="8">
        <v>0</v>
      </c>
      <c r="E87" s="8">
        <v>0</v>
      </c>
      <c r="F87">
        <v>0.64700703699429996</v>
      </c>
      <c r="G87">
        <v>0.90639417793099997</v>
      </c>
      <c r="H87" s="8">
        <v>73</v>
      </c>
      <c r="I87" s="8">
        <v>64</v>
      </c>
      <c r="J87" s="8">
        <v>0</v>
      </c>
      <c r="K87" s="8">
        <v>60.6</v>
      </c>
      <c r="L87" s="8">
        <v>70.8</v>
      </c>
      <c r="M87" s="8">
        <v>75.400000000000006</v>
      </c>
    </row>
    <row r="88" spans="1:13">
      <c r="A88" s="22" t="s">
        <v>273</v>
      </c>
      <c r="B88">
        <v>0.62336308501899995</v>
      </c>
      <c r="C88" s="8">
        <v>0</v>
      </c>
      <c r="D88" s="8">
        <v>0</v>
      </c>
      <c r="E88" s="8">
        <v>0</v>
      </c>
      <c r="F88">
        <v>0.26121823999999999</v>
      </c>
      <c r="G88">
        <v>0.36214484501900002</v>
      </c>
      <c r="H88" s="8">
        <v>87</v>
      </c>
      <c r="I88" s="8">
        <v>73</v>
      </c>
      <c r="J88" s="8">
        <v>6</v>
      </c>
      <c r="K88" s="8">
        <v>60.2</v>
      </c>
      <c r="L88" s="8">
        <v>76.400000000000006</v>
      </c>
      <c r="M88" s="8">
        <v>60.5</v>
      </c>
    </row>
    <row r="89" spans="1:13">
      <c r="A89" s="22" t="s">
        <v>278</v>
      </c>
      <c r="B89">
        <v>9.3161498831971001E-2</v>
      </c>
      <c r="C89">
        <v>1.8330869831970999E-2</v>
      </c>
      <c r="D89">
        <v>5.0979477000000002E-2</v>
      </c>
      <c r="E89" s="8">
        <v>0</v>
      </c>
      <c r="F89" s="8">
        <v>0</v>
      </c>
      <c r="G89">
        <v>2.3851152E-2</v>
      </c>
      <c r="H89" s="29">
        <v>50</v>
      </c>
      <c r="I89" s="8">
        <v>17</v>
      </c>
      <c r="J89" s="8">
        <v>34</v>
      </c>
      <c r="K89" s="8">
        <v>45.2</v>
      </c>
      <c r="L89" s="8">
        <v>10.4</v>
      </c>
      <c r="M89" s="8">
        <v>25.3</v>
      </c>
    </row>
    <row r="90" spans="1:13">
      <c r="A90" s="22" t="s">
        <v>279</v>
      </c>
      <c r="B90">
        <v>2.7646371888446502</v>
      </c>
      <c r="C90">
        <v>0.14913655572579801</v>
      </c>
      <c r="D90">
        <v>1.3535412946480001</v>
      </c>
      <c r="E90">
        <v>0.86769166216585203</v>
      </c>
      <c r="F90" s="31" t="s">
        <v>254</v>
      </c>
      <c r="G90">
        <v>0.39426767630499998</v>
      </c>
      <c r="H90" s="8">
        <v>45</v>
      </c>
      <c r="I90" s="8">
        <v>67</v>
      </c>
      <c r="J90" s="8">
        <v>83</v>
      </c>
      <c r="K90" s="8">
        <v>37.299999999999997</v>
      </c>
      <c r="L90" s="8">
        <v>28.5</v>
      </c>
      <c r="M90" s="8">
        <v>36</v>
      </c>
    </row>
    <row r="91" spans="1:13">
      <c r="A91" s="22" t="s">
        <v>283</v>
      </c>
      <c r="B91">
        <v>0.12605141498893299</v>
      </c>
      <c r="C91" s="8">
        <v>0</v>
      </c>
      <c r="D91">
        <v>4.2114178277400001E-2</v>
      </c>
      <c r="E91">
        <v>7.6716172211532999E-2</v>
      </c>
      <c r="F91" s="8">
        <v>0</v>
      </c>
      <c r="G91">
        <v>7.2210644999999999E-3</v>
      </c>
      <c r="H91" s="29">
        <v>77</v>
      </c>
      <c r="I91" s="8">
        <v>66</v>
      </c>
      <c r="J91" s="8">
        <v>1</v>
      </c>
      <c r="K91" s="8">
        <v>32.700000000000003</v>
      </c>
      <c r="L91" s="8">
        <v>26.2</v>
      </c>
      <c r="M91" s="8">
        <v>48.3</v>
      </c>
    </row>
    <row r="92" spans="1:13">
      <c r="A92" s="22" t="s">
        <v>284</v>
      </c>
      <c r="B92">
        <v>2.0904842285363299</v>
      </c>
      <c r="C92">
        <v>0.77263872615143903</v>
      </c>
      <c r="D92">
        <v>1.7031130411287801E-2</v>
      </c>
      <c r="E92">
        <v>0.12544472258360601</v>
      </c>
      <c r="F92" s="8">
        <v>0</v>
      </c>
      <c r="G92" s="38">
        <v>1.1753696499999999</v>
      </c>
      <c r="H92" s="29">
        <v>78</v>
      </c>
      <c r="I92" s="8">
        <v>57</v>
      </c>
      <c r="J92" s="8">
        <v>500</v>
      </c>
      <c r="K92" s="8">
        <v>20.3</v>
      </c>
      <c r="L92" s="8">
        <v>40.6</v>
      </c>
      <c r="M92" s="8">
        <v>21.5</v>
      </c>
    </row>
    <row r="93" spans="1:13">
      <c r="A93" s="22" t="s">
        <v>288</v>
      </c>
      <c r="B93" s="38">
        <v>3.7905109999999999E-2</v>
      </c>
      <c r="C93" s="8">
        <v>0</v>
      </c>
      <c r="D93" s="8">
        <v>0</v>
      </c>
      <c r="E93" s="8">
        <v>0</v>
      </c>
      <c r="F93" s="8">
        <v>0</v>
      </c>
      <c r="G93" s="38">
        <v>3.7905109999999999E-2</v>
      </c>
      <c r="H93" s="29">
        <v>66</v>
      </c>
      <c r="I93" s="8">
        <v>30</v>
      </c>
      <c r="J93" s="8">
        <v>208</v>
      </c>
      <c r="K93" s="8">
        <v>49.2</v>
      </c>
      <c r="L93" s="8">
        <v>13.2</v>
      </c>
      <c r="M93" s="8">
        <v>26.8</v>
      </c>
    </row>
    <row r="94" spans="1:13">
      <c r="A94" s="22" t="s">
        <v>289</v>
      </c>
      <c r="B94">
        <v>5.4670603181236599</v>
      </c>
      <c r="C94">
        <v>7.12302985754249E-2</v>
      </c>
      <c r="D94">
        <v>1.4944113514186499</v>
      </c>
      <c r="E94">
        <v>2.3112207514014802</v>
      </c>
      <c r="F94">
        <v>0.46087080569310002</v>
      </c>
      <c r="G94">
        <v>1.1293271110350001</v>
      </c>
      <c r="H94" s="8">
        <v>92</v>
      </c>
      <c r="I94" s="8">
        <v>82</v>
      </c>
      <c r="J94" s="8">
        <v>5</v>
      </c>
      <c r="K94" s="8">
        <v>62.3</v>
      </c>
      <c r="L94" s="8">
        <v>62.6</v>
      </c>
      <c r="M94" s="8">
        <v>91.5</v>
      </c>
    </row>
    <row r="95" spans="1:13">
      <c r="A95" s="22" t="s">
        <v>292</v>
      </c>
      <c r="B95">
        <v>0.142058119875</v>
      </c>
      <c r="C95" s="8">
        <v>0</v>
      </c>
      <c r="D95" s="8">
        <v>0</v>
      </c>
      <c r="E95" s="8">
        <v>0</v>
      </c>
      <c r="F95" s="8">
        <v>0</v>
      </c>
      <c r="G95">
        <v>0.142058119875</v>
      </c>
      <c r="H95" s="29">
        <v>68</v>
      </c>
      <c r="I95" s="8">
        <v>76</v>
      </c>
      <c r="J95" s="8">
        <v>19</v>
      </c>
      <c r="K95" s="8">
        <v>25.8</v>
      </c>
      <c r="L95" s="8">
        <v>38.5</v>
      </c>
      <c r="M95" s="8">
        <v>37</v>
      </c>
    </row>
    <row r="96" spans="1:13">
      <c r="A96" s="22" t="s">
        <v>312</v>
      </c>
      <c r="B96">
        <v>101.49072414600001</v>
      </c>
      <c r="C96">
        <v>14.255763025</v>
      </c>
      <c r="D96">
        <v>35.187183374999996</v>
      </c>
      <c r="E96">
        <v>31.964210010999999</v>
      </c>
      <c r="F96">
        <v>8.4518515129999994</v>
      </c>
      <c r="G96">
        <v>11.631716222</v>
      </c>
      <c r="H96" s="8">
        <v>63</v>
      </c>
      <c r="I96" s="8">
        <v>84</v>
      </c>
      <c r="J96" s="8">
        <v>1309</v>
      </c>
      <c r="K96" s="8">
        <v>51.4</v>
      </c>
      <c r="L96" s="8">
        <v>54.3</v>
      </c>
      <c r="M96" s="8">
        <v>37.200000000000003</v>
      </c>
    </row>
    <row r="97" spans="1:13">
      <c r="A97" s="22" t="s">
        <v>296</v>
      </c>
      <c r="B97">
        <v>3.22112472373668</v>
      </c>
      <c r="C97">
        <v>1.2013544693078301E-2</v>
      </c>
      <c r="D97">
        <v>0.73777496231810002</v>
      </c>
      <c r="E97">
        <v>2.0284570839254998</v>
      </c>
      <c r="F97" s="8">
        <v>0</v>
      </c>
      <c r="G97" s="38">
        <v>0.44287913000000001</v>
      </c>
      <c r="H97" s="29">
        <v>19</v>
      </c>
      <c r="I97" s="8">
        <v>51</v>
      </c>
      <c r="J97" s="8">
        <v>0</v>
      </c>
      <c r="K97" s="8">
        <v>52</v>
      </c>
      <c r="L97" s="8">
        <v>12.1</v>
      </c>
      <c r="M97" s="8">
        <v>42.1</v>
      </c>
    </row>
    <row r="98" spans="1:13">
      <c r="A98" s="22" t="s">
        <v>315</v>
      </c>
      <c r="B98">
        <v>2.7189795206298002</v>
      </c>
      <c r="C98">
        <v>1.20231556281137</v>
      </c>
      <c r="D98">
        <v>0.35486619027720001</v>
      </c>
      <c r="E98">
        <v>0.50452090254123705</v>
      </c>
      <c r="F98" s="31">
        <v>0</v>
      </c>
      <c r="G98">
        <v>0.65727686500000004</v>
      </c>
      <c r="H98" s="8">
        <v>84</v>
      </c>
      <c r="I98" s="8">
        <v>69</v>
      </c>
      <c r="J98" s="8">
        <v>0</v>
      </c>
      <c r="K98" s="8">
        <v>22.1</v>
      </c>
      <c r="L98" s="8">
        <v>25.6</v>
      </c>
      <c r="M98" s="8">
        <v>10.1</v>
      </c>
    </row>
    <row r="99" spans="1:13">
      <c r="A99" s="25" t="s">
        <v>301</v>
      </c>
      <c r="B99">
        <v>0.13610105188730301</v>
      </c>
      <c r="C99">
        <v>2.45382145273037E-2</v>
      </c>
      <c r="D99" s="26">
        <v>0</v>
      </c>
      <c r="E99" s="26">
        <v>0</v>
      </c>
      <c r="F99" s="8">
        <v>0</v>
      </c>
      <c r="G99" s="38">
        <v>0.11156284</v>
      </c>
      <c r="H99" s="8">
        <v>59</v>
      </c>
      <c r="I99" s="8">
        <v>37</v>
      </c>
      <c r="J99" s="8">
        <v>52</v>
      </c>
      <c r="K99" s="26">
        <v>58.2</v>
      </c>
      <c r="L99" s="26">
        <v>6.9</v>
      </c>
      <c r="M99" s="26">
        <v>25.6</v>
      </c>
    </row>
  </sheetData>
  <hyperlinks>
    <hyperlink ref="E3" r:id="rId1" display="https://www.eia.gov/international/data/world/total-energy/total-energy-production?pd=44&amp;p=004000000000000000000000000000000000000000000000000000000f00o&amp;u=0&amp;f=A&amp;v=mapbubble&amp;a=-&amp;i=none&amp;vo=value&amp;t=C&amp;g=00000000000000000000000000000000000000000000000001&amp;l=249-ruvvvvvfvtvnvv1vrvvvvfvvvvvvfvvvou20evvvvvvvvvvnvvvs0008&amp;s=315532800000&amp;e=1546300800000&amp;" xr:uid="{027EF50C-B377-DF45-8D43-FD5AFBAB6CD3}"/>
    <hyperlink ref="I3" r:id="rId2" xr:uid="{2087D6B9-416B-9B4C-8E5C-5FA34AAF0CED}"/>
    <hyperlink ref="H3" r:id="rId3" xr:uid="{8A1EE9DB-79BA-9444-8406-3A8DD262146C}"/>
  </hyperlinks>
  <pageMargins left="0.7" right="0.7" top="0.75" bottom="0.75" header="0.3" footer="0.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79DB1-A660-1B41-97E4-32B2D86F7428}">
  <dimension ref="A1:M99"/>
  <sheetViews>
    <sheetView topLeftCell="A36" workbookViewId="0">
      <selection activeCell="A53" sqref="A53:A98"/>
    </sheetView>
  </sheetViews>
  <sheetFormatPr baseColWidth="10" defaultRowHeight="16"/>
  <sheetData>
    <row r="1" spans="1:13">
      <c r="A1" s="1" t="s">
        <v>0</v>
      </c>
      <c r="B1" s="3" t="s">
        <v>7</v>
      </c>
      <c r="C1" s="1" t="s">
        <v>8</v>
      </c>
      <c r="D1" s="1" t="s">
        <v>13</v>
      </c>
      <c r="E1" s="4" t="s">
        <v>14</v>
      </c>
      <c r="F1" s="1" t="s">
        <v>16</v>
      </c>
      <c r="G1" s="1" t="s">
        <v>17</v>
      </c>
      <c r="H1" s="1" t="s">
        <v>18</v>
      </c>
      <c r="I1" s="4" t="s">
        <v>20</v>
      </c>
      <c r="J1" s="1" t="s">
        <v>27</v>
      </c>
      <c r="K1" s="1" t="s">
        <v>32</v>
      </c>
      <c r="L1" s="1" t="s">
        <v>33</v>
      </c>
      <c r="M1" s="7" t="s">
        <v>37</v>
      </c>
    </row>
    <row r="2" spans="1:13">
      <c r="A2" s="1" t="s">
        <v>38</v>
      </c>
      <c r="B2" s="8" t="s">
        <v>40</v>
      </c>
      <c r="C2" s="8" t="s">
        <v>40</v>
      </c>
      <c r="D2" s="8" t="s">
        <v>40</v>
      </c>
      <c r="E2" s="8" t="s">
        <v>40</v>
      </c>
      <c r="F2" s="8" t="s">
        <v>40</v>
      </c>
      <c r="G2" s="8" t="s">
        <v>40</v>
      </c>
      <c r="H2" s="8" t="s">
        <v>40</v>
      </c>
      <c r="I2" s="8" t="s">
        <v>42</v>
      </c>
      <c r="J2" s="8" t="s">
        <v>40</v>
      </c>
      <c r="K2" s="8" t="s">
        <v>40</v>
      </c>
      <c r="L2" s="8" t="s">
        <v>40</v>
      </c>
      <c r="M2" s="8" t="s">
        <v>40</v>
      </c>
    </row>
    <row r="3" spans="1:13">
      <c r="A3" s="1" t="s">
        <v>43</v>
      </c>
      <c r="B3" s="11" t="s">
        <v>45</v>
      </c>
      <c r="C3" s="10" t="s">
        <v>46</v>
      </c>
      <c r="D3" s="8" t="s">
        <v>50</v>
      </c>
      <c r="E3" s="13" t="s">
        <v>50</v>
      </c>
      <c r="F3" s="10" t="s">
        <v>52</v>
      </c>
      <c r="G3" s="14" t="s">
        <v>54</v>
      </c>
      <c r="H3" s="11" t="s">
        <v>54</v>
      </c>
      <c r="I3" s="10" t="s">
        <v>55</v>
      </c>
      <c r="J3" s="8" t="s">
        <v>54</v>
      </c>
      <c r="K3" s="11" t="s">
        <v>307</v>
      </c>
      <c r="L3" s="10" t="s">
        <v>68</v>
      </c>
      <c r="M3" s="10" t="s">
        <v>71</v>
      </c>
    </row>
    <row r="4" spans="1:13">
      <c r="A4" s="1" t="s">
        <v>72</v>
      </c>
      <c r="B4" s="8">
        <v>2021</v>
      </c>
      <c r="C4" s="8">
        <v>2021</v>
      </c>
      <c r="D4" s="8">
        <v>2020</v>
      </c>
      <c r="E4" s="8">
        <v>2020</v>
      </c>
      <c r="F4" s="8">
        <v>2021</v>
      </c>
      <c r="G4" s="8">
        <v>2021</v>
      </c>
      <c r="H4" s="8">
        <v>2021</v>
      </c>
      <c r="I4" s="8">
        <v>2022</v>
      </c>
      <c r="J4" s="8">
        <v>2021</v>
      </c>
      <c r="K4" s="8">
        <v>2022</v>
      </c>
      <c r="L4" s="8">
        <v>2021</v>
      </c>
      <c r="M4" s="8">
        <v>2022</v>
      </c>
    </row>
    <row r="5" spans="1:13">
      <c r="A5" s="22" t="s">
        <v>79</v>
      </c>
      <c r="B5" s="17">
        <v>62</v>
      </c>
      <c r="C5" s="8">
        <v>11.8</v>
      </c>
      <c r="D5" s="19">
        <v>95.067999999999998</v>
      </c>
      <c r="E5" s="23">
        <v>5.84</v>
      </c>
      <c r="F5" s="13">
        <v>2911.67</v>
      </c>
      <c r="G5" s="8">
        <v>11.3</v>
      </c>
      <c r="H5" s="8">
        <v>76.5</v>
      </c>
      <c r="I5" s="19">
        <v>3</v>
      </c>
      <c r="J5" s="8">
        <v>14.4</v>
      </c>
      <c r="K5" s="8">
        <v>37.5</v>
      </c>
      <c r="L5" s="8">
        <v>67.484035155935302</v>
      </c>
      <c r="M5" s="8">
        <v>1.7609999999999999</v>
      </c>
    </row>
    <row r="6" spans="1:13">
      <c r="A6" s="25" t="s">
        <v>83</v>
      </c>
      <c r="B6" s="17">
        <v>39</v>
      </c>
      <c r="C6" s="8">
        <v>8.5</v>
      </c>
      <c r="D6" s="17">
        <v>57.167999999999999</v>
      </c>
      <c r="E6" s="23">
        <v>75.69</v>
      </c>
      <c r="F6" s="13">
        <v>34503.769999999997</v>
      </c>
      <c r="G6" s="26">
        <v>5.4</v>
      </c>
      <c r="H6" s="26">
        <v>61.6</v>
      </c>
      <c r="I6" s="17">
        <v>4</v>
      </c>
      <c r="J6" s="26">
        <v>12.2</v>
      </c>
      <c r="K6" s="8">
        <v>23.1</v>
      </c>
      <c r="L6" s="8">
        <v>52.2264253212768</v>
      </c>
      <c r="M6" s="8">
        <v>1.982</v>
      </c>
    </row>
    <row r="7" spans="1:13">
      <c r="A7" s="22" t="s">
        <v>86</v>
      </c>
      <c r="B7" s="17">
        <v>73</v>
      </c>
      <c r="C7" s="8">
        <v>10.9</v>
      </c>
      <c r="D7" s="17">
        <v>99.024000000000001</v>
      </c>
      <c r="E7" s="23">
        <v>2.96</v>
      </c>
      <c r="F7" s="13">
        <v>45808.75</v>
      </c>
      <c r="G7" s="8">
        <v>11.1</v>
      </c>
      <c r="H7" s="8">
        <v>75.400000000000006</v>
      </c>
      <c r="I7" s="17">
        <v>3</v>
      </c>
      <c r="J7" s="8">
        <v>17.899999999999999</v>
      </c>
      <c r="K7" s="8">
        <v>52</v>
      </c>
      <c r="L7" s="8">
        <v>64.821355449747102</v>
      </c>
      <c r="M7" s="8">
        <v>1.911</v>
      </c>
    </row>
    <row r="8" spans="1:13">
      <c r="A8" s="22" t="s">
        <v>87</v>
      </c>
      <c r="B8" s="17">
        <v>69</v>
      </c>
      <c r="C8" s="8">
        <v>20.9</v>
      </c>
      <c r="D8" s="17">
        <v>99.971000000000004</v>
      </c>
      <c r="E8" s="23">
        <v>10.71</v>
      </c>
      <c r="F8" s="13">
        <v>2790.97</v>
      </c>
      <c r="G8" s="8">
        <v>11.3</v>
      </c>
      <c r="H8" s="8">
        <v>72</v>
      </c>
      <c r="I8" s="29">
        <v>3</v>
      </c>
      <c r="J8" s="8">
        <v>13.1</v>
      </c>
      <c r="K8" s="8">
        <v>32.1</v>
      </c>
      <c r="L8" s="8">
        <v>66.832039071671602</v>
      </c>
      <c r="M8" s="8">
        <v>1.992</v>
      </c>
    </row>
    <row r="9" spans="1:13">
      <c r="A9" s="22" t="s">
        <v>89</v>
      </c>
      <c r="B9" s="17">
        <v>87</v>
      </c>
      <c r="C9" s="8">
        <v>5.0999999999999996</v>
      </c>
      <c r="D9" s="17">
        <v>99.97</v>
      </c>
      <c r="E9" s="23">
        <v>0.25</v>
      </c>
      <c r="F9" s="13">
        <v>25688.080000000002</v>
      </c>
      <c r="G9" s="8">
        <v>12.7</v>
      </c>
      <c r="H9" s="8">
        <v>84.5</v>
      </c>
      <c r="I9" s="17">
        <v>4</v>
      </c>
      <c r="J9" s="8">
        <v>21.1</v>
      </c>
      <c r="K9" s="8">
        <v>91.1</v>
      </c>
      <c r="L9" s="8">
        <v>65.057515523364003</v>
      </c>
      <c r="M9" s="8">
        <v>1.5649999999999999</v>
      </c>
    </row>
    <row r="10" spans="1:13">
      <c r="A10" s="22" t="s">
        <v>90</v>
      </c>
      <c r="B10" s="17">
        <v>82</v>
      </c>
      <c r="C10" s="8">
        <v>6.3</v>
      </c>
      <c r="D10" s="17">
        <v>100</v>
      </c>
      <c r="E10" s="23">
        <v>0.43</v>
      </c>
      <c r="F10" s="13">
        <v>8955.7999999999993</v>
      </c>
      <c r="G10" s="8">
        <v>12.3</v>
      </c>
      <c r="H10" s="8">
        <v>81.599999999999994</v>
      </c>
      <c r="I10" s="17">
        <v>1</v>
      </c>
      <c r="J10" s="8">
        <v>16</v>
      </c>
      <c r="K10" s="8">
        <v>75</v>
      </c>
      <c r="L10" s="8">
        <v>66.173349449153207</v>
      </c>
      <c r="M10" s="8">
        <v>1.3</v>
      </c>
    </row>
    <row r="11" spans="1:13">
      <c r="A11" s="22" t="s">
        <v>94</v>
      </c>
      <c r="B11" s="17">
        <v>51</v>
      </c>
      <c r="C11" s="8">
        <v>5.2</v>
      </c>
      <c r="D11" s="17">
        <v>97.698000000000008</v>
      </c>
      <c r="E11" s="23">
        <v>28.17</v>
      </c>
      <c r="F11" s="13">
        <v>169356.25</v>
      </c>
      <c r="G11" s="8">
        <v>7.4</v>
      </c>
      <c r="H11" s="8">
        <v>72.400000000000006</v>
      </c>
      <c r="I11" s="17">
        <v>5</v>
      </c>
      <c r="J11" s="8">
        <v>12.4</v>
      </c>
      <c r="K11" s="8">
        <v>14.4</v>
      </c>
      <c r="L11" s="8">
        <v>67.719904239023293</v>
      </c>
      <c r="M11" s="8">
        <v>2.0670000000000002</v>
      </c>
    </row>
    <row r="12" spans="1:13">
      <c r="A12" s="22" t="s">
        <v>97</v>
      </c>
      <c r="B12" s="17">
        <v>85</v>
      </c>
      <c r="C12" s="8">
        <v>6.4</v>
      </c>
      <c r="D12" s="17">
        <v>100</v>
      </c>
      <c r="E12" s="23">
        <v>0.22</v>
      </c>
      <c r="F12" s="13">
        <v>11592.95</v>
      </c>
      <c r="G12" s="8">
        <v>12.4</v>
      </c>
      <c r="H12" s="8">
        <v>81.900000000000006</v>
      </c>
      <c r="I12" s="17">
        <v>3</v>
      </c>
      <c r="J12" s="8">
        <v>19.600000000000001</v>
      </c>
      <c r="K12" s="8">
        <v>74.599999999999994</v>
      </c>
      <c r="L12" s="8">
        <v>63.894819233772402</v>
      </c>
      <c r="M12" s="8">
        <v>1.526</v>
      </c>
    </row>
    <row r="13" spans="1:13">
      <c r="A13" s="22" t="s">
        <v>99</v>
      </c>
      <c r="B13" s="17">
        <v>38</v>
      </c>
      <c r="C13" s="8">
        <v>1.6</v>
      </c>
      <c r="D13" s="17">
        <v>65.414000000000001</v>
      </c>
      <c r="E13" s="23">
        <v>69.510000000000005</v>
      </c>
      <c r="F13" s="13">
        <v>12996.9</v>
      </c>
      <c r="G13" s="8">
        <v>4.3</v>
      </c>
      <c r="H13" s="8">
        <v>59.8</v>
      </c>
      <c r="I13" s="17">
        <v>4</v>
      </c>
      <c r="J13" s="8">
        <v>10.8</v>
      </c>
      <c r="K13" s="8">
        <v>22.3</v>
      </c>
      <c r="L13" s="8">
        <v>54.345611009398802</v>
      </c>
      <c r="M13" s="8">
        <v>2.125</v>
      </c>
    </row>
    <row r="14" spans="1:13">
      <c r="A14" s="25" t="s">
        <v>102</v>
      </c>
      <c r="B14" s="17">
        <v>67</v>
      </c>
      <c r="C14" s="8">
        <v>8.5</v>
      </c>
      <c r="D14" s="17">
        <v>93.39</v>
      </c>
      <c r="E14" s="23">
        <v>8.84</v>
      </c>
      <c r="F14" s="13">
        <v>12079.47</v>
      </c>
      <c r="G14" s="26">
        <v>9.8000000000000007</v>
      </c>
      <c r="H14" s="26">
        <v>63.6</v>
      </c>
      <c r="I14" s="17">
        <v>3</v>
      </c>
      <c r="J14" s="26">
        <v>14.9</v>
      </c>
      <c r="K14" s="8">
        <v>30</v>
      </c>
      <c r="L14" s="8">
        <v>63.967858032205399</v>
      </c>
      <c r="M14" s="8">
        <v>1.9890000000000001</v>
      </c>
    </row>
    <row r="15" spans="1:13">
      <c r="A15" s="22" t="s">
        <v>308</v>
      </c>
      <c r="B15" s="17">
        <v>65</v>
      </c>
      <c r="C15" s="8">
        <v>15.2</v>
      </c>
      <c r="D15" s="17">
        <v>96.114000000000004</v>
      </c>
      <c r="E15" s="23">
        <v>0.17</v>
      </c>
      <c r="F15" s="13">
        <v>3270.94</v>
      </c>
      <c r="G15" s="8">
        <v>10.5</v>
      </c>
      <c r="H15" s="8">
        <v>75.3</v>
      </c>
      <c r="I15" s="17">
        <v>3</v>
      </c>
      <c r="J15" s="8">
        <v>13.8</v>
      </c>
      <c r="K15" s="8">
        <v>27.8</v>
      </c>
      <c r="L15" s="8">
        <v>66.937470325835704</v>
      </c>
      <c r="M15" s="8">
        <v>1.85</v>
      </c>
    </row>
    <row r="16" spans="1:13">
      <c r="A16" s="22" t="s">
        <v>104</v>
      </c>
      <c r="B16" s="17">
        <v>75</v>
      </c>
      <c r="C16" s="8">
        <v>14.4</v>
      </c>
      <c r="D16" s="17">
        <v>99.320999999999998</v>
      </c>
      <c r="E16" s="23">
        <v>10.48</v>
      </c>
      <c r="F16" s="13">
        <v>214326.22</v>
      </c>
      <c r="G16" s="8">
        <v>8.1</v>
      </c>
      <c r="H16" s="8">
        <v>72.8</v>
      </c>
      <c r="I16" s="17">
        <v>5</v>
      </c>
      <c r="J16" s="8">
        <v>15.6</v>
      </c>
      <c r="K16" s="8">
        <v>44.9</v>
      </c>
      <c r="L16" s="8">
        <v>69.878267532386801</v>
      </c>
      <c r="M16" s="8">
        <v>2.4649999999999999</v>
      </c>
    </row>
    <row r="17" spans="1:13">
      <c r="A17" s="22" t="s">
        <v>107</v>
      </c>
      <c r="B17" s="17">
        <v>70</v>
      </c>
      <c r="C17" s="8">
        <v>5.4</v>
      </c>
      <c r="D17" s="17">
        <v>99.010999999999996</v>
      </c>
      <c r="E17" s="23">
        <v>1.29</v>
      </c>
      <c r="F17" s="13">
        <v>6877.74</v>
      </c>
      <c r="G17" s="8">
        <v>11.4</v>
      </c>
      <c r="H17" s="8">
        <v>71.8</v>
      </c>
      <c r="I17" s="17">
        <v>3</v>
      </c>
      <c r="J17" s="8">
        <v>13.9</v>
      </c>
      <c r="K17" s="8">
        <v>28.6</v>
      </c>
      <c r="L17" s="8">
        <v>63.584159875280797</v>
      </c>
      <c r="M17" s="8">
        <v>1.5409999999999999</v>
      </c>
    </row>
    <row r="18" spans="1:13">
      <c r="A18" s="22" t="s">
        <v>108</v>
      </c>
      <c r="B18" s="17">
        <v>43</v>
      </c>
      <c r="C18" s="8">
        <v>4.8</v>
      </c>
      <c r="D18" s="17">
        <v>47.215000000000003</v>
      </c>
      <c r="E18" s="23">
        <v>70.84</v>
      </c>
      <c r="F18" s="13">
        <v>22100.68</v>
      </c>
      <c r="G18" s="8">
        <v>2.1</v>
      </c>
      <c r="H18" s="8">
        <v>59.3</v>
      </c>
      <c r="I18" s="17">
        <v>4</v>
      </c>
      <c r="J18" s="8">
        <v>9.1</v>
      </c>
      <c r="K18" s="8">
        <v>26.1</v>
      </c>
      <c r="L18" s="8">
        <v>53.361833809347999</v>
      </c>
      <c r="M18" s="8">
        <v>2.786</v>
      </c>
    </row>
    <row r="19" spans="1:13">
      <c r="A19" s="22" t="s">
        <v>111</v>
      </c>
      <c r="B19" s="17">
        <v>61</v>
      </c>
      <c r="C19" s="8">
        <v>0.6</v>
      </c>
      <c r="D19" s="17">
        <v>71.22</v>
      </c>
      <c r="E19" s="23">
        <v>26.240000000000002</v>
      </c>
      <c r="F19" s="35">
        <v>16589.02</v>
      </c>
      <c r="G19" s="8">
        <v>5.0999999999999996</v>
      </c>
      <c r="H19" s="8">
        <v>69.599999999999994</v>
      </c>
      <c r="I19" s="17">
        <v>5</v>
      </c>
      <c r="J19" s="8">
        <v>11.5</v>
      </c>
      <c r="K19" s="8">
        <v>25.9</v>
      </c>
      <c r="L19" s="8">
        <v>65.168477216274994</v>
      </c>
      <c r="M19" s="8">
        <v>1.8819999999999999</v>
      </c>
    </row>
    <row r="20" spans="1:13">
      <c r="A20" s="22" t="s">
        <v>112</v>
      </c>
      <c r="B20" s="17">
        <v>44</v>
      </c>
      <c r="C20" s="8">
        <v>3.9</v>
      </c>
      <c r="D20" s="17">
        <v>65.72</v>
      </c>
      <c r="E20" s="23">
        <v>40.369999999999997</v>
      </c>
      <c r="F20" s="13">
        <v>27198.63</v>
      </c>
      <c r="G20" s="8">
        <v>6.2</v>
      </c>
      <c r="H20" s="8">
        <v>60.3</v>
      </c>
      <c r="I20" s="17">
        <v>4</v>
      </c>
      <c r="J20" s="8">
        <v>13.1</v>
      </c>
      <c r="K20" s="8">
        <v>13.2</v>
      </c>
      <c r="L20" s="8">
        <v>54.867848481180701</v>
      </c>
      <c r="M20" s="8">
        <v>2.7090000000000001</v>
      </c>
    </row>
    <row r="21" spans="1:13">
      <c r="A21" s="22" t="s">
        <v>113</v>
      </c>
      <c r="B21" s="17">
        <v>89</v>
      </c>
      <c r="C21" s="8">
        <v>7.5</v>
      </c>
      <c r="D21" s="17">
        <v>99.222000000000008</v>
      </c>
      <c r="E21" s="23">
        <v>0.3</v>
      </c>
      <c r="F21" s="13">
        <v>38246.11</v>
      </c>
      <c r="G21" s="8">
        <v>13.8</v>
      </c>
      <c r="H21" s="8">
        <v>82.7</v>
      </c>
      <c r="I21" s="17">
        <v>3</v>
      </c>
      <c r="J21" s="8">
        <v>16.399999999999999</v>
      </c>
      <c r="K21" s="8">
        <v>88</v>
      </c>
      <c r="L21" s="8">
        <v>65.745348212706602</v>
      </c>
      <c r="M21" s="8">
        <v>1.389</v>
      </c>
    </row>
    <row r="22" spans="1:13">
      <c r="A22" s="22" t="s">
        <v>119</v>
      </c>
      <c r="B22" s="17">
        <v>80</v>
      </c>
      <c r="C22" s="8">
        <v>9.1</v>
      </c>
      <c r="D22" s="17">
        <v>100</v>
      </c>
      <c r="E22" s="23">
        <v>0.18</v>
      </c>
      <c r="F22" s="13">
        <v>19493.18</v>
      </c>
      <c r="G22" s="8">
        <v>10.9</v>
      </c>
      <c r="H22" s="8">
        <v>78.900000000000006</v>
      </c>
      <c r="I22" s="17">
        <v>4</v>
      </c>
      <c r="J22" s="8">
        <v>16.7</v>
      </c>
      <c r="K22" s="8">
        <v>48.4</v>
      </c>
      <c r="L22" s="8">
        <v>68.861904015734297</v>
      </c>
      <c r="M22" s="8">
        <v>1.84</v>
      </c>
    </row>
    <row r="23" spans="1:13">
      <c r="A23" s="22" t="s">
        <v>120</v>
      </c>
      <c r="B23" s="17">
        <v>82</v>
      </c>
      <c r="C23" s="8">
        <v>4.8</v>
      </c>
      <c r="D23" s="17">
        <v>94.260999999999996</v>
      </c>
      <c r="E23" s="23">
        <v>1.3</v>
      </c>
      <c r="F23" s="13">
        <v>1412360</v>
      </c>
      <c r="G23" s="8">
        <v>7.6</v>
      </c>
      <c r="H23" s="8">
        <v>78.2</v>
      </c>
      <c r="I23" s="17">
        <v>5</v>
      </c>
      <c r="J23" s="8">
        <v>14.2</v>
      </c>
      <c r="K23" s="8">
        <v>20.6</v>
      </c>
      <c r="L23" s="8">
        <v>69.182174514413006</v>
      </c>
      <c r="M23" s="8">
        <v>2.0099999999999998</v>
      </c>
    </row>
    <row r="24" spans="1:13">
      <c r="A24" s="22" t="s">
        <v>121</v>
      </c>
      <c r="B24" s="17">
        <v>78</v>
      </c>
      <c r="C24" s="8">
        <v>14.3</v>
      </c>
      <c r="D24" s="17">
        <v>97.492000000000004</v>
      </c>
      <c r="E24" s="23">
        <v>13.88</v>
      </c>
      <c r="F24" s="13">
        <v>51516.56</v>
      </c>
      <c r="G24" s="8">
        <v>8.9</v>
      </c>
      <c r="H24" s="8">
        <v>72.8</v>
      </c>
      <c r="I24" s="17">
        <v>5</v>
      </c>
      <c r="J24" s="8">
        <v>14.4</v>
      </c>
      <c r="K24" s="8">
        <v>44</v>
      </c>
      <c r="L24" s="8">
        <v>69.684319190399407</v>
      </c>
      <c r="M24" s="8">
        <v>2.7290000000000001</v>
      </c>
    </row>
    <row r="25" spans="1:13">
      <c r="A25" s="22" t="s">
        <v>122</v>
      </c>
      <c r="B25" s="17">
        <v>78</v>
      </c>
      <c r="C25" s="8">
        <v>18</v>
      </c>
      <c r="D25" s="17">
        <v>99.811000000000007</v>
      </c>
      <c r="E25" s="23">
        <v>0.32</v>
      </c>
      <c r="F25" s="13">
        <v>5153.96</v>
      </c>
      <c r="G25" s="8">
        <v>8.8000000000000007</v>
      </c>
      <c r="H25" s="8">
        <v>77</v>
      </c>
      <c r="I25" s="17">
        <v>2</v>
      </c>
      <c r="J25" s="8">
        <v>16.5</v>
      </c>
      <c r="K25" s="8">
        <v>51.4</v>
      </c>
      <c r="L25" s="8">
        <v>68.921257977123204</v>
      </c>
      <c r="M25" s="8">
        <v>1.732</v>
      </c>
    </row>
    <row r="26" spans="1:13">
      <c r="A26" s="22" t="s">
        <v>125</v>
      </c>
      <c r="B26" s="17">
        <v>73</v>
      </c>
      <c r="C26" s="8">
        <v>8.6999999999999993</v>
      </c>
      <c r="D26" s="17">
        <v>98.685000000000002</v>
      </c>
      <c r="E26" s="23">
        <v>0.64</v>
      </c>
      <c r="F26" s="13">
        <v>3899</v>
      </c>
      <c r="G26" s="8">
        <v>12.2</v>
      </c>
      <c r="H26" s="8">
        <v>77.599999999999994</v>
      </c>
      <c r="I26" s="17">
        <v>2</v>
      </c>
      <c r="J26" s="8">
        <v>15.1</v>
      </c>
      <c r="K26" s="8">
        <v>45.8</v>
      </c>
      <c r="L26" s="8">
        <v>63.891549924873203</v>
      </c>
      <c r="M26" s="8">
        <v>1.44</v>
      </c>
    </row>
    <row r="27" spans="1:13">
      <c r="A27" s="22" t="s">
        <v>130</v>
      </c>
      <c r="B27" s="17">
        <v>78</v>
      </c>
      <c r="C27" s="8">
        <v>2.9</v>
      </c>
      <c r="D27" s="17">
        <v>99.881</v>
      </c>
      <c r="E27" s="23">
        <v>0.12</v>
      </c>
      <c r="F27" s="13">
        <v>10505.77</v>
      </c>
      <c r="G27" s="8">
        <v>12.9</v>
      </c>
      <c r="H27" s="8">
        <v>77.7</v>
      </c>
      <c r="I27" s="17">
        <v>2</v>
      </c>
      <c r="J27" s="8">
        <v>16.2</v>
      </c>
      <c r="K27" s="8">
        <v>53.3</v>
      </c>
      <c r="L27" s="8">
        <v>63.5444681138611</v>
      </c>
      <c r="M27" s="8">
        <v>1.3180000000000001</v>
      </c>
    </row>
    <row r="28" spans="1:13">
      <c r="A28" s="22" t="s">
        <v>131</v>
      </c>
      <c r="B28" s="17">
        <v>85</v>
      </c>
      <c r="C28" s="8">
        <v>4.8</v>
      </c>
      <c r="D28" s="17">
        <v>100</v>
      </c>
      <c r="E28" s="23">
        <v>0.2</v>
      </c>
      <c r="F28" s="13">
        <v>5856.73</v>
      </c>
      <c r="G28" s="8">
        <v>13</v>
      </c>
      <c r="H28" s="8">
        <v>81.400000000000006</v>
      </c>
      <c r="I28" s="17">
        <v>1</v>
      </c>
      <c r="J28" s="8">
        <v>18.7</v>
      </c>
      <c r="K28" s="8">
        <v>80.5</v>
      </c>
      <c r="L28" s="8">
        <v>63.5661192942108</v>
      </c>
      <c r="M28" s="8">
        <v>1.296</v>
      </c>
    </row>
    <row r="29" spans="1:13">
      <c r="A29" s="22" t="s">
        <v>134</v>
      </c>
      <c r="B29" s="17">
        <v>66</v>
      </c>
      <c r="C29" s="8">
        <v>23</v>
      </c>
      <c r="D29" s="17">
        <v>96.686999999999998</v>
      </c>
      <c r="E29" s="23">
        <v>1.53</v>
      </c>
      <c r="F29" s="13">
        <v>11117.87</v>
      </c>
      <c r="G29" s="8">
        <v>9.3000000000000007</v>
      </c>
      <c r="H29" s="8">
        <v>72.599999999999994</v>
      </c>
      <c r="I29" s="17">
        <v>2</v>
      </c>
      <c r="J29" s="8">
        <v>14.5</v>
      </c>
      <c r="K29" s="8">
        <v>33.5</v>
      </c>
      <c r="L29" s="8">
        <v>65.472259600723106</v>
      </c>
      <c r="M29" s="8">
        <v>1.99</v>
      </c>
    </row>
    <row r="30" spans="1:13">
      <c r="A30" s="22" t="s">
        <v>135</v>
      </c>
      <c r="B30" s="17">
        <v>39</v>
      </c>
      <c r="C30" s="8">
        <v>5.4</v>
      </c>
      <c r="D30" s="17">
        <v>45.951999999999998</v>
      </c>
      <c r="E30" s="23">
        <v>90.45</v>
      </c>
      <c r="F30" s="13">
        <v>95894.12</v>
      </c>
      <c r="G30" s="8">
        <v>7</v>
      </c>
      <c r="H30" s="8">
        <v>59.2</v>
      </c>
      <c r="I30" s="17">
        <v>4</v>
      </c>
      <c r="J30" s="8">
        <v>9.8000000000000007</v>
      </c>
      <c r="K30" s="8">
        <v>25.1</v>
      </c>
      <c r="L30" s="8">
        <v>50.512594784423598</v>
      </c>
      <c r="M30" s="8">
        <v>3.1659999999999999</v>
      </c>
    </row>
    <row r="31" spans="1:13">
      <c r="A31" s="22" t="s">
        <v>137</v>
      </c>
      <c r="B31" s="17">
        <v>80</v>
      </c>
      <c r="C31" s="8">
        <v>6.4</v>
      </c>
      <c r="D31" s="17">
        <v>95.36</v>
      </c>
      <c r="E31" s="23">
        <v>12.43</v>
      </c>
      <c r="F31" s="13">
        <v>17797.740000000002</v>
      </c>
      <c r="G31" s="8">
        <v>8.8000000000000007</v>
      </c>
      <c r="H31" s="8">
        <v>73.7</v>
      </c>
      <c r="I31" s="17">
        <v>5</v>
      </c>
      <c r="J31" s="8">
        <v>14.6</v>
      </c>
      <c r="K31" s="8">
        <v>44.1</v>
      </c>
      <c r="L31" s="8">
        <v>66.260283540542304</v>
      </c>
      <c r="M31" s="8">
        <v>1.988</v>
      </c>
    </row>
    <row r="32" spans="1:13">
      <c r="A32" s="22" t="s">
        <v>138</v>
      </c>
      <c r="B32" s="17">
        <v>70</v>
      </c>
      <c r="C32" s="8">
        <v>9.3000000000000007</v>
      </c>
      <c r="D32" s="17">
        <v>99.44</v>
      </c>
      <c r="E32" s="23">
        <v>22.35</v>
      </c>
      <c r="F32" s="13">
        <v>109262.18</v>
      </c>
      <c r="G32" s="8">
        <v>9.6</v>
      </c>
      <c r="H32" s="8">
        <v>70.2</v>
      </c>
      <c r="I32" s="17">
        <v>5</v>
      </c>
      <c r="J32" s="8">
        <v>13.8</v>
      </c>
      <c r="K32" s="8">
        <v>34.6</v>
      </c>
      <c r="L32" s="8">
        <v>62.174485768417</v>
      </c>
      <c r="M32" s="8">
        <v>2.3420000000000001</v>
      </c>
    </row>
    <row r="33" spans="1:13">
      <c r="A33" s="22" t="s">
        <v>139</v>
      </c>
      <c r="B33" s="17">
        <v>76</v>
      </c>
      <c r="C33" s="8">
        <v>5.9</v>
      </c>
      <c r="D33" s="17">
        <v>97.947000000000003</v>
      </c>
      <c r="E33" s="23">
        <v>6.08</v>
      </c>
      <c r="F33" s="13">
        <v>6314.17</v>
      </c>
      <c r="G33" s="8">
        <v>7.2</v>
      </c>
      <c r="H33" s="8">
        <v>70.7</v>
      </c>
      <c r="I33" s="17">
        <v>3</v>
      </c>
      <c r="J33" s="8">
        <v>12.7</v>
      </c>
      <c r="K33" s="8">
        <v>36.700000000000003</v>
      </c>
      <c r="L33" s="8">
        <v>66.087857187824099</v>
      </c>
      <c r="M33" s="8">
        <v>2.2309999999999999</v>
      </c>
    </row>
    <row r="34" spans="1:13">
      <c r="A34" s="25" t="s">
        <v>144</v>
      </c>
      <c r="B34" s="17">
        <v>38</v>
      </c>
      <c r="C34" s="8">
        <v>3.7</v>
      </c>
      <c r="D34" s="17">
        <v>49.616</v>
      </c>
      <c r="E34" s="23">
        <v>26.560000000000002</v>
      </c>
      <c r="F34" s="13">
        <v>120283.03</v>
      </c>
      <c r="G34" s="26">
        <v>3.2</v>
      </c>
      <c r="H34" s="26">
        <v>65</v>
      </c>
      <c r="I34" s="17">
        <v>4</v>
      </c>
      <c r="J34" s="26">
        <v>9.6999999999999993</v>
      </c>
      <c r="K34" s="8">
        <v>33.700000000000003</v>
      </c>
      <c r="L34" s="8">
        <v>56.900577143777497</v>
      </c>
      <c r="M34" s="8">
        <v>2.806</v>
      </c>
    </row>
    <row r="35" spans="1:13">
      <c r="A35" s="22" t="s">
        <v>147</v>
      </c>
      <c r="B35" s="17">
        <v>83</v>
      </c>
      <c r="C35" s="8">
        <v>7.5</v>
      </c>
      <c r="D35" s="17">
        <v>100</v>
      </c>
      <c r="E35" s="23">
        <v>0.12</v>
      </c>
      <c r="F35" s="13">
        <v>5541.02</v>
      </c>
      <c r="G35" s="8">
        <v>12.9</v>
      </c>
      <c r="H35" s="8">
        <v>82</v>
      </c>
      <c r="I35" s="17">
        <v>1</v>
      </c>
      <c r="J35" s="8">
        <v>19.100000000000001</v>
      </c>
      <c r="K35" s="8">
        <v>93.5</v>
      </c>
      <c r="L35" s="8">
        <v>61.6798488870649</v>
      </c>
      <c r="M35" s="8">
        <v>1.4390000000000001</v>
      </c>
    </row>
    <row r="36" spans="1:13">
      <c r="A36" s="22" t="s">
        <v>148</v>
      </c>
      <c r="B36" s="17">
        <v>84</v>
      </c>
      <c r="C36" s="8">
        <v>8.1</v>
      </c>
      <c r="D36" s="17">
        <v>100</v>
      </c>
      <c r="E36" s="23">
        <v>0.2</v>
      </c>
      <c r="F36" s="13">
        <v>67749.63</v>
      </c>
      <c r="G36" s="8">
        <v>11.6</v>
      </c>
      <c r="H36" s="8">
        <v>82.5</v>
      </c>
      <c r="I36" s="17">
        <v>2</v>
      </c>
      <c r="J36" s="8">
        <v>15.8</v>
      </c>
      <c r="K36" s="8">
        <v>82</v>
      </c>
      <c r="L36" s="8">
        <v>61.3033694085631</v>
      </c>
      <c r="M36" s="8">
        <v>1.895</v>
      </c>
    </row>
    <row r="37" spans="1:13">
      <c r="A37" s="22" t="s">
        <v>152</v>
      </c>
      <c r="B37" s="17">
        <v>65</v>
      </c>
      <c r="C37" s="8">
        <v>10.7</v>
      </c>
      <c r="D37" s="17">
        <v>97.347999999999999</v>
      </c>
      <c r="E37" s="23">
        <v>7.58</v>
      </c>
      <c r="F37" s="13">
        <v>3708.61</v>
      </c>
      <c r="G37" s="8">
        <v>12.8</v>
      </c>
      <c r="H37" s="8">
        <v>71.7</v>
      </c>
      <c r="I37" s="17">
        <v>3</v>
      </c>
      <c r="J37" s="8">
        <v>15.6</v>
      </c>
      <c r="K37" s="8">
        <v>27.9</v>
      </c>
      <c r="L37" s="8">
        <v>64.348945444094994</v>
      </c>
      <c r="M37" s="8">
        <v>2.0649999999999999</v>
      </c>
    </row>
    <row r="38" spans="1:13">
      <c r="A38" s="22" t="s">
        <v>153</v>
      </c>
      <c r="B38" s="17">
        <v>86</v>
      </c>
      <c r="C38" s="8">
        <v>3.5</v>
      </c>
      <c r="D38" s="17">
        <v>100</v>
      </c>
      <c r="E38" s="23">
        <v>0.31</v>
      </c>
      <c r="F38" s="13">
        <v>83196.08</v>
      </c>
      <c r="G38" s="8">
        <v>14.1</v>
      </c>
      <c r="H38" s="8">
        <v>80.599999999999994</v>
      </c>
      <c r="I38" s="17">
        <v>1</v>
      </c>
      <c r="J38" s="8">
        <v>17</v>
      </c>
      <c r="K38" s="8">
        <v>75.2</v>
      </c>
      <c r="L38" s="8">
        <v>63.956450054532503</v>
      </c>
      <c r="M38" s="8">
        <v>1.462</v>
      </c>
    </row>
    <row r="39" spans="1:13">
      <c r="A39" s="22" t="s">
        <v>154</v>
      </c>
      <c r="B39" s="17">
        <v>45</v>
      </c>
      <c r="C39" s="8">
        <v>4.7</v>
      </c>
      <c r="D39" s="17">
        <v>85.790999999999997</v>
      </c>
      <c r="E39" s="23">
        <v>23.09</v>
      </c>
      <c r="F39" s="13">
        <v>32833.03</v>
      </c>
      <c r="G39" s="8">
        <v>8.3000000000000007</v>
      </c>
      <c r="H39" s="8">
        <v>63.8</v>
      </c>
      <c r="I39" s="17">
        <v>2</v>
      </c>
      <c r="J39" s="8">
        <v>12</v>
      </c>
      <c r="K39" s="8">
        <v>15.3</v>
      </c>
      <c r="L39" s="8">
        <v>59.2683560151916</v>
      </c>
      <c r="M39" s="8">
        <v>1.7589999999999999</v>
      </c>
    </row>
    <row r="40" spans="1:13">
      <c r="A40" s="22" t="s">
        <v>156</v>
      </c>
      <c r="B40" s="17">
        <v>78</v>
      </c>
      <c r="C40" s="8">
        <v>14.8</v>
      </c>
      <c r="D40" s="17">
        <v>100</v>
      </c>
      <c r="E40" s="23">
        <v>0.6</v>
      </c>
      <c r="F40" s="13">
        <v>10641.22</v>
      </c>
      <c r="G40" s="8">
        <v>11.4</v>
      </c>
      <c r="H40" s="8">
        <v>80.099999999999994</v>
      </c>
      <c r="I40" s="17">
        <v>4</v>
      </c>
      <c r="J40" s="8">
        <v>20</v>
      </c>
      <c r="K40" s="8">
        <v>62</v>
      </c>
      <c r="L40" s="8">
        <v>63.431632116254399</v>
      </c>
      <c r="M40" s="8">
        <v>1.8380000000000001</v>
      </c>
    </row>
    <row r="41" spans="1:13">
      <c r="A41" s="22" t="s">
        <v>160</v>
      </c>
      <c r="B41" s="17">
        <v>57</v>
      </c>
      <c r="C41" s="8">
        <v>3.6</v>
      </c>
      <c r="D41" s="17">
        <v>94.006</v>
      </c>
      <c r="E41" s="23">
        <v>19.510000000000002</v>
      </c>
      <c r="F41" s="13">
        <v>17109.75</v>
      </c>
      <c r="G41" s="8">
        <v>5.7</v>
      </c>
      <c r="H41" s="8">
        <v>69.2</v>
      </c>
      <c r="I41" s="17">
        <v>5</v>
      </c>
      <c r="J41" s="8">
        <v>10.6</v>
      </c>
      <c r="K41" s="8">
        <v>29.1</v>
      </c>
      <c r="L41" s="8">
        <v>62.169854093340902</v>
      </c>
      <c r="M41" s="8">
        <v>2.1389999999999998</v>
      </c>
    </row>
    <row r="42" spans="1:13">
      <c r="A42" s="22" t="s">
        <v>165</v>
      </c>
      <c r="B42" s="17">
        <v>63</v>
      </c>
      <c r="C42" s="8">
        <v>8.5</v>
      </c>
      <c r="D42" s="17">
        <v>95.689000000000007</v>
      </c>
      <c r="E42" s="23">
        <v>29.51</v>
      </c>
      <c r="F42" s="13">
        <v>10278.34</v>
      </c>
      <c r="G42" s="8">
        <v>7.1</v>
      </c>
      <c r="H42" s="8">
        <v>70.099999999999994</v>
      </c>
      <c r="I42" s="17">
        <v>5</v>
      </c>
      <c r="J42" s="8">
        <v>10.1</v>
      </c>
      <c r="K42" s="8">
        <v>31.3</v>
      </c>
      <c r="L42" s="8">
        <v>65.228664477176807</v>
      </c>
      <c r="M42" s="8">
        <v>2.2690000000000001</v>
      </c>
    </row>
    <row r="43" spans="1:13">
      <c r="A43" s="22" t="s">
        <v>167</v>
      </c>
      <c r="B43" s="17">
        <v>73</v>
      </c>
      <c r="C43" s="8">
        <v>4.0999999999999996</v>
      </c>
      <c r="D43" s="17">
        <v>100</v>
      </c>
      <c r="E43" s="23">
        <v>0.61</v>
      </c>
      <c r="F43" s="13">
        <v>9709.89</v>
      </c>
      <c r="G43" s="8">
        <v>12.2</v>
      </c>
      <c r="H43" s="8">
        <v>74.5</v>
      </c>
      <c r="I43" s="17">
        <v>4</v>
      </c>
      <c r="J43" s="8">
        <v>15</v>
      </c>
      <c r="K43" s="8">
        <v>38.200000000000003</v>
      </c>
      <c r="L43" s="8">
        <v>65.0266545524278</v>
      </c>
      <c r="M43" s="8">
        <v>1.411</v>
      </c>
    </row>
    <row r="44" spans="1:13">
      <c r="A44" s="22" t="s">
        <v>169</v>
      </c>
      <c r="B44" s="17">
        <v>61</v>
      </c>
      <c r="C44" s="8">
        <v>6</v>
      </c>
      <c r="D44" s="17">
        <v>90.49</v>
      </c>
      <c r="E44" s="23">
        <v>35.700000000000003</v>
      </c>
      <c r="F44" s="13">
        <v>1407563.84</v>
      </c>
      <c r="G44" s="8">
        <v>6.7</v>
      </c>
      <c r="H44" s="8">
        <v>67.2</v>
      </c>
      <c r="I44" s="17">
        <v>5</v>
      </c>
      <c r="J44" s="8">
        <v>11.9</v>
      </c>
      <c r="K44" s="8">
        <v>7.8</v>
      </c>
      <c r="L44" s="8">
        <v>67.509944390856305</v>
      </c>
      <c r="M44" s="8">
        <v>2.5779999999999998</v>
      </c>
    </row>
    <row r="45" spans="1:13">
      <c r="A45" s="22" t="s">
        <v>170</v>
      </c>
      <c r="B45" s="17">
        <v>59</v>
      </c>
      <c r="C45" s="8">
        <v>4.4000000000000004</v>
      </c>
      <c r="D45" s="17">
        <v>92.415000000000006</v>
      </c>
      <c r="E45" s="23">
        <v>19</v>
      </c>
      <c r="F45" s="8">
        <v>273753.19</v>
      </c>
      <c r="G45" s="8">
        <v>8.6</v>
      </c>
      <c r="H45" s="8">
        <v>67.599999999999994</v>
      </c>
      <c r="I45" s="17">
        <v>5</v>
      </c>
      <c r="J45" s="8">
        <v>13.7</v>
      </c>
      <c r="K45" s="8">
        <v>21.5</v>
      </c>
      <c r="L45" s="8">
        <v>67.743882846647793</v>
      </c>
      <c r="M45" s="8">
        <v>1.8</v>
      </c>
    </row>
    <row r="46" spans="1:13">
      <c r="A46" s="22" t="s">
        <v>173</v>
      </c>
      <c r="B46" s="17">
        <v>83</v>
      </c>
      <c r="C46" s="8">
        <v>6.6</v>
      </c>
      <c r="D46" s="17">
        <v>97.4</v>
      </c>
      <c r="E46" s="23">
        <v>0.14000000000000001</v>
      </c>
      <c r="F46" s="13">
        <v>5033.16</v>
      </c>
      <c r="G46" s="8">
        <v>11.6</v>
      </c>
      <c r="H46" s="8">
        <v>82</v>
      </c>
      <c r="I46" s="17">
        <v>1</v>
      </c>
      <c r="J46" s="8">
        <v>18.899999999999999</v>
      </c>
      <c r="K46" s="8">
        <v>89.1</v>
      </c>
      <c r="L46" s="8">
        <v>65.257766629513199</v>
      </c>
      <c r="M46" s="8">
        <v>1.288</v>
      </c>
    </row>
    <row r="47" spans="1:13">
      <c r="A47" s="22" t="s">
        <v>175</v>
      </c>
      <c r="B47" s="17">
        <v>84</v>
      </c>
      <c r="C47" s="8">
        <v>5</v>
      </c>
      <c r="D47" s="17">
        <v>100</v>
      </c>
      <c r="E47" s="23">
        <v>0.61</v>
      </c>
      <c r="F47" s="13">
        <v>9364</v>
      </c>
      <c r="G47" s="8">
        <v>13.3</v>
      </c>
      <c r="H47" s="8">
        <v>82.3</v>
      </c>
      <c r="I47" s="29">
        <v>2</v>
      </c>
      <c r="J47" s="8">
        <v>16.100000000000001</v>
      </c>
      <c r="K47" s="8">
        <v>68</v>
      </c>
      <c r="L47" s="8">
        <v>59.9000130223856</v>
      </c>
      <c r="M47" s="8">
        <v>2.5760000000000001</v>
      </c>
    </row>
    <row r="48" spans="1:13">
      <c r="A48" s="22" t="s">
        <v>176</v>
      </c>
      <c r="B48" s="17">
        <v>83</v>
      </c>
      <c r="C48" s="8">
        <v>9.8000000000000007</v>
      </c>
      <c r="D48" s="17">
        <v>99.917000000000002</v>
      </c>
      <c r="E48" s="23">
        <v>1.27</v>
      </c>
      <c r="F48" s="13">
        <v>59109.67</v>
      </c>
      <c r="G48" s="8">
        <v>10.7</v>
      </c>
      <c r="H48" s="8">
        <v>82.9</v>
      </c>
      <c r="I48" s="17">
        <v>1</v>
      </c>
      <c r="J48" s="8">
        <v>16.2</v>
      </c>
      <c r="K48" s="8">
        <v>69.400000000000006</v>
      </c>
      <c r="L48" s="8">
        <v>63.667783110490603</v>
      </c>
      <c r="M48" s="8">
        <v>1.643</v>
      </c>
    </row>
    <row r="49" spans="1:13">
      <c r="A49" s="22" t="s">
        <v>179</v>
      </c>
      <c r="B49" s="17">
        <v>70</v>
      </c>
      <c r="C49" s="8">
        <v>9.1999999999999993</v>
      </c>
      <c r="D49" s="17">
        <v>91.03</v>
      </c>
      <c r="E49" s="23">
        <v>14.96</v>
      </c>
      <c r="F49" s="13">
        <v>2827.7</v>
      </c>
      <c r="G49" s="8">
        <v>9.1999999999999993</v>
      </c>
      <c r="H49" s="8">
        <v>70.5</v>
      </c>
      <c r="I49" s="17">
        <v>3</v>
      </c>
      <c r="J49" s="8">
        <v>13.4</v>
      </c>
      <c r="K49" s="8">
        <v>39.799999999999997</v>
      </c>
      <c r="L49" s="8">
        <v>72.4643344604589</v>
      </c>
      <c r="M49" s="8">
        <v>1.99</v>
      </c>
    </row>
    <row r="50" spans="1:13">
      <c r="A50" s="22" t="s">
        <v>180</v>
      </c>
      <c r="B50" s="17">
        <v>85</v>
      </c>
      <c r="C50" s="8">
        <v>2.8</v>
      </c>
      <c r="D50" s="17">
        <v>99.079000000000008</v>
      </c>
      <c r="E50" s="23">
        <v>0.51</v>
      </c>
      <c r="F50" s="13">
        <v>125681.59</v>
      </c>
      <c r="G50" s="8">
        <v>13.4</v>
      </c>
      <c r="H50" s="8">
        <v>84.8</v>
      </c>
      <c r="I50" s="17">
        <v>2</v>
      </c>
      <c r="J50" s="8">
        <v>15.2</v>
      </c>
      <c r="K50" s="8">
        <v>78.900000000000006</v>
      </c>
      <c r="L50" s="8">
        <v>58.438943666263199</v>
      </c>
      <c r="M50" s="8">
        <v>1.3360000000000001</v>
      </c>
    </row>
    <row r="51" spans="1:13">
      <c r="A51" s="22" t="s">
        <v>181</v>
      </c>
      <c r="B51" s="17">
        <v>60</v>
      </c>
      <c r="C51" s="8">
        <v>19.3</v>
      </c>
      <c r="D51" s="17">
        <v>98.94</v>
      </c>
      <c r="E51" s="23">
        <v>1.08</v>
      </c>
      <c r="F51" s="13">
        <v>11148.28</v>
      </c>
      <c r="G51" s="8">
        <v>10.4</v>
      </c>
      <c r="H51" s="8">
        <v>74.3</v>
      </c>
      <c r="I51" s="17">
        <v>5</v>
      </c>
      <c r="J51" s="8">
        <v>10.6</v>
      </c>
      <c r="K51" s="8">
        <v>50.7</v>
      </c>
      <c r="L51" s="8">
        <v>63.667319906595402</v>
      </c>
      <c r="M51" s="8">
        <v>1.849</v>
      </c>
    </row>
    <row r="52" spans="1:13">
      <c r="A52" s="22" t="s">
        <v>182</v>
      </c>
      <c r="B52" s="17">
        <v>76</v>
      </c>
      <c r="C52" s="8">
        <v>4.9000000000000004</v>
      </c>
      <c r="D52" s="17">
        <v>95.435000000000002</v>
      </c>
      <c r="E52" s="23">
        <v>0.04</v>
      </c>
      <c r="F52" s="13">
        <v>19000.990000000002</v>
      </c>
      <c r="G52" s="8">
        <v>12.3</v>
      </c>
      <c r="H52" s="8">
        <v>69.400000000000006</v>
      </c>
      <c r="I52" s="17">
        <v>5</v>
      </c>
      <c r="J52" s="8">
        <v>15.8</v>
      </c>
      <c r="K52" s="8">
        <v>28.6</v>
      </c>
      <c r="L52" s="8">
        <v>62.517683268307898</v>
      </c>
      <c r="M52" s="8">
        <v>2.0710000000000002</v>
      </c>
    </row>
    <row r="53" spans="1:13">
      <c r="A53" s="22" t="s">
        <v>183</v>
      </c>
      <c r="B53" s="17">
        <v>56</v>
      </c>
      <c r="C53" s="8">
        <v>5.7</v>
      </c>
      <c r="D53" s="17">
        <v>61.633000000000003</v>
      </c>
      <c r="E53" s="23">
        <v>43.800000000000004</v>
      </c>
      <c r="F53" s="13">
        <v>53005.61</v>
      </c>
      <c r="G53" s="8">
        <v>6.7</v>
      </c>
      <c r="H53" s="8">
        <v>61.4</v>
      </c>
      <c r="I53" s="17">
        <v>4</v>
      </c>
      <c r="J53" s="8">
        <v>10.7</v>
      </c>
      <c r="K53" s="8">
        <v>30</v>
      </c>
      <c r="L53" s="8">
        <v>58.761073874174897</v>
      </c>
      <c r="M53" s="8">
        <v>2.3029999999999999</v>
      </c>
    </row>
    <row r="54" spans="1:13">
      <c r="A54" s="25" t="s">
        <v>318</v>
      </c>
      <c r="B54" s="17">
        <v>70</v>
      </c>
      <c r="C54" s="8">
        <v>9.1</v>
      </c>
      <c r="D54" s="17">
        <v>91.698999999999998</v>
      </c>
      <c r="E54" s="23">
        <v>14.09</v>
      </c>
      <c r="F54" s="13">
        <v>6691.8</v>
      </c>
      <c r="G54" s="26">
        <v>11.4</v>
      </c>
      <c r="H54" s="26">
        <v>70</v>
      </c>
      <c r="I54" s="17">
        <v>4</v>
      </c>
      <c r="J54" s="26">
        <v>13.2</v>
      </c>
      <c r="K54" s="8">
        <v>23.5</v>
      </c>
      <c r="L54" s="8">
        <v>61.150166209809001</v>
      </c>
      <c r="M54" s="8">
        <v>2.028</v>
      </c>
    </row>
    <row r="55" spans="1:13">
      <c r="A55" s="22" t="s">
        <v>317</v>
      </c>
      <c r="B55" s="17">
        <v>50</v>
      </c>
      <c r="C55" s="8">
        <v>1.3</v>
      </c>
      <c r="D55" s="17">
        <v>85.22</v>
      </c>
      <c r="E55" s="23">
        <v>36.57</v>
      </c>
      <c r="F55" s="8">
        <v>7425.06</v>
      </c>
      <c r="G55" s="8">
        <v>5.4</v>
      </c>
      <c r="H55" s="8">
        <v>68.099999999999994</v>
      </c>
      <c r="I55" s="29">
        <v>5</v>
      </c>
      <c r="J55" s="8">
        <v>10.1</v>
      </c>
      <c r="K55" s="8">
        <v>22.6</v>
      </c>
      <c r="L55" s="8">
        <v>64.626085387217501</v>
      </c>
      <c r="M55" s="8">
        <v>1.8089999999999999</v>
      </c>
    </row>
    <row r="56" spans="1:13">
      <c r="A56" s="22" t="s">
        <v>191</v>
      </c>
      <c r="B56" s="17">
        <v>72</v>
      </c>
      <c r="C56" s="8">
        <v>14.5</v>
      </c>
      <c r="D56" s="17">
        <v>92.600000000000009</v>
      </c>
      <c r="E56" s="23">
        <v>0.43</v>
      </c>
      <c r="F56" s="13">
        <v>5592.63</v>
      </c>
      <c r="G56" s="8">
        <v>8.6999999999999993</v>
      </c>
      <c r="H56" s="8">
        <v>75</v>
      </c>
      <c r="I56" s="17">
        <v>4</v>
      </c>
      <c r="J56" s="8">
        <v>11.3</v>
      </c>
      <c r="K56" s="8">
        <v>41.2</v>
      </c>
      <c r="L56" s="8">
        <v>62.7595223071216</v>
      </c>
      <c r="M56" s="8">
        <v>2.6150000000000002</v>
      </c>
    </row>
    <row r="57" spans="1:13">
      <c r="A57" s="22" t="s">
        <v>199</v>
      </c>
      <c r="B57" s="17">
        <v>35</v>
      </c>
      <c r="C57" s="8">
        <v>2.6</v>
      </c>
      <c r="D57" s="17">
        <v>53.386000000000003</v>
      </c>
      <c r="E57" s="23">
        <v>92.210000000000008</v>
      </c>
      <c r="F57" s="13">
        <v>28915.65</v>
      </c>
      <c r="G57" s="8">
        <v>5.0999999999999996</v>
      </c>
      <c r="H57" s="8">
        <v>64.5</v>
      </c>
      <c r="I57" s="17">
        <v>3</v>
      </c>
      <c r="J57" s="8">
        <v>10.1</v>
      </c>
      <c r="K57" s="8">
        <v>33.6</v>
      </c>
      <c r="L57" s="8">
        <v>57.301975115380898</v>
      </c>
      <c r="M57" s="8">
        <v>1.9950000000000001</v>
      </c>
    </row>
    <row r="58" spans="1:13">
      <c r="A58" s="22" t="s">
        <v>201</v>
      </c>
      <c r="B58" s="17">
        <v>76</v>
      </c>
      <c r="C58" s="8">
        <v>4.5999999999999996</v>
      </c>
      <c r="D58" s="17">
        <v>97.100000000000009</v>
      </c>
      <c r="E58" s="23">
        <v>0.02</v>
      </c>
      <c r="F58" s="8">
        <v>33573.870000000003</v>
      </c>
      <c r="G58" s="8">
        <v>10.6</v>
      </c>
      <c r="H58" s="8">
        <v>74.900000000000006</v>
      </c>
      <c r="I58" s="17">
        <v>5</v>
      </c>
      <c r="J58" s="8">
        <v>13.3</v>
      </c>
      <c r="K58" s="8">
        <v>43.7</v>
      </c>
      <c r="L58" s="8">
        <v>69.787924530066505</v>
      </c>
      <c r="M58" s="8">
        <v>1.4710000000000001</v>
      </c>
    </row>
    <row r="59" spans="1:13">
      <c r="A59" s="22" t="s">
        <v>203</v>
      </c>
      <c r="B59" s="17">
        <v>42</v>
      </c>
      <c r="C59" s="8">
        <v>7.7</v>
      </c>
      <c r="D59" s="17">
        <v>82.546999999999997</v>
      </c>
      <c r="E59" s="23">
        <v>68.790000000000006</v>
      </c>
      <c r="F59" s="13">
        <v>21904.98</v>
      </c>
      <c r="G59" s="8">
        <v>2.2999999999999998</v>
      </c>
      <c r="H59" s="8">
        <v>58.9</v>
      </c>
      <c r="I59" s="17">
        <v>4</v>
      </c>
      <c r="J59" s="8">
        <v>7.4</v>
      </c>
      <c r="K59" s="8">
        <v>26.7</v>
      </c>
      <c r="L59" s="8">
        <v>50.168993511658996</v>
      </c>
      <c r="M59" s="8">
        <v>2.911</v>
      </c>
    </row>
    <row r="60" spans="1:13">
      <c r="A60" s="22" t="s">
        <v>208</v>
      </c>
      <c r="B60" s="17">
        <v>74</v>
      </c>
      <c r="C60" s="8">
        <v>4.4000000000000004</v>
      </c>
      <c r="D60" s="17">
        <v>99.68</v>
      </c>
      <c r="E60" s="23">
        <v>8.41</v>
      </c>
      <c r="F60" s="13">
        <v>126705.14</v>
      </c>
      <c r="G60" s="8">
        <v>9.1999999999999993</v>
      </c>
      <c r="H60" s="8">
        <v>70.2</v>
      </c>
      <c r="I60" s="17">
        <v>3</v>
      </c>
      <c r="J60" s="8">
        <v>14.9</v>
      </c>
      <c r="K60" s="8">
        <v>34.200000000000003</v>
      </c>
      <c r="L60" s="8">
        <v>61.000611980945301</v>
      </c>
      <c r="M60" s="8">
        <v>2.6120000000000001</v>
      </c>
    </row>
    <row r="61" spans="1:13">
      <c r="A61" s="22" t="s">
        <v>210</v>
      </c>
      <c r="B61" s="17">
        <v>67</v>
      </c>
      <c r="C61" s="8">
        <v>4</v>
      </c>
      <c r="D61" s="17">
        <v>90.570000000000007</v>
      </c>
      <c r="E61" s="23">
        <v>0.41000000000000003</v>
      </c>
      <c r="F61" s="13">
        <v>2615.1999999999998</v>
      </c>
      <c r="G61" s="8">
        <v>11.8</v>
      </c>
      <c r="H61" s="8">
        <v>68.8</v>
      </c>
      <c r="I61" s="17">
        <v>2</v>
      </c>
      <c r="J61" s="8">
        <v>14.4</v>
      </c>
      <c r="K61" s="8">
        <v>40.5</v>
      </c>
      <c r="L61" s="8">
        <v>60.524699060716102</v>
      </c>
      <c r="M61" s="8">
        <v>1.8819999999999999</v>
      </c>
    </row>
    <row r="62" spans="1:13">
      <c r="A62" s="22" t="s">
        <v>214</v>
      </c>
      <c r="B62" s="17">
        <v>67</v>
      </c>
      <c r="C62" s="8">
        <v>18.5</v>
      </c>
      <c r="D62" s="17">
        <v>98.856999999999999</v>
      </c>
      <c r="E62" s="23">
        <v>4.1100000000000003</v>
      </c>
      <c r="F62" s="13">
        <v>619.21</v>
      </c>
      <c r="G62" s="8">
        <v>12.2</v>
      </c>
      <c r="H62" s="8">
        <v>76.3</v>
      </c>
      <c r="I62" s="29">
        <v>2</v>
      </c>
      <c r="J62" s="8">
        <v>15.1</v>
      </c>
      <c r="K62" s="8">
        <v>30.7</v>
      </c>
      <c r="L62" s="8">
        <v>59.810829680372301</v>
      </c>
      <c r="M62" s="8">
        <v>1.8009999999999999</v>
      </c>
    </row>
    <row r="63" spans="1:13">
      <c r="A63" s="22" t="s">
        <v>215</v>
      </c>
      <c r="B63" s="17">
        <v>73</v>
      </c>
      <c r="C63" s="8">
        <v>11.5</v>
      </c>
      <c r="D63" s="17">
        <v>90.402000000000001</v>
      </c>
      <c r="E63" s="23">
        <v>5.17</v>
      </c>
      <c r="F63" s="13">
        <v>37076.58</v>
      </c>
      <c r="G63" s="8">
        <v>5.9</v>
      </c>
      <c r="H63" s="8">
        <v>74</v>
      </c>
      <c r="I63" s="17">
        <v>3</v>
      </c>
      <c r="J63" s="8">
        <v>14.2</v>
      </c>
      <c r="K63" s="8">
        <v>22.7</v>
      </c>
      <c r="L63" s="8">
        <v>59.572873220257698</v>
      </c>
      <c r="M63" s="8">
        <v>1.9690000000000001</v>
      </c>
    </row>
    <row r="64" spans="1:13">
      <c r="A64" s="22" t="s">
        <v>216</v>
      </c>
      <c r="B64" s="17">
        <v>47</v>
      </c>
      <c r="C64" s="8">
        <v>4</v>
      </c>
      <c r="D64" s="17">
        <v>63.369</v>
      </c>
      <c r="E64" s="23">
        <v>80.400000000000006</v>
      </c>
      <c r="F64" s="13">
        <v>32077.07</v>
      </c>
      <c r="G64" s="8">
        <v>3.2</v>
      </c>
      <c r="H64" s="8">
        <v>59.3</v>
      </c>
      <c r="I64" s="17">
        <v>3</v>
      </c>
      <c r="J64" s="8">
        <v>10.199999999999999</v>
      </c>
      <c r="K64" s="8">
        <v>37.9</v>
      </c>
      <c r="L64" s="8">
        <v>59.334916760143102</v>
      </c>
      <c r="M64" s="8">
        <v>2.3159999999999998</v>
      </c>
    </row>
    <row r="65" spans="1:13">
      <c r="A65" s="22" t="s">
        <v>221</v>
      </c>
      <c r="B65" s="17">
        <v>86</v>
      </c>
      <c r="C65" s="8">
        <v>4</v>
      </c>
      <c r="D65" s="17">
        <v>100</v>
      </c>
      <c r="E65" s="23">
        <v>0.23</v>
      </c>
      <c r="F65" s="13">
        <v>17533.04</v>
      </c>
      <c r="G65" s="8">
        <v>12.6</v>
      </c>
      <c r="H65" s="8">
        <v>81.7</v>
      </c>
      <c r="I65" s="17">
        <v>2</v>
      </c>
      <c r="J65" s="8">
        <v>18.7</v>
      </c>
      <c r="K65" s="8">
        <v>76.8</v>
      </c>
      <c r="L65" s="8">
        <v>58.145134459570102</v>
      </c>
      <c r="M65" s="8">
        <v>1.522</v>
      </c>
    </row>
    <row r="66" spans="1:13">
      <c r="A66" s="22" t="s">
        <v>223</v>
      </c>
      <c r="B66" s="17">
        <v>86</v>
      </c>
      <c r="C66" s="8">
        <v>4.0999999999999996</v>
      </c>
      <c r="D66" s="17">
        <v>100</v>
      </c>
      <c r="E66" s="23">
        <v>0.02</v>
      </c>
      <c r="F66" s="13">
        <v>5122.6000000000004</v>
      </c>
      <c r="G66" s="8">
        <v>12.9</v>
      </c>
      <c r="H66" s="8">
        <v>82.5</v>
      </c>
      <c r="I66" s="17">
        <v>2</v>
      </c>
      <c r="J66" s="8">
        <v>20.3</v>
      </c>
      <c r="K66" s="8">
        <v>93.2</v>
      </c>
      <c r="L66" s="8">
        <v>57.669221539340903</v>
      </c>
      <c r="M66" s="8">
        <v>1.2689999999999999</v>
      </c>
    </row>
    <row r="67" spans="1:13">
      <c r="A67" s="22" t="s">
        <v>226</v>
      </c>
      <c r="B67" s="17">
        <v>44</v>
      </c>
      <c r="C67" s="8">
        <v>9.8000000000000007</v>
      </c>
      <c r="D67" s="17">
        <v>77.608999999999995</v>
      </c>
      <c r="E67" s="23">
        <v>44.37</v>
      </c>
      <c r="F67" s="13">
        <v>213401.32</v>
      </c>
      <c r="G67" s="8">
        <v>7.2</v>
      </c>
      <c r="H67" s="8">
        <v>52.7</v>
      </c>
      <c r="I67" s="17">
        <v>4</v>
      </c>
      <c r="J67" s="8">
        <v>10.1</v>
      </c>
      <c r="K67" s="8">
        <v>13.8</v>
      </c>
      <c r="L67" s="8">
        <v>56.955352158997101</v>
      </c>
      <c r="M67" s="8">
        <v>2.7250000000000001</v>
      </c>
    </row>
    <row r="68" spans="1:13">
      <c r="A68" s="22" t="s">
        <v>316</v>
      </c>
      <c r="B68" s="17">
        <v>68</v>
      </c>
      <c r="C68" s="8">
        <v>16.2</v>
      </c>
      <c r="D68" s="17">
        <v>97.742999999999995</v>
      </c>
      <c r="E68" s="23">
        <v>5.5</v>
      </c>
      <c r="F68" s="13">
        <v>2065.09</v>
      </c>
      <c r="G68" s="8">
        <v>10.199999999999999</v>
      </c>
      <c r="H68" s="8">
        <v>73.8</v>
      </c>
      <c r="I68" s="17">
        <v>3</v>
      </c>
      <c r="J68" s="8">
        <v>13.6</v>
      </c>
      <c r="K68" s="8">
        <v>22.6</v>
      </c>
      <c r="L68" s="8">
        <v>69.165965397726495</v>
      </c>
      <c r="M68" s="8">
        <v>1.704</v>
      </c>
    </row>
    <row r="69" spans="1:13">
      <c r="A69" s="22" t="s">
        <v>229</v>
      </c>
      <c r="B69" s="17">
        <v>86</v>
      </c>
      <c r="C69" s="8">
        <v>5</v>
      </c>
      <c r="D69" s="17">
        <v>100</v>
      </c>
      <c r="E69" s="23">
        <v>0.31</v>
      </c>
      <c r="F69" s="13">
        <v>5408.32</v>
      </c>
      <c r="G69" s="8">
        <v>13</v>
      </c>
      <c r="H69" s="8">
        <v>83.2</v>
      </c>
      <c r="I69" s="17">
        <v>1</v>
      </c>
      <c r="J69" s="8">
        <v>18.2</v>
      </c>
      <c r="K69" s="8">
        <v>92.4</v>
      </c>
      <c r="L69" s="8">
        <v>64.935357460206106</v>
      </c>
      <c r="M69" s="8">
        <v>1.4650000000000001</v>
      </c>
    </row>
    <row r="70" spans="1:13">
      <c r="A70" s="22" t="s">
        <v>231</v>
      </c>
      <c r="B70" s="17">
        <v>45</v>
      </c>
      <c r="C70" s="8">
        <v>4.4000000000000004</v>
      </c>
      <c r="D70" s="17">
        <v>90.149000000000001</v>
      </c>
      <c r="E70" s="23">
        <v>36.99</v>
      </c>
      <c r="F70" s="13">
        <v>231402.12</v>
      </c>
      <c r="G70" s="8">
        <v>4.5</v>
      </c>
      <c r="H70" s="8">
        <v>66.099999999999994</v>
      </c>
      <c r="I70" s="17">
        <v>5</v>
      </c>
      <c r="J70" s="8">
        <v>8.6999999999999993</v>
      </c>
      <c r="K70" s="8">
        <v>5.7</v>
      </c>
      <c r="L70" s="8">
        <v>58.838485170035199</v>
      </c>
      <c r="M70" s="8">
        <v>2.7890000000000001</v>
      </c>
    </row>
    <row r="71" spans="1:13">
      <c r="A71" s="22" t="s">
        <v>233</v>
      </c>
      <c r="B71" s="17">
        <v>77</v>
      </c>
      <c r="C71" s="8">
        <v>12.1</v>
      </c>
      <c r="D71" s="17">
        <v>94.373000000000005</v>
      </c>
      <c r="E71" s="13">
        <v>0.46</v>
      </c>
      <c r="F71" s="13">
        <v>4351.2700000000004</v>
      </c>
      <c r="G71" s="8">
        <v>10.5</v>
      </c>
      <c r="H71" s="8">
        <v>76.2</v>
      </c>
      <c r="I71" s="17">
        <v>3</v>
      </c>
      <c r="J71" s="8">
        <v>13.1</v>
      </c>
      <c r="K71" s="8">
        <v>51.9</v>
      </c>
      <c r="L71" s="8">
        <v>65.026450916480201</v>
      </c>
      <c r="M71" s="8">
        <v>1.8759999999999999</v>
      </c>
    </row>
    <row r="72" spans="1:13">
      <c r="A72" s="22" t="s">
        <v>235</v>
      </c>
      <c r="B72" s="17">
        <v>61</v>
      </c>
      <c r="C72" s="8">
        <v>7.2</v>
      </c>
      <c r="D72" s="17">
        <v>99.593000000000004</v>
      </c>
      <c r="E72" s="23">
        <v>4.2</v>
      </c>
      <c r="F72" s="13">
        <v>6703.8</v>
      </c>
      <c r="G72" s="8">
        <v>8.9</v>
      </c>
      <c r="H72" s="8">
        <v>70.3</v>
      </c>
      <c r="I72" s="17">
        <v>3</v>
      </c>
      <c r="J72" s="8">
        <v>13</v>
      </c>
      <c r="K72" s="8">
        <v>43.3</v>
      </c>
      <c r="L72" s="8">
        <v>64.750643627590904</v>
      </c>
      <c r="M72" s="8">
        <v>1.976</v>
      </c>
    </row>
    <row r="73" spans="1:13">
      <c r="A73" s="22" t="s">
        <v>236</v>
      </c>
      <c r="B73" s="17">
        <v>78</v>
      </c>
      <c r="C73" s="8">
        <v>4.8</v>
      </c>
      <c r="D73" s="17">
        <v>93.138999999999996</v>
      </c>
      <c r="E73" s="23">
        <v>7.08</v>
      </c>
      <c r="F73" s="13">
        <v>33715.47</v>
      </c>
      <c r="G73" s="8">
        <v>9.9</v>
      </c>
      <c r="H73" s="8">
        <v>72.400000000000006</v>
      </c>
      <c r="I73" s="17">
        <v>4</v>
      </c>
      <c r="J73" s="8">
        <v>15.4</v>
      </c>
      <c r="K73" s="8">
        <v>41.5</v>
      </c>
      <c r="L73" s="8">
        <v>65.349283340142506</v>
      </c>
      <c r="M73" s="8">
        <v>2.0910000000000002</v>
      </c>
    </row>
    <row r="74" spans="1:13">
      <c r="A74" s="22" t="s">
        <v>237</v>
      </c>
      <c r="B74" s="17">
        <v>55</v>
      </c>
      <c r="C74" s="8">
        <v>2.4</v>
      </c>
      <c r="D74" s="17">
        <v>94.109000000000009</v>
      </c>
      <c r="E74" s="23">
        <v>25.25</v>
      </c>
      <c r="F74" s="35">
        <v>113880.33</v>
      </c>
      <c r="G74" s="8">
        <v>9</v>
      </c>
      <c r="H74" s="8">
        <v>69.3</v>
      </c>
      <c r="I74" s="17">
        <v>5</v>
      </c>
      <c r="J74" s="8">
        <v>13.1</v>
      </c>
      <c r="K74" s="8">
        <v>25.9</v>
      </c>
      <c r="L74" s="8">
        <v>64.037052123699496</v>
      </c>
      <c r="M74" s="8">
        <v>2.339</v>
      </c>
    </row>
    <row r="75" spans="1:13">
      <c r="A75" s="22" t="s">
        <v>238</v>
      </c>
      <c r="B75" s="17">
        <v>74</v>
      </c>
      <c r="C75" s="8">
        <v>3.4</v>
      </c>
      <c r="D75" s="17">
        <v>99.966999999999999</v>
      </c>
      <c r="E75" s="23">
        <v>0.08</v>
      </c>
      <c r="F75" s="13">
        <v>37747.120000000003</v>
      </c>
      <c r="G75" s="8">
        <v>13.2</v>
      </c>
      <c r="H75" s="8">
        <v>76.5</v>
      </c>
      <c r="I75" s="17">
        <v>3</v>
      </c>
      <c r="J75" s="8">
        <v>16</v>
      </c>
      <c r="K75" s="8">
        <v>40.4</v>
      </c>
      <c r="L75" s="8">
        <v>65.7944426901566</v>
      </c>
      <c r="M75" s="8">
        <v>1.552</v>
      </c>
    </row>
    <row r="76" spans="1:13">
      <c r="A76" s="22" t="s">
        <v>239</v>
      </c>
      <c r="B76" s="17">
        <v>84</v>
      </c>
      <c r="C76" s="8">
        <v>6.6</v>
      </c>
      <c r="D76" s="17">
        <v>99.912000000000006</v>
      </c>
      <c r="E76" s="23">
        <v>0.46</v>
      </c>
      <c r="F76" s="13">
        <v>10325.15</v>
      </c>
      <c r="G76" s="8">
        <v>9.6</v>
      </c>
      <c r="H76" s="8">
        <v>81</v>
      </c>
      <c r="I76" s="17">
        <v>2</v>
      </c>
      <c r="J76" s="8">
        <v>16.899999999999999</v>
      </c>
      <c r="K76" s="8">
        <v>78.099999999999994</v>
      </c>
      <c r="L76" s="8">
        <v>64.096029942557394</v>
      </c>
      <c r="M76" s="8">
        <v>1.3009999999999999</v>
      </c>
    </row>
    <row r="77" spans="1:13">
      <c r="A77" s="22" t="s">
        <v>242</v>
      </c>
      <c r="B77" s="17">
        <v>71</v>
      </c>
      <c r="C77" s="8">
        <v>5.2</v>
      </c>
      <c r="D77" s="17">
        <v>100</v>
      </c>
      <c r="E77" s="23">
        <v>3.13</v>
      </c>
      <c r="F77" s="13">
        <v>19119.88</v>
      </c>
      <c r="G77">
        <v>11.3</v>
      </c>
      <c r="H77" s="8">
        <v>74.2</v>
      </c>
      <c r="I77" s="17">
        <v>4</v>
      </c>
      <c r="J77" s="8">
        <v>14.2</v>
      </c>
      <c r="K77" s="8">
        <v>39.200000000000003</v>
      </c>
      <c r="L77" s="8">
        <v>65.049579482382597</v>
      </c>
      <c r="M77" s="8">
        <v>1.64</v>
      </c>
    </row>
    <row r="78" spans="1:13">
      <c r="A78" s="22" t="s">
        <v>244</v>
      </c>
      <c r="B78" s="17">
        <v>54</v>
      </c>
      <c r="C78" s="8">
        <v>1.6</v>
      </c>
      <c r="D78" s="17">
        <v>60.414999999999999</v>
      </c>
      <c r="E78" s="23">
        <v>74.36</v>
      </c>
      <c r="F78" s="13">
        <v>13461.89</v>
      </c>
      <c r="G78" s="8">
        <v>4.4000000000000004</v>
      </c>
      <c r="H78" s="8">
        <v>66.099999999999994</v>
      </c>
      <c r="I78" s="17">
        <v>3</v>
      </c>
      <c r="J78" s="8">
        <v>11.2</v>
      </c>
      <c r="K78" s="8">
        <v>24.7</v>
      </c>
      <c r="L78" s="8">
        <v>57.967094138916302</v>
      </c>
      <c r="M78" s="8">
        <v>1.9450000000000001</v>
      </c>
    </row>
    <row r="79" spans="1:13">
      <c r="A79" s="22" t="s">
        <v>249</v>
      </c>
      <c r="B79" s="17">
        <v>49</v>
      </c>
      <c r="C79" s="8">
        <v>3.7</v>
      </c>
      <c r="D79" s="17">
        <v>84.905000000000001</v>
      </c>
      <c r="E79" s="23">
        <v>57.21</v>
      </c>
      <c r="F79" s="13">
        <v>16876.72</v>
      </c>
      <c r="G79" s="8">
        <v>2.9</v>
      </c>
      <c r="H79" s="8">
        <v>67.099999999999994</v>
      </c>
      <c r="I79" s="17">
        <v>4</v>
      </c>
      <c r="J79" s="8">
        <v>0</v>
      </c>
      <c r="K79" s="8">
        <v>22.1</v>
      </c>
      <c r="L79" s="8">
        <v>55.081950165671998</v>
      </c>
      <c r="M79" s="8">
        <v>1.9159999999999999</v>
      </c>
    </row>
    <row r="80" spans="1:13">
      <c r="A80" s="22" t="s">
        <v>250</v>
      </c>
      <c r="B80" s="17">
        <v>71</v>
      </c>
      <c r="C80" s="8">
        <v>11.8</v>
      </c>
      <c r="D80" s="17">
        <v>95.296000000000006</v>
      </c>
      <c r="E80" s="23">
        <v>0.19</v>
      </c>
      <c r="F80" s="13">
        <v>6834.33</v>
      </c>
      <c r="G80" s="8">
        <v>11.4</v>
      </c>
      <c r="H80" s="8">
        <v>74.2</v>
      </c>
      <c r="I80" s="17">
        <v>4</v>
      </c>
      <c r="J80" s="8">
        <v>14.4</v>
      </c>
      <c r="K80" s="8">
        <v>29.4</v>
      </c>
      <c r="L80" s="8">
        <v>65.011278622858896</v>
      </c>
      <c r="M80" s="8">
        <v>1.8320000000000001</v>
      </c>
    </row>
    <row r="81" spans="1:13">
      <c r="A81" s="22" t="s">
        <v>253</v>
      </c>
      <c r="B81" s="17">
        <v>86</v>
      </c>
      <c r="C81" s="8">
        <v>3.6</v>
      </c>
      <c r="D81" s="17">
        <v>100</v>
      </c>
      <c r="E81" s="23">
        <v>0.99</v>
      </c>
      <c r="F81" s="35">
        <v>5453.57</v>
      </c>
      <c r="G81" s="8">
        <v>11.9</v>
      </c>
      <c r="H81" s="8">
        <v>82.8</v>
      </c>
      <c r="I81" s="17">
        <v>2</v>
      </c>
      <c r="J81" s="8">
        <v>16.5</v>
      </c>
      <c r="K81" s="8">
        <v>69.2</v>
      </c>
      <c r="L81" s="8">
        <v>73.880883724378805</v>
      </c>
      <c r="M81" s="8">
        <v>1.3260000000000001</v>
      </c>
    </row>
    <row r="82" spans="1:13">
      <c r="A82" s="22" t="s">
        <v>314</v>
      </c>
      <c r="B82" s="17">
        <v>77</v>
      </c>
      <c r="C82" s="8">
        <v>6.7</v>
      </c>
      <c r="D82" s="17">
        <v>99.787999999999997</v>
      </c>
      <c r="E82" s="23">
        <v>0.75</v>
      </c>
      <c r="F82" s="13">
        <v>5447.25</v>
      </c>
      <c r="G82" s="8">
        <v>12.9</v>
      </c>
      <c r="H82" s="8">
        <v>74.900000000000006</v>
      </c>
      <c r="I82" s="17">
        <v>2</v>
      </c>
      <c r="J82" s="8">
        <v>14.5</v>
      </c>
      <c r="K82" s="8">
        <v>50.9</v>
      </c>
      <c r="L82" s="8">
        <v>66.890489097811894</v>
      </c>
      <c r="M82" s="8">
        <v>1.4990000000000001</v>
      </c>
    </row>
    <row r="83" spans="1:13">
      <c r="A83" s="22" t="s">
        <v>260</v>
      </c>
      <c r="B83" s="17">
        <v>67</v>
      </c>
      <c r="C83" s="8">
        <v>33.6</v>
      </c>
      <c r="D83" s="17">
        <v>93.885000000000005</v>
      </c>
      <c r="E83" s="23">
        <v>37.119999999999997</v>
      </c>
      <c r="F83" s="13">
        <v>59392.25</v>
      </c>
      <c r="G83" s="8">
        <v>11.4</v>
      </c>
      <c r="H83" s="8">
        <v>62.3</v>
      </c>
      <c r="I83" s="17">
        <v>3</v>
      </c>
      <c r="J83" s="8">
        <v>13.6</v>
      </c>
      <c r="K83" s="8">
        <v>22.2</v>
      </c>
      <c r="L83" s="8">
        <v>65.354906965563103</v>
      </c>
      <c r="M83" s="8">
        <v>2.2829999999999999</v>
      </c>
    </row>
    <row r="84" spans="1:13">
      <c r="A84" s="22" t="s">
        <v>313</v>
      </c>
      <c r="B84" s="17">
        <v>87</v>
      </c>
      <c r="C84" s="8">
        <v>3.5</v>
      </c>
      <c r="D84" s="17">
        <v>99.930999999999997</v>
      </c>
      <c r="E84" s="13">
        <v>0.46</v>
      </c>
      <c r="F84" s="13">
        <v>51744.88</v>
      </c>
      <c r="G84" s="8">
        <v>12.5</v>
      </c>
      <c r="H84" s="8">
        <v>83.7</v>
      </c>
      <c r="I84" s="8">
        <v>5</v>
      </c>
      <c r="J84" s="8">
        <v>16.5</v>
      </c>
      <c r="K84" s="8">
        <v>62.9</v>
      </c>
      <c r="L84">
        <v>71.456879558050204</v>
      </c>
      <c r="M84" s="8">
        <v>1.7789999999999999</v>
      </c>
    </row>
    <row r="85" spans="1:13">
      <c r="A85" s="22" t="s">
        <v>263</v>
      </c>
      <c r="B85" s="17">
        <v>86</v>
      </c>
      <c r="C85" s="8">
        <v>14.7</v>
      </c>
      <c r="D85" s="17">
        <v>99.926000000000002</v>
      </c>
      <c r="E85" s="23">
        <v>1.03</v>
      </c>
      <c r="F85" s="13">
        <v>47415.75</v>
      </c>
      <c r="G85" s="8">
        <v>10.6</v>
      </c>
      <c r="H85" s="8">
        <v>83</v>
      </c>
      <c r="I85" s="17">
        <v>2</v>
      </c>
      <c r="J85" s="8">
        <v>17.899999999999999</v>
      </c>
      <c r="K85" s="8">
        <v>74</v>
      </c>
      <c r="L85" s="8">
        <v>65.9902065694491</v>
      </c>
      <c r="M85" s="8">
        <v>1.603</v>
      </c>
    </row>
    <row r="86" spans="1:13">
      <c r="A86" s="22" t="s">
        <v>264</v>
      </c>
      <c r="B86" s="17">
        <v>67</v>
      </c>
      <c r="C86" s="8">
        <v>5.4</v>
      </c>
      <c r="D86" s="17">
        <v>92.228000000000009</v>
      </c>
      <c r="E86" s="23">
        <v>7.3900000000000006</v>
      </c>
      <c r="F86" s="13">
        <v>22156</v>
      </c>
      <c r="G86" s="8">
        <v>10.8</v>
      </c>
      <c r="H86" s="8">
        <v>76.400000000000006</v>
      </c>
      <c r="I86" s="17">
        <v>4</v>
      </c>
      <c r="J86" s="8">
        <v>14.1</v>
      </c>
      <c r="K86" s="8">
        <v>32.5</v>
      </c>
      <c r="L86" s="8">
        <v>65.628695657904899</v>
      </c>
      <c r="M86" s="8">
        <v>2.02</v>
      </c>
    </row>
    <row r="87" spans="1:13">
      <c r="A87" s="22" t="s">
        <v>272</v>
      </c>
      <c r="B87" s="17">
        <v>87</v>
      </c>
      <c r="C87" s="8">
        <v>8.6999999999999993</v>
      </c>
      <c r="D87" s="17">
        <v>99.826999999999998</v>
      </c>
      <c r="E87" s="23">
        <v>0.72</v>
      </c>
      <c r="F87" s="13">
        <v>10415.81</v>
      </c>
      <c r="G87" s="8">
        <v>12.6</v>
      </c>
      <c r="H87" s="8">
        <v>83</v>
      </c>
      <c r="I87" s="17">
        <v>1</v>
      </c>
      <c r="J87" s="8">
        <v>19.399999999999999</v>
      </c>
      <c r="K87" s="8">
        <v>94</v>
      </c>
      <c r="L87" s="8">
        <v>62.181687052293498</v>
      </c>
      <c r="M87" s="8">
        <v>1.5640000000000001</v>
      </c>
    </row>
    <row r="88" spans="1:13">
      <c r="A88" s="22" t="s">
        <v>273</v>
      </c>
      <c r="B88" s="17">
        <v>87</v>
      </c>
      <c r="C88" s="8">
        <v>5.3</v>
      </c>
      <c r="D88" s="17">
        <v>100</v>
      </c>
      <c r="E88" s="23">
        <v>0.19</v>
      </c>
      <c r="F88" s="13">
        <v>8703.41</v>
      </c>
      <c r="G88" s="8">
        <v>13.9</v>
      </c>
      <c r="H88" s="8">
        <v>84</v>
      </c>
      <c r="I88" s="29">
        <v>2</v>
      </c>
      <c r="J88" s="8">
        <v>16.5</v>
      </c>
      <c r="K88" s="8">
        <v>84.3</v>
      </c>
      <c r="L88" s="8">
        <v>65.9689775181957</v>
      </c>
      <c r="M88" s="8">
        <v>1.357</v>
      </c>
    </row>
    <row r="89" spans="1:13">
      <c r="A89" s="22" t="s">
        <v>278</v>
      </c>
      <c r="B89" s="17">
        <v>46</v>
      </c>
      <c r="C89" s="8">
        <v>2.6</v>
      </c>
      <c r="D89" s="17">
        <v>60.716999999999999</v>
      </c>
      <c r="E89" s="23">
        <v>75.180000000000007</v>
      </c>
      <c r="F89" s="13">
        <v>63588.33</v>
      </c>
      <c r="G89" s="8">
        <v>6.4</v>
      </c>
      <c r="H89" s="8">
        <v>66.2</v>
      </c>
      <c r="I89" s="17">
        <v>4</v>
      </c>
      <c r="J89" s="8">
        <v>9.1999999999999993</v>
      </c>
      <c r="K89" s="8">
        <v>33.200000000000003</v>
      </c>
      <c r="L89" s="8">
        <v>53.274958422405</v>
      </c>
      <c r="M89" s="8">
        <v>2.0009999999999999</v>
      </c>
    </row>
    <row r="90" spans="1:13">
      <c r="A90" s="22" t="s">
        <v>279</v>
      </c>
      <c r="B90" s="17">
        <v>83</v>
      </c>
      <c r="C90" s="8">
        <v>1.4</v>
      </c>
      <c r="D90" s="17">
        <v>100</v>
      </c>
      <c r="E90" s="23">
        <v>0.01</v>
      </c>
      <c r="F90" s="35">
        <v>71601.100000000006</v>
      </c>
      <c r="G90" s="8">
        <v>8.6999999999999993</v>
      </c>
      <c r="H90" s="8">
        <v>78.7</v>
      </c>
      <c r="I90" s="17">
        <v>5</v>
      </c>
      <c r="J90" s="8">
        <v>15.9</v>
      </c>
      <c r="K90" s="8">
        <v>34.299999999999997</v>
      </c>
      <c r="L90" s="8">
        <v>69.688046565427896</v>
      </c>
      <c r="M90" s="8">
        <v>2.0979999999999999</v>
      </c>
    </row>
    <row r="91" spans="1:13">
      <c r="A91" s="22" t="s">
        <v>283</v>
      </c>
      <c r="B91" s="17">
        <v>70</v>
      </c>
      <c r="C91" s="8">
        <v>16.8</v>
      </c>
      <c r="D91" s="17">
        <v>97.543000000000006</v>
      </c>
      <c r="E91" s="23">
        <v>2.82</v>
      </c>
      <c r="F91" s="13">
        <v>12262.95</v>
      </c>
      <c r="G91" s="8">
        <v>7.4</v>
      </c>
      <c r="H91" s="8">
        <v>73.8</v>
      </c>
      <c r="I91" s="17">
        <v>5</v>
      </c>
      <c r="J91" s="8">
        <v>15.4</v>
      </c>
      <c r="K91" s="8">
        <v>43.3</v>
      </c>
      <c r="L91" s="8">
        <v>66.283623853517696</v>
      </c>
      <c r="M91" s="8">
        <v>1.996</v>
      </c>
    </row>
    <row r="92" spans="1:13">
      <c r="A92" s="22" t="s">
        <v>284</v>
      </c>
      <c r="B92" s="17">
        <v>79</v>
      </c>
      <c r="C92" s="8">
        <v>13.4</v>
      </c>
      <c r="D92" s="17">
        <v>97.013999999999996</v>
      </c>
      <c r="E92" s="23">
        <v>0.57000000000000006</v>
      </c>
      <c r="F92" s="13">
        <v>84775.4</v>
      </c>
      <c r="G92" s="8">
        <v>8.6</v>
      </c>
      <c r="H92" s="8">
        <v>76</v>
      </c>
      <c r="I92" s="17">
        <v>5</v>
      </c>
      <c r="J92" s="8">
        <v>18.3</v>
      </c>
      <c r="K92" s="8">
        <v>44.6</v>
      </c>
      <c r="L92" s="8">
        <v>68.140742615279905</v>
      </c>
      <c r="M92" s="8">
        <v>2.7850000000000001</v>
      </c>
    </row>
    <row r="93" spans="1:13">
      <c r="A93" s="22" t="s">
        <v>288</v>
      </c>
      <c r="B93" s="17">
        <v>50</v>
      </c>
      <c r="C93" s="8">
        <v>2.9</v>
      </c>
      <c r="D93" s="17">
        <v>55.855000000000004</v>
      </c>
      <c r="E93" s="23">
        <v>61.52</v>
      </c>
      <c r="F93" s="13">
        <v>45853.78</v>
      </c>
      <c r="G93" s="8">
        <v>5.7</v>
      </c>
      <c r="H93" s="8">
        <v>62.7</v>
      </c>
      <c r="I93" s="17">
        <v>4</v>
      </c>
      <c r="J93" s="8">
        <v>10.1</v>
      </c>
      <c r="K93" s="8">
        <v>27.4</v>
      </c>
      <c r="L93" s="8">
        <v>53.131194555004797</v>
      </c>
      <c r="M93" s="8">
        <v>2.3090000000000002</v>
      </c>
    </row>
    <row r="94" spans="1:13">
      <c r="A94" s="22" t="s">
        <v>289</v>
      </c>
      <c r="B94" s="17">
        <v>88</v>
      </c>
      <c r="C94" s="8">
        <v>4.5</v>
      </c>
      <c r="D94" s="17">
        <v>93.927999999999997</v>
      </c>
      <c r="E94" s="23">
        <v>0.33</v>
      </c>
      <c r="F94" s="13">
        <v>67326.570000000007</v>
      </c>
      <c r="G94" s="8">
        <v>13.4</v>
      </c>
      <c r="H94" s="8">
        <v>80.7</v>
      </c>
      <c r="I94" s="17">
        <v>3</v>
      </c>
      <c r="J94" s="8">
        <v>17.3</v>
      </c>
      <c r="K94" s="8">
        <v>78.599999999999994</v>
      </c>
      <c r="L94" s="8">
        <v>63.422691321527502</v>
      </c>
      <c r="M94" s="8">
        <v>1.667</v>
      </c>
    </row>
    <row r="95" spans="1:13">
      <c r="A95" s="22" t="s">
        <v>292</v>
      </c>
      <c r="B95" s="17">
        <v>79</v>
      </c>
      <c r="C95" s="8">
        <v>10.4</v>
      </c>
      <c r="D95" s="17">
        <v>99.884</v>
      </c>
      <c r="E95" s="23">
        <v>7.0000000000000007E-2</v>
      </c>
      <c r="F95" s="13">
        <v>3426.26</v>
      </c>
      <c r="G95" s="8">
        <v>9</v>
      </c>
      <c r="H95" s="8">
        <v>75.400000000000006</v>
      </c>
      <c r="I95" s="17">
        <v>2</v>
      </c>
      <c r="J95" s="8">
        <v>16.8</v>
      </c>
      <c r="K95" s="8">
        <v>63.6</v>
      </c>
      <c r="L95" s="8">
        <v>65.104788472677001</v>
      </c>
      <c r="M95" s="8">
        <v>1.7949999999999999</v>
      </c>
    </row>
    <row r="96" spans="1:13">
      <c r="A96" s="22" t="s">
        <v>312</v>
      </c>
      <c r="B96" s="17">
        <v>83</v>
      </c>
      <c r="C96" s="8">
        <v>5.5</v>
      </c>
      <c r="D96" s="17">
        <v>99.495999999999995</v>
      </c>
      <c r="E96" s="23">
        <v>0.57999999999999996</v>
      </c>
      <c r="F96" s="13">
        <v>331893.74</v>
      </c>
      <c r="G96" s="8">
        <v>13.7</v>
      </c>
      <c r="H96" s="8">
        <v>77.2</v>
      </c>
      <c r="I96" s="17">
        <v>4</v>
      </c>
      <c r="J96" s="8">
        <v>16.3</v>
      </c>
      <c r="K96" s="8">
        <v>77</v>
      </c>
      <c r="L96" s="8">
        <v>65.078069808587102</v>
      </c>
      <c r="M96" s="8">
        <v>2.44</v>
      </c>
    </row>
    <row r="97" spans="1:13">
      <c r="A97" s="22" t="s">
        <v>296</v>
      </c>
      <c r="B97" s="17">
        <v>70</v>
      </c>
      <c r="C97" s="8">
        <v>6.4</v>
      </c>
      <c r="D97" s="17">
        <v>93.686000000000007</v>
      </c>
      <c r="E97" s="23">
        <v>78.02</v>
      </c>
      <c r="F97" s="13">
        <v>28199.87</v>
      </c>
      <c r="G97" s="8">
        <v>11.1</v>
      </c>
      <c r="H97" s="8">
        <v>70.599999999999994</v>
      </c>
      <c r="I97" s="17">
        <v>4</v>
      </c>
      <c r="J97" s="8">
        <v>12.8</v>
      </c>
      <c r="K97" s="8">
        <v>46.7</v>
      </c>
      <c r="L97" s="8">
        <v>63.491135676120997</v>
      </c>
      <c r="M97" s="8">
        <v>2.798</v>
      </c>
    </row>
    <row r="98" spans="1:13">
      <c r="A98" s="22" t="s">
        <v>315</v>
      </c>
      <c r="B98" s="17">
        <v>70</v>
      </c>
      <c r="C98" s="8">
        <v>2.2000000000000002</v>
      </c>
      <c r="D98" s="17">
        <v>96.884</v>
      </c>
      <c r="E98" s="23">
        <v>3.96</v>
      </c>
      <c r="F98" s="35">
        <v>97468.03</v>
      </c>
      <c r="G98" s="8">
        <v>8.4</v>
      </c>
      <c r="H98" s="8">
        <v>73.599999999999994</v>
      </c>
      <c r="I98" s="17">
        <v>4</v>
      </c>
      <c r="J98" s="8">
        <v>13</v>
      </c>
      <c r="K98" s="8">
        <v>26.5</v>
      </c>
      <c r="L98" s="8">
        <v>68.701715865731302</v>
      </c>
      <c r="M98" s="8">
        <v>1.786</v>
      </c>
    </row>
    <row r="99" spans="1:13">
      <c r="A99" s="25" t="s">
        <v>301</v>
      </c>
      <c r="B99" s="17">
        <v>55</v>
      </c>
      <c r="C99" s="8">
        <v>13</v>
      </c>
      <c r="D99" s="17">
        <v>65.412000000000006</v>
      </c>
      <c r="E99" s="23">
        <v>76.8</v>
      </c>
      <c r="F99" s="13">
        <v>19473.13</v>
      </c>
      <c r="G99" s="26">
        <v>7.2</v>
      </c>
      <c r="H99" s="26">
        <v>61.2</v>
      </c>
      <c r="I99" s="17">
        <v>4</v>
      </c>
      <c r="J99" s="26">
        <v>10.9</v>
      </c>
      <c r="K99" s="26">
        <v>23.6</v>
      </c>
      <c r="L99" s="8">
        <v>54.998707192605202</v>
      </c>
      <c r="M99" s="26">
        <v>1.841</v>
      </c>
    </row>
  </sheetData>
  <hyperlinks>
    <hyperlink ref="C3" r:id="rId1" xr:uid="{8CB786D9-0652-2B45-A56F-72CDAA6F2F51}"/>
    <hyperlink ref="B3" r:id="rId2" xr:uid="{7371F31F-BAFD-0A48-8D32-B5ECC277644C}"/>
    <hyperlink ref="F3" r:id="rId3" xr:uid="{93A0CC44-8A5E-7A40-9647-7B572CD78DA8}"/>
    <hyperlink ref="H3" r:id="rId4" location="/indicies/HDI" xr:uid="{44BC3E7E-CF73-7842-B9D4-D3559ACBB872}"/>
    <hyperlink ref="G3" r:id="rId5" location="/indicies/HDI" xr:uid="{BC9DB7CF-CD11-B347-A9CE-DB71259368F2}"/>
    <hyperlink ref="I3" r:id="rId6" xr:uid="{B72C6D99-15DE-E54B-8A1D-83948FB42E44}"/>
    <hyperlink ref="L3" r:id="rId7" xr:uid="{7E0214E0-F6C5-4842-87A0-93F3BCDCFAA3}"/>
    <hyperlink ref="M3" r:id="rId8" location="/" xr:uid="{23334A7F-3377-9545-9FA9-110BBABA15FF}"/>
  </hyperlinks>
  <pageMargins left="0.7" right="0.7" top="0.75" bottom="0.75" header="0.3" footer="0.3"/>
  <legacy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B8992-F69E-8640-A149-A365864A8956}">
  <dimension ref="A1:Q99"/>
  <sheetViews>
    <sheetView workbookViewId="0">
      <pane ySplit="1" topLeftCell="A2" activePane="bottomLeft" state="frozen"/>
      <selection pane="bottomLeft" activeCell="E96" sqref="E96"/>
    </sheetView>
  </sheetViews>
  <sheetFormatPr baseColWidth="10" defaultRowHeight="16"/>
  <cols>
    <col min="4" max="4" width="13.6640625" customWidth="1"/>
  </cols>
  <sheetData>
    <row r="1" spans="1:17">
      <c r="A1" s="1" t="s">
        <v>0</v>
      </c>
      <c r="B1" s="1" t="s">
        <v>9</v>
      </c>
      <c r="C1" s="1" t="s">
        <v>10</v>
      </c>
      <c r="D1" s="1" t="s">
        <v>15</v>
      </c>
      <c r="E1" s="1" t="s">
        <v>303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309</v>
      </c>
      <c r="K1" s="1" t="s">
        <v>25</v>
      </c>
      <c r="L1" s="1" t="s">
        <v>304</v>
      </c>
      <c r="M1" s="1" t="s">
        <v>26</v>
      </c>
      <c r="N1" s="6" t="s">
        <v>305</v>
      </c>
      <c r="O1" s="1" t="s">
        <v>29</v>
      </c>
      <c r="P1" s="1" t="s">
        <v>30</v>
      </c>
      <c r="Q1" s="1" t="s">
        <v>306</v>
      </c>
    </row>
    <row r="2" spans="1:17">
      <c r="A2" s="1" t="s">
        <v>38</v>
      </c>
      <c r="B2" s="8" t="s">
        <v>41</v>
      </c>
      <c r="C2" s="9" t="s">
        <v>41</v>
      </c>
      <c r="D2" s="8" t="s">
        <v>41</v>
      </c>
      <c r="E2" s="8" t="s">
        <v>41</v>
      </c>
      <c r="F2" s="8" t="s">
        <v>41</v>
      </c>
      <c r="G2" s="8" t="s">
        <v>41</v>
      </c>
      <c r="H2" s="8" t="s">
        <v>41</v>
      </c>
      <c r="I2" s="8" t="s">
        <v>41</v>
      </c>
      <c r="J2" s="8" t="s">
        <v>41</v>
      </c>
      <c r="K2" s="8" t="s">
        <v>41</v>
      </c>
      <c r="L2" s="8" t="s">
        <v>41</v>
      </c>
      <c r="M2" s="8" t="s">
        <v>41</v>
      </c>
      <c r="N2" s="8" t="s">
        <v>41</v>
      </c>
      <c r="O2" s="8" t="s">
        <v>41</v>
      </c>
      <c r="P2" s="8" t="s">
        <v>41</v>
      </c>
      <c r="Q2" s="8" t="s">
        <v>41</v>
      </c>
    </row>
    <row r="3" spans="1:17">
      <c r="A3" s="1" t="s">
        <v>43</v>
      </c>
      <c r="B3" s="12" t="s">
        <v>47</v>
      </c>
      <c r="C3" s="10" t="s">
        <v>48</v>
      </c>
      <c r="D3" s="10" t="s">
        <v>51</v>
      </c>
      <c r="E3" s="8" t="s">
        <v>53</v>
      </c>
      <c r="F3" s="8" t="s">
        <v>56</v>
      </c>
      <c r="G3" s="8" t="s">
        <v>57</v>
      </c>
      <c r="H3" s="8" t="s">
        <v>47</v>
      </c>
      <c r="I3" s="8" t="s">
        <v>58</v>
      </c>
      <c r="J3" s="8" t="s">
        <v>59</v>
      </c>
      <c r="K3" s="10" t="s">
        <v>61</v>
      </c>
      <c r="L3" s="10" t="s">
        <v>62</v>
      </c>
      <c r="M3" s="8" t="s">
        <v>47</v>
      </c>
      <c r="N3" s="11" t="s">
        <v>64</v>
      </c>
      <c r="O3" s="10" t="s">
        <v>65</v>
      </c>
      <c r="P3" s="8" t="s">
        <v>66</v>
      </c>
      <c r="Q3" s="16" t="s">
        <v>69</v>
      </c>
    </row>
    <row r="4" spans="1:17">
      <c r="A4" s="1" t="s">
        <v>72</v>
      </c>
      <c r="B4" s="8">
        <v>2019</v>
      </c>
      <c r="C4" s="8" t="s">
        <v>73</v>
      </c>
      <c r="D4" s="8">
        <v>2021</v>
      </c>
      <c r="E4" s="8" t="s">
        <v>74</v>
      </c>
      <c r="F4" s="8">
        <v>2021</v>
      </c>
      <c r="G4" s="8">
        <v>2019</v>
      </c>
      <c r="H4" s="8">
        <v>2019</v>
      </c>
      <c r="I4" s="8">
        <v>2022</v>
      </c>
      <c r="J4" s="8">
        <v>2022</v>
      </c>
      <c r="K4" s="8">
        <v>2023</v>
      </c>
      <c r="L4" s="8">
        <v>2021</v>
      </c>
      <c r="M4" s="8">
        <v>2019</v>
      </c>
      <c r="N4" s="8">
        <v>2022</v>
      </c>
      <c r="O4" s="8">
        <v>2021</v>
      </c>
      <c r="P4" s="8">
        <v>2021</v>
      </c>
      <c r="Q4" s="8">
        <v>2020</v>
      </c>
    </row>
    <row r="5" spans="1:17">
      <c r="A5" s="22" t="s">
        <v>79</v>
      </c>
      <c r="B5" s="8">
        <v>65.8</v>
      </c>
      <c r="C5" s="8">
        <v>35</v>
      </c>
      <c r="D5" s="8">
        <v>-0.9</v>
      </c>
      <c r="E5" s="8">
        <v>-2392168.08</v>
      </c>
      <c r="F5" s="21">
        <v>1377655</v>
      </c>
      <c r="G5" s="8">
        <v>30</v>
      </c>
      <c r="H5" s="8">
        <v>57.7</v>
      </c>
      <c r="I5" s="8">
        <v>4.3</v>
      </c>
      <c r="J5" s="8">
        <v>70.2</v>
      </c>
      <c r="K5" s="8">
        <f>6.59*1000</f>
        <v>6590</v>
      </c>
      <c r="L5" s="8">
        <v>1218.5899999999999</v>
      </c>
      <c r="M5" s="8">
        <v>26.8</v>
      </c>
      <c r="N5" s="8">
        <v>0.107</v>
      </c>
      <c r="O5" s="8">
        <v>35</v>
      </c>
      <c r="P5" s="8">
        <v>15</v>
      </c>
      <c r="Q5" s="21">
        <v>100</v>
      </c>
    </row>
    <row r="6" spans="1:17">
      <c r="A6" s="25" t="s">
        <v>83</v>
      </c>
      <c r="B6" s="26">
        <v>45.5</v>
      </c>
      <c r="C6" s="26">
        <v>25</v>
      </c>
      <c r="D6" s="8">
        <v>3.2</v>
      </c>
      <c r="E6" s="8">
        <v>14829788.6</v>
      </c>
      <c r="F6" s="21">
        <v>14462432</v>
      </c>
      <c r="G6" s="26">
        <v>19</v>
      </c>
      <c r="H6" s="26">
        <v>40.200000000000003</v>
      </c>
      <c r="I6" s="8">
        <v>11.8</v>
      </c>
      <c r="J6" s="8">
        <v>52.5</v>
      </c>
      <c r="K6" s="8">
        <f>4*1000</f>
        <v>4000</v>
      </c>
      <c r="L6" s="8">
        <v>-4355.12</v>
      </c>
      <c r="M6" s="26">
        <v>14.9</v>
      </c>
      <c r="N6" s="26">
        <v>2.3E-2</v>
      </c>
      <c r="O6" s="26">
        <v>29</v>
      </c>
      <c r="P6" s="8">
        <v>25</v>
      </c>
      <c r="Q6" s="21">
        <v>46.890609741210902</v>
      </c>
    </row>
    <row r="7" spans="1:17">
      <c r="A7" s="22" t="s">
        <v>86</v>
      </c>
      <c r="B7" s="8">
        <v>51.1</v>
      </c>
      <c r="C7" s="8">
        <v>15</v>
      </c>
      <c r="D7" s="8">
        <v>0.9</v>
      </c>
      <c r="E7" s="8">
        <v>15052826.49</v>
      </c>
      <c r="F7" s="21">
        <v>21206029</v>
      </c>
      <c r="G7" s="8">
        <v>42</v>
      </c>
      <c r="H7" s="8">
        <v>68.3</v>
      </c>
      <c r="I7" s="8">
        <v>76.099999999999994</v>
      </c>
      <c r="J7" s="8">
        <v>69.5</v>
      </c>
      <c r="K7" s="8">
        <f>13.77*1000</f>
        <v>13770</v>
      </c>
      <c r="L7" s="8">
        <v>6782.35</v>
      </c>
      <c r="M7" s="8">
        <v>23.8</v>
      </c>
      <c r="N7" s="8">
        <v>3.5999999999999997E-2</v>
      </c>
      <c r="O7" s="8">
        <v>38</v>
      </c>
      <c r="P7" s="8">
        <v>25</v>
      </c>
      <c r="Q7" s="17">
        <v>100</v>
      </c>
    </row>
    <row r="8" spans="1:17">
      <c r="A8" s="22" t="s">
        <v>87</v>
      </c>
      <c r="B8" s="8">
        <v>55.2</v>
      </c>
      <c r="C8" s="8">
        <v>14</v>
      </c>
      <c r="D8" s="8">
        <v>-0.5</v>
      </c>
      <c r="E8" s="8">
        <v>-1107862.4099999999</v>
      </c>
      <c r="F8" s="21">
        <v>1153003</v>
      </c>
      <c r="G8" s="8">
        <v>39</v>
      </c>
      <c r="H8" s="8">
        <v>69.400000000000006</v>
      </c>
      <c r="I8" s="8">
        <v>7</v>
      </c>
      <c r="J8" s="8">
        <v>52.9</v>
      </c>
      <c r="K8" s="8">
        <f>6.57*1000</f>
        <v>6570</v>
      </c>
      <c r="L8" s="8">
        <v>367.69</v>
      </c>
      <c r="M8" s="8">
        <v>36.4</v>
      </c>
      <c r="N8" s="8">
        <v>0.10199999999999999</v>
      </c>
      <c r="O8" s="8">
        <v>49</v>
      </c>
      <c r="P8" s="8">
        <v>18</v>
      </c>
      <c r="Q8" s="17">
        <v>100</v>
      </c>
    </row>
    <row r="9" spans="1:17">
      <c r="A9" s="22" t="s">
        <v>89</v>
      </c>
      <c r="B9" s="8">
        <v>82.5</v>
      </c>
      <c r="C9" s="8">
        <v>100</v>
      </c>
      <c r="D9" s="8">
        <v>0.1</v>
      </c>
      <c r="E9" s="8">
        <v>91081898.140000001</v>
      </c>
      <c r="F9" s="21">
        <v>13786254</v>
      </c>
      <c r="G9" s="8">
        <v>70</v>
      </c>
      <c r="H9" s="8">
        <v>79.2</v>
      </c>
      <c r="I9" s="8">
        <v>4.8</v>
      </c>
      <c r="J9" s="8">
        <v>58.6</v>
      </c>
      <c r="K9" s="8">
        <f>68.02*1000</f>
        <v>68020</v>
      </c>
      <c r="L9" s="8">
        <v>29126.63</v>
      </c>
      <c r="M9" s="8">
        <v>79.2</v>
      </c>
      <c r="N9" s="8">
        <v>0.215</v>
      </c>
      <c r="O9" s="8">
        <v>73</v>
      </c>
      <c r="P9" s="8">
        <v>30</v>
      </c>
      <c r="Q9" s="17">
        <v>100</v>
      </c>
    </row>
    <row r="10" spans="1:17">
      <c r="A10" s="22" t="s">
        <v>90</v>
      </c>
      <c r="B10" s="8">
        <v>64.599999999999994</v>
      </c>
      <c r="C10" s="8">
        <v>96</v>
      </c>
      <c r="D10" s="8">
        <v>0.4</v>
      </c>
      <c r="E10" s="8">
        <v>2507552.5499999998</v>
      </c>
      <c r="F10" s="21">
        <v>4660820</v>
      </c>
      <c r="G10" s="8">
        <v>74</v>
      </c>
      <c r="H10" s="8">
        <v>89</v>
      </c>
      <c r="I10" s="8">
        <v>5.0999999999999996</v>
      </c>
      <c r="J10" s="8">
        <v>77.3</v>
      </c>
      <c r="K10" s="8">
        <f>52.32*1000</f>
        <v>52320</v>
      </c>
      <c r="L10" s="8">
        <v>7573.8</v>
      </c>
      <c r="M10" s="8">
        <v>59.4</v>
      </c>
      <c r="N10" s="8">
        <v>0.33100000000000002</v>
      </c>
      <c r="O10" s="8">
        <v>74</v>
      </c>
      <c r="P10" s="8">
        <v>25</v>
      </c>
      <c r="Q10" s="17">
        <v>100</v>
      </c>
    </row>
    <row r="11" spans="1:17">
      <c r="A11" s="22" t="s">
        <v>94</v>
      </c>
      <c r="B11" s="8">
        <v>49</v>
      </c>
      <c r="C11" s="8">
        <v>40</v>
      </c>
      <c r="D11" s="8">
        <v>1.1000000000000001</v>
      </c>
      <c r="E11" s="8">
        <v>-35916645.619999997</v>
      </c>
      <c r="F11" s="21">
        <v>70961067</v>
      </c>
      <c r="G11" s="8">
        <v>31</v>
      </c>
      <c r="H11" s="8">
        <v>51.1</v>
      </c>
      <c r="I11" s="8">
        <v>9.1</v>
      </c>
      <c r="J11" s="8">
        <v>37.200000000000003</v>
      </c>
      <c r="K11" s="8">
        <f>2.85*1000</f>
        <v>2850</v>
      </c>
      <c r="L11" s="8">
        <v>1388.5</v>
      </c>
      <c r="M11" s="8">
        <v>32.5</v>
      </c>
      <c r="N11" s="8">
        <v>5.5E-2</v>
      </c>
      <c r="O11" s="8">
        <v>26</v>
      </c>
      <c r="P11" s="8">
        <v>30</v>
      </c>
      <c r="Q11">
        <v>96.199996948242202</v>
      </c>
    </row>
    <row r="12" spans="1:17">
      <c r="A12" s="22" t="s">
        <v>97</v>
      </c>
      <c r="B12" s="8">
        <v>61.8</v>
      </c>
      <c r="C12" s="8">
        <v>86</v>
      </c>
      <c r="D12" s="8">
        <v>0.5</v>
      </c>
      <c r="E12" s="8">
        <v>6605269.3600000003</v>
      </c>
      <c r="F12" s="21">
        <v>5240308</v>
      </c>
      <c r="G12" s="8">
        <v>71</v>
      </c>
      <c r="H12" s="8">
        <v>87.3</v>
      </c>
      <c r="I12" s="8">
        <v>4.9000000000000004</v>
      </c>
      <c r="J12" s="8">
        <v>105.1</v>
      </c>
      <c r="K12" s="8">
        <f>50.91*1000</f>
        <v>50910</v>
      </c>
      <c r="L12" s="8">
        <v>68634.460000000006</v>
      </c>
      <c r="M12" s="8">
        <v>71.900000000000006</v>
      </c>
      <c r="N12" s="8">
        <v>0.436</v>
      </c>
      <c r="O12" s="8">
        <v>73</v>
      </c>
      <c r="P12" s="8">
        <v>25</v>
      </c>
      <c r="Q12" s="17">
        <v>100</v>
      </c>
    </row>
    <row r="13" spans="1:17">
      <c r="A13" s="22" t="s">
        <v>99</v>
      </c>
      <c r="B13" s="8">
        <v>54.3</v>
      </c>
      <c r="C13" s="8">
        <v>33</v>
      </c>
      <c r="D13" s="8">
        <v>2.8</v>
      </c>
      <c r="E13" s="8">
        <v>-435724.02</v>
      </c>
      <c r="F13" s="21">
        <v>5294828</v>
      </c>
      <c r="G13" s="8">
        <v>28</v>
      </c>
      <c r="H13" s="8">
        <v>40.200000000000003</v>
      </c>
      <c r="I13" s="8">
        <v>1.8</v>
      </c>
      <c r="J13" s="8">
        <v>55.6</v>
      </c>
      <c r="K13" s="8">
        <f>1.38*1000</f>
        <v>1380</v>
      </c>
      <c r="L13" s="8">
        <v>242.35</v>
      </c>
      <c r="M13" s="8">
        <v>20</v>
      </c>
      <c r="N13" s="29">
        <v>0.21</v>
      </c>
      <c r="O13" s="8">
        <v>42</v>
      </c>
      <c r="P13" s="8">
        <v>30</v>
      </c>
      <c r="Q13">
        <v>41.410957336425803</v>
      </c>
    </row>
    <row r="14" spans="1:17">
      <c r="A14" s="25" t="s">
        <v>102</v>
      </c>
      <c r="B14" s="26">
        <v>50.8</v>
      </c>
      <c r="C14" s="8">
        <v>31</v>
      </c>
      <c r="D14" s="8">
        <v>1.2</v>
      </c>
      <c r="E14" s="8">
        <v>639415.25</v>
      </c>
      <c r="F14" s="21">
        <v>6322445</v>
      </c>
      <c r="G14" s="26">
        <v>28</v>
      </c>
      <c r="H14" s="8">
        <v>57.1</v>
      </c>
      <c r="I14" s="8">
        <v>3.6</v>
      </c>
      <c r="J14" s="8">
        <v>85.1</v>
      </c>
      <c r="K14" s="8">
        <f>3.79*1000</f>
        <v>3790</v>
      </c>
      <c r="L14" s="8">
        <v>599.44000000000005</v>
      </c>
      <c r="M14" s="26">
        <v>36.299999999999997</v>
      </c>
      <c r="N14" s="29">
        <v>0.18</v>
      </c>
      <c r="O14" s="26">
        <v>30</v>
      </c>
      <c r="P14" s="8">
        <v>25</v>
      </c>
      <c r="Q14">
        <v>97.554122924804702</v>
      </c>
    </row>
    <row r="15" spans="1:17">
      <c r="A15" s="22" t="s">
        <v>308</v>
      </c>
      <c r="B15" s="8">
        <v>57.1</v>
      </c>
      <c r="C15" s="8">
        <v>27</v>
      </c>
      <c r="D15" s="8">
        <v>-1.4</v>
      </c>
      <c r="E15" s="8">
        <v>-2777967.76</v>
      </c>
      <c r="F15" s="21">
        <v>1169225</v>
      </c>
      <c r="G15" s="8">
        <v>28</v>
      </c>
      <c r="H15">
        <v>63</v>
      </c>
      <c r="I15" s="8">
        <v>4.5</v>
      </c>
      <c r="J15" s="8">
        <v>29.3</v>
      </c>
      <c r="K15" s="8">
        <f>7.08*1000</f>
        <v>7080</v>
      </c>
      <c r="L15" s="8">
        <v>638.36</v>
      </c>
      <c r="M15" s="8">
        <v>35.9</v>
      </c>
      <c r="N15" s="8">
        <v>9.7000000000000003E-2</v>
      </c>
      <c r="O15" s="8">
        <v>35</v>
      </c>
      <c r="P15" s="8">
        <v>10</v>
      </c>
      <c r="Q15" s="17">
        <v>100</v>
      </c>
    </row>
    <row r="16" spans="1:17">
      <c r="A16" s="22" t="s">
        <v>104</v>
      </c>
      <c r="B16" s="8">
        <v>46.7</v>
      </c>
      <c r="C16" s="8">
        <v>42</v>
      </c>
      <c r="D16" s="8">
        <v>0.5</v>
      </c>
      <c r="E16" s="8">
        <v>19251558.969999999</v>
      </c>
      <c r="F16" s="21">
        <v>99470102</v>
      </c>
      <c r="G16" s="8">
        <v>49</v>
      </c>
      <c r="H16" s="8">
        <v>65.5</v>
      </c>
      <c r="I16" s="8">
        <v>4.7</v>
      </c>
      <c r="J16" s="8">
        <v>88.9</v>
      </c>
      <c r="K16" s="8">
        <f>9.57*1000</f>
        <v>9570</v>
      </c>
      <c r="L16" s="8">
        <v>46441.11</v>
      </c>
      <c r="M16" s="8">
        <v>41.2</v>
      </c>
      <c r="N16" s="8">
        <v>0.193</v>
      </c>
      <c r="O16" s="8">
        <v>38</v>
      </c>
      <c r="P16" s="8">
        <v>34</v>
      </c>
      <c r="Q16" s="17">
        <v>100</v>
      </c>
    </row>
    <row r="17" spans="1:17">
      <c r="A17" s="22" t="s">
        <v>107</v>
      </c>
      <c r="B17" s="8">
        <v>56.7</v>
      </c>
      <c r="C17" s="8">
        <v>61</v>
      </c>
      <c r="D17" s="8">
        <v>-0.8</v>
      </c>
      <c r="E17" s="8">
        <v>1445730</v>
      </c>
      <c r="F17" s="21">
        <v>3290519</v>
      </c>
      <c r="G17" s="8">
        <v>45</v>
      </c>
      <c r="H17" s="8">
        <v>71.3</v>
      </c>
      <c r="I17" s="8">
        <v>5.2</v>
      </c>
      <c r="J17" s="8">
        <v>25.2</v>
      </c>
      <c r="K17" s="8">
        <f>13.22*1000</f>
        <v>13220</v>
      </c>
      <c r="L17" s="8">
        <v>2116.1999999999998</v>
      </c>
      <c r="M17" s="8">
        <v>38.9</v>
      </c>
      <c r="N17" s="8">
        <v>0.13100000000000001</v>
      </c>
      <c r="O17" s="8">
        <v>42</v>
      </c>
      <c r="P17" s="8">
        <v>10</v>
      </c>
      <c r="Q17">
        <v>99.699996948242202</v>
      </c>
    </row>
    <row r="18" spans="1:17">
      <c r="A18" s="22" t="s">
        <v>108</v>
      </c>
      <c r="B18" s="8">
        <v>54.1</v>
      </c>
      <c r="C18" s="29">
        <v>20</v>
      </c>
      <c r="D18" s="8">
        <v>2.7</v>
      </c>
      <c r="E18" s="8">
        <v>576815.69999999995</v>
      </c>
      <c r="F18" s="21">
        <v>8015643</v>
      </c>
      <c r="G18" s="8">
        <v>25</v>
      </c>
      <c r="H18" s="8">
        <v>34.799999999999997</v>
      </c>
      <c r="I18" s="8">
        <v>1.5</v>
      </c>
      <c r="J18" s="8">
        <v>59.3</v>
      </c>
      <c r="K18" s="8">
        <f>831.31</f>
        <v>831.31</v>
      </c>
      <c r="L18" s="8">
        <v>137.37</v>
      </c>
      <c r="M18" s="8">
        <v>18</v>
      </c>
      <c r="N18" s="8">
        <v>0.20100000000000001</v>
      </c>
      <c r="O18" s="8">
        <v>42</v>
      </c>
      <c r="P18" s="8">
        <v>27.5</v>
      </c>
      <c r="Q18">
        <v>18.957239151001001</v>
      </c>
    </row>
    <row r="19" spans="1:17">
      <c r="A19" s="22" t="s">
        <v>111</v>
      </c>
      <c r="B19" s="8">
        <v>50.8</v>
      </c>
      <c r="C19" s="8">
        <v>30</v>
      </c>
      <c r="D19" s="8">
        <v>1.2</v>
      </c>
      <c r="E19" s="8">
        <v>-12703980.550000001</v>
      </c>
      <c r="F19" s="21">
        <v>9345426</v>
      </c>
      <c r="G19" s="8">
        <v>31</v>
      </c>
      <c r="H19" s="8">
        <v>55</v>
      </c>
      <c r="I19" s="8">
        <v>3.8</v>
      </c>
      <c r="J19" s="8">
        <v>37.200000000000003</v>
      </c>
      <c r="K19" s="34">
        <f>1.9*1000</f>
        <v>1900</v>
      </c>
      <c r="L19" s="34">
        <v>3483.46</v>
      </c>
      <c r="M19" s="8">
        <v>34.700000000000003</v>
      </c>
      <c r="N19" s="8">
        <v>0.14799999999999999</v>
      </c>
      <c r="O19" s="8">
        <v>23</v>
      </c>
      <c r="P19" s="8">
        <v>20</v>
      </c>
      <c r="Q19">
        <v>86.400001525878906</v>
      </c>
    </row>
    <row r="20" spans="1:17">
      <c r="A20" s="22" t="s">
        <v>112</v>
      </c>
      <c r="B20" s="8">
        <v>47</v>
      </c>
      <c r="C20" s="8">
        <v>28</v>
      </c>
      <c r="D20" s="8">
        <v>2.6</v>
      </c>
      <c r="E20" s="8">
        <v>-1578525.66</v>
      </c>
      <c r="F20" s="21">
        <v>11809503</v>
      </c>
      <c r="G20" s="8">
        <v>31</v>
      </c>
      <c r="H20" s="8">
        <v>40.1</v>
      </c>
      <c r="I20" s="8">
        <v>2.8</v>
      </c>
      <c r="J20" s="8">
        <v>43.7</v>
      </c>
      <c r="K20" s="8">
        <f>1.61*1000</f>
        <v>1610</v>
      </c>
      <c r="L20" s="8">
        <v>849.98</v>
      </c>
      <c r="M20" s="8">
        <v>19</v>
      </c>
      <c r="N20" s="8">
        <v>8.1000000000000003E-2</v>
      </c>
      <c r="O20" s="8">
        <v>27</v>
      </c>
      <c r="P20" s="8">
        <v>33</v>
      </c>
      <c r="Q20">
        <v>64.721366882324205</v>
      </c>
    </row>
    <row r="21" spans="1:17">
      <c r="A21" s="22" t="s">
        <v>113</v>
      </c>
      <c r="B21" s="8">
        <v>67.5</v>
      </c>
      <c r="C21" s="8">
        <v>100</v>
      </c>
      <c r="D21" s="8">
        <v>0.5</v>
      </c>
      <c r="E21" s="8">
        <v>1889453.4</v>
      </c>
      <c r="F21" s="21">
        <v>21017306</v>
      </c>
      <c r="G21" s="8">
        <v>74</v>
      </c>
      <c r="H21" s="8">
        <v>80.8</v>
      </c>
      <c r="I21" s="8">
        <v>4.2</v>
      </c>
      <c r="J21" s="8">
        <v>98.7</v>
      </c>
      <c r="K21" s="8">
        <f>59.18*1000</f>
        <v>59180</v>
      </c>
      <c r="L21" s="8">
        <v>60177.31</v>
      </c>
      <c r="M21" s="8">
        <v>81.400000000000006</v>
      </c>
      <c r="N21" s="8">
        <v>0.115</v>
      </c>
      <c r="O21" s="8">
        <v>74</v>
      </c>
      <c r="P21" s="8">
        <v>26.21</v>
      </c>
      <c r="Q21" s="17">
        <v>100</v>
      </c>
    </row>
    <row r="22" spans="1:17">
      <c r="A22" s="22" t="s">
        <v>119</v>
      </c>
      <c r="B22" s="8">
        <v>76.3</v>
      </c>
      <c r="C22" s="8">
        <v>75</v>
      </c>
      <c r="D22" s="8">
        <v>1</v>
      </c>
      <c r="E22" s="8">
        <v>-1451166</v>
      </c>
      <c r="F22" s="21">
        <v>8684417</v>
      </c>
      <c r="G22" s="8">
        <v>42</v>
      </c>
      <c r="H22" s="8">
        <v>76.3</v>
      </c>
      <c r="I22" s="8">
        <v>8.6999999999999993</v>
      </c>
      <c r="J22" s="8">
        <v>36.9</v>
      </c>
      <c r="K22" s="8">
        <f>17.28*1000</f>
        <v>17280</v>
      </c>
      <c r="L22" s="8">
        <v>12719.19</v>
      </c>
      <c r="M22" s="8">
        <v>71.8</v>
      </c>
      <c r="N22" s="8">
        <v>0.16400000000000001</v>
      </c>
      <c r="O22" s="8">
        <v>67</v>
      </c>
      <c r="P22" s="8">
        <v>27</v>
      </c>
      <c r="Q22" s="17">
        <v>100</v>
      </c>
    </row>
    <row r="23" spans="1:17">
      <c r="A23" s="22" t="s">
        <v>120</v>
      </c>
      <c r="B23" s="8">
        <v>57.6</v>
      </c>
      <c r="C23" s="8">
        <v>80</v>
      </c>
      <c r="D23" s="8">
        <v>0.1</v>
      </c>
      <c r="E23" s="8">
        <v>462807887.08999997</v>
      </c>
      <c r="F23" s="21">
        <v>791382586</v>
      </c>
      <c r="G23" s="8">
        <v>65</v>
      </c>
      <c r="H23" s="8">
        <v>77.900000000000006</v>
      </c>
      <c r="I23" s="8">
        <v>2.2000000000000002</v>
      </c>
      <c r="J23" s="8">
        <v>84.1</v>
      </c>
      <c r="K23" s="8">
        <f>13.63*1000</f>
        <v>13630</v>
      </c>
      <c r="L23" s="8">
        <v>333979.03000000003</v>
      </c>
      <c r="M23" s="8">
        <v>67.3</v>
      </c>
      <c r="N23" s="8">
        <v>7.8E-2</v>
      </c>
      <c r="O23" s="8">
        <v>45</v>
      </c>
      <c r="P23" s="8">
        <v>25</v>
      </c>
      <c r="Q23" s="17">
        <v>100</v>
      </c>
    </row>
    <row r="24" spans="1:17">
      <c r="A24" s="22" t="s">
        <v>121</v>
      </c>
      <c r="B24" s="8">
        <v>59.7</v>
      </c>
      <c r="C24" s="8">
        <v>55</v>
      </c>
      <c r="D24" s="8">
        <v>1.1000000000000001</v>
      </c>
      <c r="E24" s="8">
        <v>-20047321.02</v>
      </c>
      <c r="F24" s="21">
        <v>26137054</v>
      </c>
      <c r="G24" s="8">
        <v>36</v>
      </c>
      <c r="H24" s="8">
        <v>64.3</v>
      </c>
      <c r="I24" s="8">
        <v>7.1</v>
      </c>
      <c r="J24" s="8">
        <v>60</v>
      </c>
      <c r="K24" s="8">
        <f>6.94*1000</f>
        <v>6940</v>
      </c>
      <c r="L24" s="8">
        <v>9309.7800000000007</v>
      </c>
      <c r="M24" s="8">
        <v>41.9</v>
      </c>
      <c r="N24" s="8">
        <v>0.13100000000000001</v>
      </c>
      <c r="O24" s="8">
        <v>39</v>
      </c>
      <c r="P24" s="8">
        <v>35</v>
      </c>
      <c r="Q24" s="17">
        <v>100</v>
      </c>
    </row>
    <row r="25" spans="1:17">
      <c r="A25" s="22" t="s">
        <v>122</v>
      </c>
      <c r="B25" s="8">
        <v>64.5</v>
      </c>
      <c r="C25" s="8">
        <v>30</v>
      </c>
      <c r="D25" s="8">
        <v>0.6</v>
      </c>
      <c r="E25" s="8">
        <v>1462743</v>
      </c>
      <c r="F25" s="21">
        <v>2426145</v>
      </c>
      <c r="G25" s="8">
        <v>40</v>
      </c>
      <c r="H25" s="8">
        <v>68.7</v>
      </c>
      <c r="I25" s="8">
        <v>6.4</v>
      </c>
      <c r="J25" s="8">
        <v>66.5</v>
      </c>
      <c r="K25" s="8">
        <f>13.81*1000</f>
        <v>13810</v>
      </c>
      <c r="L25" s="8">
        <v>3563.15</v>
      </c>
      <c r="M25" s="8">
        <v>34</v>
      </c>
      <c r="N25" s="8">
        <v>0.125</v>
      </c>
      <c r="O25" s="8">
        <v>58</v>
      </c>
      <c r="P25" s="8">
        <v>30</v>
      </c>
      <c r="Q25">
        <v>99.900001525878906</v>
      </c>
    </row>
    <row r="26" spans="1:17">
      <c r="A26" s="22" t="s">
        <v>125</v>
      </c>
      <c r="B26" s="8">
        <v>60.3</v>
      </c>
      <c r="C26" s="8">
        <v>60</v>
      </c>
      <c r="D26" s="8">
        <v>-3.7</v>
      </c>
      <c r="E26" s="8">
        <v>-1022653.45</v>
      </c>
      <c r="F26" s="21">
        <v>1742284</v>
      </c>
      <c r="G26" s="8">
        <v>38</v>
      </c>
      <c r="H26" s="8">
        <v>78.2</v>
      </c>
      <c r="I26" s="8">
        <v>5.5</v>
      </c>
      <c r="J26" s="8">
        <v>68.599999999999994</v>
      </c>
      <c r="K26" s="8">
        <f>18.45*1000</f>
        <v>18450</v>
      </c>
      <c r="L26" s="8">
        <v>4477.32</v>
      </c>
      <c r="M26" s="8">
        <v>42</v>
      </c>
      <c r="N26" s="8">
        <v>0.14699999999999999</v>
      </c>
      <c r="O26" s="8">
        <v>47</v>
      </c>
      <c r="P26" s="8">
        <v>18</v>
      </c>
      <c r="Q26" s="17">
        <v>100</v>
      </c>
    </row>
    <row r="27" spans="1:17">
      <c r="A27" s="22" t="s">
        <v>130</v>
      </c>
      <c r="B27" s="8">
        <v>61.7</v>
      </c>
      <c r="C27" s="8">
        <v>85</v>
      </c>
      <c r="D27" s="8">
        <v>-1.8</v>
      </c>
      <c r="E27" s="8">
        <v>8541590.1699999999</v>
      </c>
      <c r="F27" s="21">
        <v>5266397</v>
      </c>
      <c r="G27" s="8">
        <v>57</v>
      </c>
      <c r="H27" s="8">
        <v>83.8</v>
      </c>
      <c r="I27" s="8">
        <v>8.6</v>
      </c>
      <c r="J27" s="8">
        <v>41.2</v>
      </c>
      <c r="K27" s="8">
        <f>29.86*1000</f>
        <v>29860</v>
      </c>
      <c r="L27" s="8">
        <v>7611.82</v>
      </c>
      <c r="M27" s="8">
        <v>46.8</v>
      </c>
      <c r="N27" s="8">
        <v>0.318</v>
      </c>
      <c r="O27" s="8">
        <v>54</v>
      </c>
      <c r="P27" s="8">
        <v>19</v>
      </c>
      <c r="Q27" s="17">
        <v>100</v>
      </c>
    </row>
    <row r="28" spans="1:17">
      <c r="A28" s="22" t="s">
        <v>131</v>
      </c>
      <c r="B28" s="8">
        <v>66</v>
      </c>
      <c r="C28" s="8">
        <v>100</v>
      </c>
      <c r="D28" s="8">
        <v>0.4</v>
      </c>
      <c r="E28" s="8">
        <v>26141789.670000002</v>
      </c>
      <c r="F28" s="21">
        <v>3050671</v>
      </c>
      <c r="G28" s="8">
        <v>76</v>
      </c>
      <c r="H28" s="8">
        <v>87.1</v>
      </c>
      <c r="I28" s="8">
        <v>3.8</v>
      </c>
      <c r="J28" s="8">
        <v>32.1</v>
      </c>
      <c r="K28" s="8">
        <f>66.39*1000</f>
        <v>66390</v>
      </c>
      <c r="L28" s="8">
        <v>14707.99</v>
      </c>
      <c r="M28" s="8">
        <v>81.400000000000006</v>
      </c>
      <c r="N28" s="8">
        <v>0.495</v>
      </c>
      <c r="O28" s="8">
        <v>88</v>
      </c>
      <c r="P28" s="8">
        <v>22</v>
      </c>
      <c r="Q28" s="17">
        <v>100</v>
      </c>
    </row>
    <row r="29" spans="1:17">
      <c r="A29" s="22" t="s">
        <v>134</v>
      </c>
      <c r="B29" s="8">
        <v>60.6</v>
      </c>
      <c r="C29" s="8">
        <v>40</v>
      </c>
      <c r="D29" s="8">
        <v>1.1000000000000001</v>
      </c>
      <c r="E29" s="8">
        <v>-8032300</v>
      </c>
      <c r="F29" s="21">
        <v>5027108</v>
      </c>
      <c r="G29" s="8">
        <v>35</v>
      </c>
      <c r="H29" s="8">
        <v>64.900000000000006</v>
      </c>
      <c r="I29" s="8">
        <v>5.7</v>
      </c>
      <c r="J29" s="8">
        <v>57.6</v>
      </c>
      <c r="K29" s="8">
        <f>11.41*1000</f>
        <v>11410</v>
      </c>
      <c r="L29" s="8">
        <v>3255</v>
      </c>
      <c r="M29" s="8">
        <v>36.1</v>
      </c>
      <c r="N29" s="8">
        <v>9.1999999999999998E-2</v>
      </c>
      <c r="O29" s="8">
        <v>30</v>
      </c>
      <c r="P29" s="8">
        <v>27</v>
      </c>
      <c r="Q29" s="17">
        <v>100</v>
      </c>
    </row>
    <row r="30" spans="1:17">
      <c r="A30" s="22" t="s">
        <v>135</v>
      </c>
      <c r="B30" s="8">
        <v>53</v>
      </c>
      <c r="C30" s="8">
        <v>22</v>
      </c>
      <c r="D30" s="8">
        <v>3.2</v>
      </c>
      <c r="E30" s="8">
        <v>160710.26999999999</v>
      </c>
      <c r="F30" s="21">
        <v>33381845</v>
      </c>
      <c r="G30" s="8">
        <v>18</v>
      </c>
      <c r="H30" s="8">
        <v>29.2</v>
      </c>
      <c r="I30" s="8">
        <v>9.8000000000000007</v>
      </c>
      <c r="J30" s="8">
        <v>10.8</v>
      </c>
      <c r="K30" s="8">
        <f>703.91</f>
        <v>703.91</v>
      </c>
      <c r="L30" s="8">
        <v>1870.03</v>
      </c>
      <c r="M30" s="8">
        <v>12.5</v>
      </c>
      <c r="N30" s="8">
        <v>8.2000000000000003E-2</v>
      </c>
      <c r="O30" s="8">
        <v>19</v>
      </c>
      <c r="P30" s="8">
        <v>30</v>
      </c>
      <c r="Q30">
        <v>19.100000381469702</v>
      </c>
    </row>
    <row r="31" spans="1:17">
      <c r="A31" s="22" t="s">
        <v>137</v>
      </c>
      <c r="B31" s="8">
        <v>44.5</v>
      </c>
      <c r="C31" s="8">
        <v>20</v>
      </c>
      <c r="D31" s="8">
        <v>1.2</v>
      </c>
      <c r="E31" s="8">
        <v>757676.58</v>
      </c>
      <c r="F31" s="21">
        <v>8527976</v>
      </c>
      <c r="G31" s="8">
        <v>33</v>
      </c>
      <c r="H31" s="8">
        <v>69.099999999999994</v>
      </c>
      <c r="I31" s="8">
        <v>2.4</v>
      </c>
      <c r="J31" s="8">
        <v>56.2</v>
      </c>
      <c r="K31" s="8">
        <f>6.59*1000</f>
        <v>6590</v>
      </c>
      <c r="L31" s="8">
        <v>638.21</v>
      </c>
      <c r="M31" s="8">
        <v>28.8</v>
      </c>
      <c r="N31" s="8">
        <v>9.6000000000000002E-2</v>
      </c>
      <c r="O31" s="8">
        <v>36</v>
      </c>
      <c r="P31" s="8">
        <v>25</v>
      </c>
      <c r="Q31">
        <v>98.849998474121094</v>
      </c>
    </row>
    <row r="32" spans="1:17">
      <c r="A32" s="22" t="s">
        <v>138</v>
      </c>
      <c r="B32" s="8">
        <v>41.5</v>
      </c>
      <c r="C32" s="8">
        <v>31</v>
      </c>
      <c r="D32" s="8">
        <v>1.7</v>
      </c>
      <c r="E32" s="8">
        <v>-35699505</v>
      </c>
      <c r="F32" s="21">
        <v>30178752</v>
      </c>
      <c r="G32" s="8">
        <v>40</v>
      </c>
      <c r="H32" s="8">
        <v>73.099999999999994</v>
      </c>
      <c r="I32" s="8">
        <v>12</v>
      </c>
      <c r="J32" s="8">
        <v>85.6</v>
      </c>
      <c r="K32" s="8">
        <f>4.44*1000</f>
        <v>4440</v>
      </c>
      <c r="L32" s="8">
        <v>5122.3</v>
      </c>
      <c r="M32" s="8">
        <v>29.1</v>
      </c>
      <c r="N32" s="8">
        <v>3.4000000000000002E-2</v>
      </c>
      <c r="O32" s="8">
        <v>33</v>
      </c>
      <c r="P32" s="8">
        <v>22.5</v>
      </c>
      <c r="Q32">
        <v>100</v>
      </c>
    </row>
    <row r="33" spans="1:17">
      <c r="A33" s="22" t="s">
        <v>139</v>
      </c>
      <c r="B33" s="8">
        <v>61.2</v>
      </c>
      <c r="C33" s="8">
        <v>16</v>
      </c>
      <c r="D33" s="8">
        <v>0.3</v>
      </c>
      <c r="E33" s="8">
        <v>-7262999.8499999996</v>
      </c>
      <c r="F33" s="21">
        <v>2657508</v>
      </c>
      <c r="G33" s="8">
        <v>28</v>
      </c>
      <c r="H33" s="8">
        <v>61</v>
      </c>
      <c r="I33" s="8">
        <v>2.7</v>
      </c>
      <c r="J33" s="8">
        <v>81.3</v>
      </c>
      <c r="K33" s="8">
        <f>5.08*1000</f>
        <v>5080</v>
      </c>
      <c r="L33" s="8">
        <v>830.5</v>
      </c>
      <c r="M33" s="8">
        <v>37.1</v>
      </c>
      <c r="N33" s="8">
        <v>0.22900000000000001</v>
      </c>
      <c r="O33" s="8">
        <v>34</v>
      </c>
      <c r="P33" s="8">
        <v>30</v>
      </c>
      <c r="Q33" s="17">
        <v>100</v>
      </c>
    </row>
    <row r="34" spans="1:17">
      <c r="A34" s="25" t="s">
        <v>144</v>
      </c>
      <c r="B34" s="8">
        <v>46.9</v>
      </c>
      <c r="C34" s="8">
        <v>16</v>
      </c>
      <c r="D34" s="8">
        <v>2.6</v>
      </c>
      <c r="E34" s="8">
        <v>-11363400.67</v>
      </c>
      <c r="F34" s="21">
        <v>56664127</v>
      </c>
      <c r="G34" s="8">
        <v>28</v>
      </c>
      <c r="H34" s="8">
        <v>43.4</v>
      </c>
      <c r="I34" s="8">
        <v>28.6</v>
      </c>
      <c r="J34" s="8">
        <v>40.4</v>
      </c>
      <c r="K34" s="8">
        <f>1.23*1000</f>
        <v>1230</v>
      </c>
      <c r="L34" s="8">
        <v>4259.45</v>
      </c>
      <c r="M34" s="8">
        <v>23</v>
      </c>
      <c r="N34" s="26">
        <v>7.0000000000000001E-3</v>
      </c>
      <c r="O34" s="26">
        <v>39</v>
      </c>
      <c r="P34" s="8">
        <v>30</v>
      </c>
      <c r="Q34">
        <v>51.093982696533203</v>
      </c>
    </row>
    <row r="35" spans="1:17">
      <c r="A35" s="22" t="s">
        <v>147</v>
      </c>
      <c r="B35" s="8">
        <v>68.5</v>
      </c>
      <c r="C35" s="8">
        <v>96</v>
      </c>
      <c r="D35" s="8">
        <v>0.2</v>
      </c>
      <c r="E35" s="8">
        <v>626195.64</v>
      </c>
      <c r="F35" s="21">
        <v>2819540</v>
      </c>
      <c r="G35" s="8">
        <v>76</v>
      </c>
      <c r="H35" s="8">
        <v>83.4</v>
      </c>
      <c r="I35" s="8">
        <v>2.5</v>
      </c>
      <c r="J35" s="8">
        <v>67.400000000000006</v>
      </c>
      <c r="K35" s="8">
        <f>51.18*1000</f>
        <v>51180</v>
      </c>
      <c r="L35" s="8">
        <v>16396.919999999998</v>
      </c>
      <c r="M35" s="8">
        <v>82.8</v>
      </c>
      <c r="N35" s="8">
        <v>0.23599999999999999</v>
      </c>
      <c r="O35" s="8">
        <v>88</v>
      </c>
      <c r="P35" s="8">
        <v>20</v>
      </c>
      <c r="Q35" s="17">
        <v>100</v>
      </c>
    </row>
    <row r="36" spans="1:17">
      <c r="A36" s="22" t="s">
        <v>148</v>
      </c>
      <c r="B36" s="8">
        <v>62.2</v>
      </c>
      <c r="C36" s="8">
        <v>92</v>
      </c>
      <c r="D36" s="8">
        <v>0.3</v>
      </c>
      <c r="E36" s="8">
        <v>-36853229.770000003</v>
      </c>
      <c r="F36" s="21">
        <v>31132290</v>
      </c>
      <c r="G36" s="8">
        <v>77</v>
      </c>
      <c r="H36" s="8">
        <v>89.7</v>
      </c>
      <c r="I36" s="8">
        <v>4.5999999999999996</v>
      </c>
      <c r="J36" s="8">
        <v>112.5</v>
      </c>
      <c r="K36" s="8">
        <f>42.65*1000</f>
        <v>42650</v>
      </c>
      <c r="L36" s="8">
        <v>88427.62</v>
      </c>
      <c r="M36" s="8">
        <v>80.3</v>
      </c>
      <c r="N36" s="8">
        <v>0.19600000000000001</v>
      </c>
      <c r="O36" s="8">
        <v>71</v>
      </c>
      <c r="P36" s="8">
        <v>25.83</v>
      </c>
      <c r="Q36" s="17">
        <v>100</v>
      </c>
    </row>
    <row r="37" spans="1:17">
      <c r="A37" s="22" t="s">
        <v>152</v>
      </c>
      <c r="B37" s="8">
        <v>62.9</v>
      </c>
      <c r="C37" s="8">
        <v>45</v>
      </c>
      <c r="D37" s="8">
        <v>-0.4</v>
      </c>
      <c r="E37" s="8">
        <v>-3064983.35</v>
      </c>
      <c r="F37" s="21">
        <v>1724354</v>
      </c>
      <c r="G37" s="8">
        <v>33</v>
      </c>
      <c r="H37" s="8">
        <v>67.599999999999994</v>
      </c>
      <c r="I37" s="8">
        <v>6</v>
      </c>
      <c r="J37" s="8">
        <v>41</v>
      </c>
      <c r="K37" s="8">
        <f>7.27*1000</f>
        <v>7270</v>
      </c>
      <c r="L37" s="8">
        <v>1177.8399999999999</v>
      </c>
      <c r="M37" s="8">
        <v>29.4</v>
      </c>
      <c r="N37" s="8">
        <v>7.3999999999999996E-2</v>
      </c>
      <c r="O37" s="8">
        <v>55</v>
      </c>
      <c r="P37" s="8">
        <v>15</v>
      </c>
      <c r="Q37" s="17">
        <v>100</v>
      </c>
    </row>
    <row r="38" spans="1:17">
      <c r="A38" s="22" t="s">
        <v>153</v>
      </c>
      <c r="B38" s="8">
        <v>66.7</v>
      </c>
      <c r="C38" s="8">
        <v>100</v>
      </c>
      <c r="D38" s="8">
        <v>0</v>
      </c>
      <c r="E38" s="8">
        <v>228572712.49000001</v>
      </c>
      <c r="F38" s="21">
        <v>43967641</v>
      </c>
      <c r="G38" s="8">
        <v>87</v>
      </c>
      <c r="H38" s="8">
        <v>90.2</v>
      </c>
      <c r="I38" s="8">
        <v>7.2</v>
      </c>
      <c r="J38" s="8">
        <v>68.3</v>
      </c>
      <c r="K38" s="8">
        <f>49.43*1000</f>
        <v>49430</v>
      </c>
      <c r="L38" s="8">
        <v>73654.320000000007</v>
      </c>
      <c r="M38" s="8">
        <v>69.900000000000006</v>
      </c>
      <c r="N38" s="8">
        <v>0.47</v>
      </c>
      <c r="O38" s="8">
        <v>80</v>
      </c>
      <c r="P38" s="8">
        <v>29.83</v>
      </c>
      <c r="Q38" s="17">
        <v>100</v>
      </c>
    </row>
    <row r="39" spans="1:17">
      <c r="A39" s="22" t="s">
        <v>154</v>
      </c>
      <c r="B39" s="8">
        <v>54.6</v>
      </c>
      <c r="C39" s="8">
        <v>16</v>
      </c>
      <c r="D39" s="8">
        <v>2</v>
      </c>
      <c r="E39" s="8">
        <v>-2065721.38</v>
      </c>
      <c r="F39" s="21">
        <v>14094672</v>
      </c>
      <c r="G39" s="8">
        <v>33</v>
      </c>
      <c r="H39" s="8">
        <v>46.6</v>
      </c>
      <c r="I39" s="8">
        <v>20.9</v>
      </c>
      <c r="J39" s="8">
        <v>87.8</v>
      </c>
      <c r="K39" s="8">
        <f>2.13*1000</f>
        <v>2130</v>
      </c>
      <c r="L39" s="8">
        <v>2613.8000000000002</v>
      </c>
      <c r="M39" s="8">
        <v>26.5</v>
      </c>
      <c r="N39" s="8">
        <v>3.5999999999999997E-2</v>
      </c>
      <c r="O39" s="8">
        <v>43</v>
      </c>
      <c r="P39" s="8">
        <v>25</v>
      </c>
      <c r="Q39">
        <v>85.873550415039105</v>
      </c>
    </row>
    <row r="40" spans="1:17">
      <c r="A40" s="22" t="s">
        <v>156</v>
      </c>
      <c r="B40" s="8">
        <v>58.1</v>
      </c>
      <c r="C40" s="8">
        <v>43</v>
      </c>
      <c r="D40" s="8">
        <v>-0.5</v>
      </c>
      <c r="E40" s="8">
        <v>-16011319.35</v>
      </c>
      <c r="F40" s="21">
        <v>4619069</v>
      </c>
      <c r="G40" s="8">
        <v>45</v>
      </c>
      <c r="H40" s="8">
        <v>77.7</v>
      </c>
      <c r="I40" s="8">
        <v>3.2</v>
      </c>
      <c r="J40" s="8">
        <v>169.8</v>
      </c>
      <c r="K40" s="8">
        <f>21.37*1000</f>
        <v>21370</v>
      </c>
      <c r="L40" s="8">
        <v>5988.25</v>
      </c>
      <c r="M40" s="8">
        <v>40.9</v>
      </c>
      <c r="N40" s="8">
        <v>0.19900000000000001</v>
      </c>
      <c r="O40" s="8">
        <v>49</v>
      </c>
      <c r="P40" s="8">
        <v>22</v>
      </c>
      <c r="Q40">
        <v>100</v>
      </c>
    </row>
    <row r="41" spans="1:17">
      <c r="A41" s="22" t="s">
        <v>160</v>
      </c>
      <c r="B41" s="8">
        <v>63.5</v>
      </c>
      <c r="C41" s="8">
        <v>43</v>
      </c>
      <c r="D41" s="8">
        <v>1.5</v>
      </c>
      <c r="E41" s="8">
        <v>-12070301.98</v>
      </c>
      <c r="F41" s="21">
        <v>6670627</v>
      </c>
      <c r="G41" s="8">
        <v>32</v>
      </c>
      <c r="H41" s="8">
        <v>55.9</v>
      </c>
      <c r="I41" s="8">
        <v>5.6</v>
      </c>
      <c r="J41" s="8">
        <v>30</v>
      </c>
      <c r="K41" s="8">
        <f>5.01*1000</f>
        <v>5010</v>
      </c>
      <c r="L41" s="8">
        <v>3492.19</v>
      </c>
      <c r="M41" s="8">
        <v>28.4</v>
      </c>
      <c r="N41" s="8">
        <v>0.26</v>
      </c>
      <c r="O41" s="8">
        <v>25</v>
      </c>
      <c r="P41" s="8">
        <v>25</v>
      </c>
      <c r="Q41">
        <v>97.055267333984403</v>
      </c>
    </row>
    <row r="42" spans="1:17">
      <c r="A42" s="22" t="s">
        <v>165</v>
      </c>
      <c r="B42" s="8">
        <v>62.2</v>
      </c>
      <c r="C42" s="8">
        <v>37</v>
      </c>
      <c r="D42" s="8">
        <v>1.5</v>
      </c>
      <c r="E42" s="8">
        <v>-6553512.6799999997</v>
      </c>
      <c r="F42" s="21">
        <v>4313580</v>
      </c>
      <c r="G42" s="8">
        <v>31</v>
      </c>
      <c r="H42" s="8">
        <v>57.4</v>
      </c>
      <c r="I42" s="8">
        <v>8.5</v>
      </c>
      <c r="J42" s="29">
        <v>50.23</v>
      </c>
      <c r="K42" s="8">
        <f>3.08*1000</f>
        <v>3080</v>
      </c>
      <c r="L42" s="8">
        <v>875.94</v>
      </c>
      <c r="M42" s="8">
        <v>33.5</v>
      </c>
      <c r="N42" s="8">
        <v>0.24299999999999999</v>
      </c>
      <c r="O42" s="8">
        <v>23</v>
      </c>
      <c r="P42" s="8">
        <v>25</v>
      </c>
      <c r="Q42">
        <v>93.206710815429702</v>
      </c>
    </row>
    <row r="43" spans="1:17">
      <c r="A43" s="22" t="s">
        <v>167</v>
      </c>
      <c r="B43" s="8">
        <v>60</v>
      </c>
      <c r="C43" s="8">
        <v>60</v>
      </c>
      <c r="D43" s="8">
        <v>-0.4</v>
      </c>
      <c r="E43" s="8">
        <v>651321.78</v>
      </c>
      <c r="F43" s="21">
        <v>4910191</v>
      </c>
      <c r="G43" s="8">
        <v>47</v>
      </c>
      <c r="H43" s="8">
        <v>80.7</v>
      </c>
      <c r="I43" s="8">
        <v>13.3</v>
      </c>
      <c r="J43" s="8">
        <v>73.7</v>
      </c>
      <c r="K43" s="8">
        <f>20.12*1000</f>
        <v>20120</v>
      </c>
      <c r="L43" s="8">
        <v>30180.26</v>
      </c>
      <c r="M43" s="8">
        <v>37.6</v>
      </c>
      <c r="N43" s="8">
        <v>9.9000000000000005E-2</v>
      </c>
      <c r="O43" s="8">
        <v>43</v>
      </c>
      <c r="P43" s="8">
        <v>9</v>
      </c>
      <c r="Q43" s="17">
        <v>100</v>
      </c>
    </row>
    <row r="44" spans="1:17">
      <c r="A44" s="22" t="s">
        <v>169</v>
      </c>
      <c r="B44" s="8">
        <v>43.9</v>
      </c>
      <c r="C44" s="8">
        <v>56</v>
      </c>
      <c r="D44" s="8">
        <v>0.8</v>
      </c>
      <c r="E44" s="8">
        <v>-74039374.430000007</v>
      </c>
      <c r="F44" s="21">
        <v>476670190</v>
      </c>
      <c r="G44" s="8">
        <v>51</v>
      </c>
      <c r="H44" s="8">
        <v>68.099999999999994</v>
      </c>
      <c r="I44" s="8">
        <v>5.0999999999999996</v>
      </c>
      <c r="J44" s="8">
        <v>83.8</v>
      </c>
      <c r="K44" s="8">
        <f>2.69*1000</f>
        <v>2690</v>
      </c>
      <c r="L44" s="8">
        <v>44727.28</v>
      </c>
      <c r="M44" s="8">
        <v>58.6</v>
      </c>
      <c r="N44" s="8">
        <v>7.1999999999999995E-2</v>
      </c>
      <c r="O44" s="8">
        <v>40</v>
      </c>
      <c r="P44" s="8">
        <v>30</v>
      </c>
      <c r="Q44" s="17">
        <v>99</v>
      </c>
    </row>
    <row r="45" spans="1:17">
      <c r="A45" s="22" t="s">
        <v>170</v>
      </c>
      <c r="B45" s="8">
        <v>59.5</v>
      </c>
      <c r="C45" s="8">
        <v>60</v>
      </c>
      <c r="D45" s="8">
        <v>0.7</v>
      </c>
      <c r="E45" s="8">
        <v>29155290.960000001</v>
      </c>
      <c r="F45" s="17">
        <v>139164551</v>
      </c>
      <c r="G45" s="8">
        <v>38</v>
      </c>
      <c r="H45" s="8">
        <v>68</v>
      </c>
      <c r="I45" s="8">
        <v>5.5</v>
      </c>
      <c r="J45" s="8">
        <v>40.4</v>
      </c>
      <c r="K45" s="8">
        <f>5.01*1000</f>
        <v>5010</v>
      </c>
      <c r="L45" s="34">
        <v>21166.73</v>
      </c>
      <c r="M45" s="8">
        <v>43.3</v>
      </c>
      <c r="N45" s="8">
        <v>9.2999999999999999E-2</v>
      </c>
      <c r="O45" s="8">
        <v>38</v>
      </c>
      <c r="P45" s="8">
        <v>22</v>
      </c>
      <c r="Q45" s="17">
        <v>96.9</v>
      </c>
    </row>
    <row r="46" spans="1:17">
      <c r="A46" s="22" t="s">
        <v>173</v>
      </c>
      <c r="B46" s="8">
        <v>62.6</v>
      </c>
      <c r="C46" s="8">
        <v>81</v>
      </c>
      <c r="D46" s="8">
        <v>1</v>
      </c>
      <c r="E46" s="8">
        <v>199483446.06</v>
      </c>
      <c r="F46" s="21">
        <v>2517621</v>
      </c>
      <c r="G46" s="8">
        <v>66</v>
      </c>
      <c r="H46" s="8">
        <v>77</v>
      </c>
      <c r="I46" s="8">
        <v>6.5</v>
      </c>
      <c r="J46" s="8">
        <v>42.8</v>
      </c>
      <c r="K46" s="8">
        <f>107*1000</f>
        <v>107000</v>
      </c>
      <c r="L46" s="8">
        <v>96866.65</v>
      </c>
      <c r="M46" s="8">
        <v>56.7</v>
      </c>
      <c r="N46" s="8">
        <v>0.30099999999999999</v>
      </c>
      <c r="O46" s="8">
        <v>74</v>
      </c>
      <c r="P46" s="8">
        <v>12.5</v>
      </c>
      <c r="Q46" s="17">
        <v>100</v>
      </c>
    </row>
    <row r="47" spans="1:17">
      <c r="A47" s="22" t="s">
        <v>175</v>
      </c>
      <c r="B47" s="8">
        <v>66.5</v>
      </c>
      <c r="C47" s="8">
        <v>81</v>
      </c>
      <c r="D47" s="8">
        <v>1.6</v>
      </c>
      <c r="E47" s="8">
        <v>19305400</v>
      </c>
      <c r="F47" s="21">
        <v>4186239</v>
      </c>
      <c r="G47" s="8">
        <v>74</v>
      </c>
      <c r="H47" s="8">
        <v>83</v>
      </c>
      <c r="I47" s="8">
        <v>3.6</v>
      </c>
      <c r="J47" s="8">
        <v>57.6</v>
      </c>
      <c r="K47" s="8">
        <f>58.27*1000</f>
        <v>58270</v>
      </c>
      <c r="L47" s="8">
        <v>21543.8</v>
      </c>
      <c r="M47" s="8">
        <v>69.8</v>
      </c>
      <c r="N47" s="8">
        <v>0.16500000000000001</v>
      </c>
      <c r="O47" s="8">
        <v>59</v>
      </c>
      <c r="P47" s="8">
        <v>23</v>
      </c>
      <c r="Q47" s="17">
        <v>100</v>
      </c>
    </row>
    <row r="48" spans="1:17">
      <c r="A48" s="22" t="s">
        <v>176</v>
      </c>
      <c r="B48" s="8">
        <v>61.5</v>
      </c>
      <c r="C48" s="8">
        <v>62</v>
      </c>
      <c r="D48" s="8">
        <v>-0.6</v>
      </c>
      <c r="E48" s="8">
        <v>50016282.149999999</v>
      </c>
      <c r="F48" s="21">
        <v>25011706</v>
      </c>
      <c r="G48" s="8">
        <v>66</v>
      </c>
      <c r="H48" s="8">
        <v>84.1</v>
      </c>
      <c r="I48" s="8">
        <v>5.2</v>
      </c>
      <c r="J48" s="8">
        <v>147.1</v>
      </c>
      <c r="K48" s="8">
        <f>33.66*1000</f>
        <v>33660</v>
      </c>
      <c r="L48" s="8">
        <v>14329.3</v>
      </c>
      <c r="M48" s="8">
        <v>57.5</v>
      </c>
      <c r="N48" s="8">
        <v>0.32700000000000001</v>
      </c>
      <c r="O48" s="8">
        <v>56</v>
      </c>
      <c r="P48" s="8">
        <v>27.81</v>
      </c>
      <c r="Q48" s="17">
        <v>100</v>
      </c>
    </row>
    <row r="49" spans="1:17">
      <c r="A49" s="22" t="s">
        <v>179</v>
      </c>
      <c r="B49" s="8">
        <v>50.7</v>
      </c>
      <c r="C49" s="8">
        <v>33</v>
      </c>
      <c r="D49" s="8">
        <v>0.3</v>
      </c>
      <c r="E49" s="8">
        <v>-3028595.76</v>
      </c>
      <c r="F49" s="21">
        <v>1418424</v>
      </c>
      <c r="G49" s="8">
        <v>35</v>
      </c>
      <c r="H49" s="8">
        <v>62.5</v>
      </c>
      <c r="I49" s="8">
        <v>7</v>
      </c>
      <c r="J49" s="8">
        <v>79.7</v>
      </c>
      <c r="K49" s="8">
        <f>5.98*1000</f>
        <v>5980</v>
      </c>
      <c r="L49" s="8">
        <v>320.48</v>
      </c>
      <c r="M49" s="8">
        <v>47.5</v>
      </c>
      <c r="N49" s="8">
        <v>0.34200000000000003</v>
      </c>
      <c r="O49" s="8">
        <v>44</v>
      </c>
      <c r="P49" s="8">
        <v>25</v>
      </c>
      <c r="Q49" s="17">
        <v>100</v>
      </c>
    </row>
    <row r="50" spans="1:17">
      <c r="A50" s="22" t="s">
        <v>180</v>
      </c>
      <c r="B50" s="8">
        <v>68.8</v>
      </c>
      <c r="C50" s="8">
        <v>77</v>
      </c>
      <c r="D50" s="8">
        <v>-0.5</v>
      </c>
      <c r="E50" s="8">
        <v>-22513457.719999999</v>
      </c>
      <c r="F50" s="21">
        <v>68629364</v>
      </c>
      <c r="G50" s="8">
        <v>78</v>
      </c>
      <c r="H50" s="8">
        <v>93.2</v>
      </c>
      <c r="I50" s="8">
        <v>1.4</v>
      </c>
      <c r="J50" s="8">
        <v>261.10000000000002</v>
      </c>
      <c r="K50" s="8">
        <f>35.03*1000</f>
        <v>35030</v>
      </c>
      <c r="L50" s="8">
        <v>27321.71</v>
      </c>
      <c r="M50" s="8">
        <v>84.1</v>
      </c>
      <c r="N50" s="8">
        <v>0.24099999999999999</v>
      </c>
      <c r="O50" s="8">
        <v>73</v>
      </c>
      <c r="P50" s="8">
        <v>29.74</v>
      </c>
      <c r="Q50" s="17">
        <v>100</v>
      </c>
    </row>
    <row r="51" spans="1:17">
      <c r="A51" s="22" t="s">
        <v>181</v>
      </c>
      <c r="B51" s="8">
        <v>53.5</v>
      </c>
      <c r="C51" s="8">
        <v>36</v>
      </c>
      <c r="D51" s="8">
        <v>2</v>
      </c>
      <c r="E51" s="8">
        <v>-9527746.4800000004</v>
      </c>
      <c r="F51" s="21">
        <v>2864755</v>
      </c>
      <c r="G51" s="8">
        <v>39</v>
      </c>
      <c r="H51" s="8">
        <v>67.400000000000006</v>
      </c>
      <c r="I51" s="8">
        <v>3</v>
      </c>
      <c r="J51" s="8">
        <v>89.8</v>
      </c>
      <c r="K51" s="8">
        <f>4.93*1000</f>
        <v>4930</v>
      </c>
      <c r="L51" s="8">
        <v>621.83000000000004</v>
      </c>
      <c r="M51" s="8">
        <v>55.4</v>
      </c>
      <c r="N51" s="8">
        <v>0.1</v>
      </c>
      <c r="O51" s="8">
        <v>49</v>
      </c>
      <c r="P51" s="8">
        <v>20</v>
      </c>
      <c r="Q51">
        <v>99.900001525878906</v>
      </c>
    </row>
    <row r="52" spans="1:17">
      <c r="A52" s="22" t="s">
        <v>182</v>
      </c>
      <c r="B52" s="8">
        <v>56.4</v>
      </c>
      <c r="C52" s="8">
        <v>58</v>
      </c>
      <c r="D52" s="8">
        <v>1.3</v>
      </c>
      <c r="E52" s="8">
        <v>16935665.34</v>
      </c>
      <c r="F52" s="21">
        <v>9247861</v>
      </c>
      <c r="G52" s="8">
        <v>32</v>
      </c>
      <c r="H52" s="8">
        <v>68.3</v>
      </c>
      <c r="I52" s="8">
        <v>11.3</v>
      </c>
      <c r="J52" s="8">
        <v>24.4</v>
      </c>
      <c r="K52" s="8">
        <f>12.42*1000</f>
        <v>12420</v>
      </c>
      <c r="L52" s="8">
        <v>4380.3</v>
      </c>
      <c r="M52" s="8">
        <v>29.7</v>
      </c>
      <c r="N52" s="8">
        <v>4.3999999999999997E-2</v>
      </c>
      <c r="O52" s="8">
        <v>37</v>
      </c>
      <c r="P52" s="8">
        <v>20</v>
      </c>
      <c r="Q52" s="17">
        <v>100</v>
      </c>
    </row>
    <row r="53" spans="1:17">
      <c r="A53" s="22" t="s">
        <v>183</v>
      </c>
      <c r="B53" s="8">
        <v>52.7</v>
      </c>
      <c r="C53" s="8">
        <v>31</v>
      </c>
      <c r="D53" s="8">
        <v>1.9</v>
      </c>
      <c r="E53" s="8">
        <v>-10027922.41</v>
      </c>
      <c r="F53" s="21">
        <v>23915482</v>
      </c>
      <c r="G53" s="8">
        <v>36</v>
      </c>
      <c r="H53" s="8">
        <v>53.6</v>
      </c>
      <c r="I53" s="8">
        <v>6.6</v>
      </c>
      <c r="J53" s="8">
        <v>67.5</v>
      </c>
      <c r="K53" s="8">
        <f>2.26*1000</f>
        <v>2260</v>
      </c>
      <c r="L53" s="8">
        <v>463.35</v>
      </c>
      <c r="M53" s="8">
        <v>36.9</v>
      </c>
      <c r="N53" s="8">
        <v>0.20499999999999999</v>
      </c>
      <c r="O53" s="8">
        <v>30</v>
      </c>
      <c r="P53" s="8">
        <v>30</v>
      </c>
      <c r="Q53">
        <v>71.437942504882798</v>
      </c>
    </row>
    <row r="54" spans="1:17">
      <c r="A54" s="25" t="s">
        <v>318</v>
      </c>
      <c r="B54" s="26">
        <v>51.8</v>
      </c>
      <c r="C54" s="26">
        <v>27</v>
      </c>
      <c r="D54" s="8">
        <v>1.7</v>
      </c>
      <c r="E54" s="8">
        <v>-2568395.4700000002</v>
      </c>
      <c r="F54" s="21">
        <v>2477675</v>
      </c>
      <c r="G54" s="26">
        <v>26</v>
      </c>
      <c r="H54" s="26">
        <v>55.8</v>
      </c>
      <c r="I54" s="8">
        <v>12.4</v>
      </c>
      <c r="J54" s="8">
        <v>60.5</v>
      </c>
      <c r="K54" s="8">
        <f>1.57*1000</f>
        <v>1570</v>
      </c>
      <c r="L54" s="8">
        <v>247.51</v>
      </c>
      <c r="M54" s="26">
        <v>23.2</v>
      </c>
      <c r="N54" s="26">
        <v>0.01</v>
      </c>
      <c r="O54" s="26">
        <v>27</v>
      </c>
      <c r="P54" s="8">
        <v>10</v>
      </c>
      <c r="Q54">
        <v>99.981048583984403</v>
      </c>
    </row>
    <row r="55" spans="1:17">
      <c r="A55" s="22" t="s">
        <v>317</v>
      </c>
      <c r="B55" s="8">
        <v>60</v>
      </c>
      <c r="C55" s="8">
        <v>15</v>
      </c>
      <c r="D55" s="8">
        <v>1.4</v>
      </c>
      <c r="E55" s="8">
        <v>1292826.1299999999</v>
      </c>
      <c r="F55" s="21">
        <v>3914985</v>
      </c>
      <c r="G55" s="8">
        <v>28</v>
      </c>
      <c r="H55" s="8">
        <v>59</v>
      </c>
      <c r="I55" s="8">
        <v>9</v>
      </c>
      <c r="J55" s="8">
        <v>108.9</v>
      </c>
      <c r="K55" s="34">
        <f>1.98*1000</f>
        <v>1980</v>
      </c>
      <c r="L55" s="34">
        <v>1071.9100000000001</v>
      </c>
      <c r="M55" s="8">
        <v>31.9</v>
      </c>
      <c r="N55" s="8">
        <v>3.4000000000000002E-2</v>
      </c>
      <c r="O55" s="8">
        <v>30</v>
      </c>
      <c r="P55" s="8">
        <v>20</v>
      </c>
      <c r="Q55" s="17">
        <v>100</v>
      </c>
    </row>
    <row r="56" spans="1:17">
      <c r="A56" s="22" t="s">
        <v>191</v>
      </c>
      <c r="B56" s="8">
        <v>53.6</v>
      </c>
      <c r="C56" s="8">
        <v>11</v>
      </c>
      <c r="D56" s="8">
        <v>-1.2</v>
      </c>
      <c r="E56" s="8">
        <v>-7235996.8300000001</v>
      </c>
      <c r="F56" s="21">
        <v>1719282</v>
      </c>
      <c r="G56" s="8">
        <v>38</v>
      </c>
      <c r="H56" s="8">
        <v>61.3</v>
      </c>
      <c r="I56" s="29">
        <v>84.88</v>
      </c>
      <c r="J56" s="29">
        <v>150.583</v>
      </c>
      <c r="K56" s="52">
        <v>4136.1000000000004</v>
      </c>
      <c r="L56" s="8">
        <v>273.06</v>
      </c>
      <c r="M56" s="8">
        <v>47.1</v>
      </c>
      <c r="N56" s="8">
        <v>3.0000000000000001E-3</v>
      </c>
      <c r="O56" s="8">
        <v>24</v>
      </c>
      <c r="P56" s="8">
        <v>17</v>
      </c>
      <c r="Q56" s="17">
        <v>100</v>
      </c>
    </row>
    <row r="57" spans="1:17">
      <c r="A57" s="22" t="s">
        <v>199</v>
      </c>
      <c r="B57" s="8">
        <v>55.9</v>
      </c>
      <c r="C57" s="46">
        <v>25</v>
      </c>
      <c r="D57" s="8">
        <v>2.4</v>
      </c>
      <c r="E57" s="8">
        <v>-1427375.78</v>
      </c>
      <c r="F57" s="21">
        <v>14813115</v>
      </c>
      <c r="G57" s="8">
        <v>25</v>
      </c>
      <c r="H57" s="8">
        <v>31.4</v>
      </c>
      <c r="I57" s="8">
        <v>8</v>
      </c>
      <c r="J57" s="8">
        <v>53.1</v>
      </c>
      <c r="K57" s="8">
        <f>539.64</f>
        <v>539.64</v>
      </c>
      <c r="L57" s="8">
        <v>300.17</v>
      </c>
      <c r="M57" s="8">
        <v>18.600000000000001</v>
      </c>
      <c r="N57" s="8">
        <v>0.13</v>
      </c>
      <c r="O57" s="8">
        <v>26</v>
      </c>
      <c r="P57" s="8">
        <v>20</v>
      </c>
      <c r="Q57">
        <v>33.735076904296903</v>
      </c>
    </row>
    <row r="58" spans="1:17">
      <c r="A58" s="22" t="s">
        <v>201</v>
      </c>
      <c r="B58" s="8">
        <v>60.7</v>
      </c>
      <c r="C58" s="8">
        <v>68</v>
      </c>
      <c r="D58" s="8">
        <v>1.1000000000000001</v>
      </c>
      <c r="E58" s="8">
        <v>26470517.02</v>
      </c>
      <c r="F58" s="21">
        <v>16739686</v>
      </c>
      <c r="G58" s="8">
        <v>55</v>
      </c>
      <c r="H58" s="8">
        <v>78</v>
      </c>
      <c r="I58" s="8">
        <v>2.8</v>
      </c>
      <c r="J58" s="8">
        <v>70</v>
      </c>
      <c r="K58" s="8">
        <f>13.94*1000</f>
        <v>13940</v>
      </c>
      <c r="L58" s="34">
        <v>18595.650000000001</v>
      </c>
      <c r="M58" s="8">
        <v>79</v>
      </c>
      <c r="N58" s="8">
        <v>0.05</v>
      </c>
      <c r="O58" s="8">
        <v>48</v>
      </c>
      <c r="P58" s="8">
        <v>24</v>
      </c>
      <c r="Q58" s="17">
        <v>100</v>
      </c>
    </row>
    <row r="59" spans="1:17">
      <c r="A59" s="22" t="s">
        <v>203</v>
      </c>
      <c r="B59" s="8">
        <v>50.3</v>
      </c>
      <c r="C59" s="8">
        <v>15</v>
      </c>
      <c r="D59" s="8">
        <v>3.2</v>
      </c>
      <c r="E59" s="8">
        <v>-1143576.82</v>
      </c>
      <c r="F59" s="21">
        <v>7900462</v>
      </c>
      <c r="G59" s="8">
        <v>29</v>
      </c>
      <c r="H59" s="8">
        <v>43.9</v>
      </c>
      <c r="I59" s="8">
        <v>3</v>
      </c>
      <c r="J59" s="8">
        <v>55.8</v>
      </c>
      <c r="K59" s="8">
        <v>876.08</v>
      </c>
      <c r="L59" s="8">
        <v>659.67</v>
      </c>
      <c r="M59" s="8">
        <v>21.9</v>
      </c>
      <c r="N59" s="8">
        <v>0.21299999999999999</v>
      </c>
      <c r="O59" s="8">
        <v>29</v>
      </c>
      <c r="P59" s="8">
        <v>30</v>
      </c>
      <c r="Q59">
        <v>50.561416625976598</v>
      </c>
    </row>
    <row r="60" spans="1:17">
      <c r="A60" s="22" t="s">
        <v>208</v>
      </c>
      <c r="B60" s="8">
        <v>64.8</v>
      </c>
      <c r="C60" s="8">
        <v>60</v>
      </c>
      <c r="D60" s="8">
        <v>0.6</v>
      </c>
      <c r="E60" s="8">
        <v>-22516226.829999998</v>
      </c>
      <c r="F60" s="21">
        <v>56132488</v>
      </c>
      <c r="G60" s="8">
        <v>44</v>
      </c>
      <c r="H60" s="8">
        <v>72.400000000000006</v>
      </c>
      <c r="I60" s="8">
        <v>6.3</v>
      </c>
      <c r="J60" s="8">
        <v>58.7</v>
      </c>
      <c r="K60" s="8">
        <f>11.25*1000</f>
        <v>11250</v>
      </c>
      <c r="L60" s="8">
        <v>33265.279999999999</v>
      </c>
      <c r="M60" s="8">
        <v>36.9</v>
      </c>
      <c r="N60" s="8">
        <v>8.8999999999999996E-2</v>
      </c>
      <c r="O60" s="8">
        <v>31</v>
      </c>
      <c r="P60" s="8">
        <v>30</v>
      </c>
      <c r="Q60">
        <v>99.400001525878906</v>
      </c>
    </row>
    <row r="61" spans="1:17">
      <c r="A61" s="22" t="s">
        <v>210</v>
      </c>
      <c r="B61" s="8">
        <v>61.1</v>
      </c>
      <c r="C61" s="8">
        <v>25</v>
      </c>
      <c r="D61" s="8">
        <v>-0.8</v>
      </c>
      <c r="E61" s="8">
        <v>-3717930</v>
      </c>
      <c r="F61" s="21">
        <v>810014</v>
      </c>
      <c r="G61" s="8">
        <v>30</v>
      </c>
      <c r="H61" s="8">
        <v>66.2</v>
      </c>
      <c r="I61" s="8">
        <v>13.8</v>
      </c>
      <c r="J61" s="8">
        <v>38.299999999999997</v>
      </c>
      <c r="K61" s="8">
        <f>5.74*1000</f>
        <v>5740</v>
      </c>
      <c r="L61" s="8">
        <v>244.76</v>
      </c>
      <c r="M61" s="8">
        <v>23.4</v>
      </c>
      <c r="N61" s="8">
        <v>7.9000000000000001E-2</v>
      </c>
      <c r="O61" s="8">
        <v>36</v>
      </c>
      <c r="P61" s="8">
        <v>12</v>
      </c>
      <c r="Q61" s="17">
        <v>100</v>
      </c>
    </row>
    <row r="62" spans="1:17">
      <c r="A62" s="22" t="s">
        <v>214</v>
      </c>
      <c r="B62" s="8">
        <v>63</v>
      </c>
      <c r="C62" s="8">
        <v>35</v>
      </c>
      <c r="D62" s="8">
        <v>-0.3</v>
      </c>
      <c r="E62" s="8">
        <v>-1135463.8600000001</v>
      </c>
      <c r="F62" s="21">
        <v>277394</v>
      </c>
      <c r="G62" s="8">
        <v>38</v>
      </c>
      <c r="H62" s="8">
        <v>63.6</v>
      </c>
      <c r="I62" s="8">
        <v>9.1999999999999993</v>
      </c>
      <c r="J62" s="8">
        <v>70.599999999999994</v>
      </c>
      <c r="K62" s="8">
        <f>10.72*1000</f>
        <v>10720</v>
      </c>
      <c r="L62" s="8">
        <v>692.88</v>
      </c>
      <c r="M62" s="8">
        <v>52.3</v>
      </c>
      <c r="N62" s="29">
        <v>0.1</v>
      </c>
      <c r="O62" s="8">
        <v>46</v>
      </c>
      <c r="P62" s="8">
        <v>15</v>
      </c>
      <c r="Q62" s="17">
        <v>100</v>
      </c>
    </row>
    <row r="63" spans="1:17">
      <c r="A63" s="22" t="s">
        <v>215</v>
      </c>
      <c r="B63" s="8">
        <v>53.1</v>
      </c>
      <c r="C63" s="8">
        <v>50</v>
      </c>
      <c r="D63" s="8">
        <v>1.1000000000000001</v>
      </c>
      <c r="E63" s="8">
        <v>-12969304.119999999</v>
      </c>
      <c r="F63" s="21">
        <v>11813726</v>
      </c>
      <c r="G63" s="8">
        <v>35</v>
      </c>
      <c r="H63" s="8">
        <v>72.599999999999994</v>
      </c>
      <c r="I63" s="8">
        <v>4.0999999999999996</v>
      </c>
      <c r="J63" s="8">
        <v>70.099999999999994</v>
      </c>
      <c r="K63" s="8">
        <f>4.07*1000</f>
        <v>4070.0000000000005</v>
      </c>
      <c r="L63" s="8">
        <v>2150.84</v>
      </c>
      <c r="M63" s="8">
        <v>49.9</v>
      </c>
      <c r="N63" s="8">
        <v>0.112</v>
      </c>
      <c r="O63" s="8">
        <v>39</v>
      </c>
      <c r="P63" s="8">
        <v>31</v>
      </c>
      <c r="Q63" s="17">
        <v>100</v>
      </c>
    </row>
    <row r="64" spans="1:17">
      <c r="A64" s="22" t="s">
        <v>216</v>
      </c>
      <c r="B64" s="8">
        <v>54.8</v>
      </c>
      <c r="C64" s="8">
        <v>18</v>
      </c>
      <c r="D64" s="8">
        <v>2.8</v>
      </c>
      <c r="E64" s="8">
        <v>-3987203.28</v>
      </c>
      <c r="F64" s="21">
        <v>14137316</v>
      </c>
      <c r="G64" s="8">
        <v>27</v>
      </c>
      <c r="H64" s="8">
        <v>35.200000000000003</v>
      </c>
      <c r="I64" s="8">
        <v>8.6</v>
      </c>
      <c r="J64" s="8">
        <v>102.6</v>
      </c>
      <c r="K64" s="8">
        <v>578.91</v>
      </c>
      <c r="L64" s="8">
        <v>5295.4</v>
      </c>
      <c r="M64" s="8">
        <v>22.8</v>
      </c>
      <c r="N64" s="8">
        <v>0.127</v>
      </c>
      <c r="O64" s="8">
        <v>26</v>
      </c>
      <c r="P64" s="8">
        <v>32</v>
      </c>
      <c r="Q64">
        <v>30.603832244873001</v>
      </c>
    </row>
    <row r="65" spans="1:17">
      <c r="A65" s="22" t="s">
        <v>221</v>
      </c>
      <c r="B65" s="8">
        <v>67.099999999999994</v>
      </c>
      <c r="C65" s="8">
        <v>100</v>
      </c>
      <c r="D65" s="8">
        <v>0.5</v>
      </c>
      <c r="E65" s="8">
        <v>103897967.26000001</v>
      </c>
      <c r="F65" s="21">
        <v>9902465</v>
      </c>
      <c r="G65" s="8">
        <v>76</v>
      </c>
      <c r="H65" s="8">
        <v>94.3</v>
      </c>
      <c r="I65" s="8">
        <v>8</v>
      </c>
      <c r="J65" s="8">
        <v>46.4</v>
      </c>
      <c r="K65" s="8">
        <f>57.63*1000</f>
        <v>57630</v>
      </c>
      <c r="L65" s="8">
        <v>-160892.46</v>
      </c>
      <c r="M65" s="8">
        <v>76.7</v>
      </c>
      <c r="N65" s="8">
        <v>0.34399999999999997</v>
      </c>
      <c r="O65" s="8">
        <v>82</v>
      </c>
      <c r="P65" s="8">
        <v>30</v>
      </c>
      <c r="Q65" s="17">
        <v>100</v>
      </c>
    </row>
    <row r="66" spans="1:17">
      <c r="A66" s="22" t="s">
        <v>223</v>
      </c>
      <c r="B66" s="8">
        <v>79.900000000000006</v>
      </c>
      <c r="C66" s="8">
        <v>95</v>
      </c>
      <c r="D66" s="8">
        <v>0.6</v>
      </c>
      <c r="E66" s="8">
        <v>-8085224.0499999998</v>
      </c>
      <c r="F66" s="21">
        <v>2910970</v>
      </c>
      <c r="G66" s="8">
        <v>61</v>
      </c>
      <c r="H66" s="8">
        <v>75.5</v>
      </c>
      <c r="I66" s="8">
        <v>3.9</v>
      </c>
      <c r="J66" s="8">
        <v>58.6</v>
      </c>
      <c r="K66" s="8">
        <f>49.01*1000</f>
        <v>49010</v>
      </c>
      <c r="L66" s="8">
        <v>4040.13</v>
      </c>
      <c r="M66" s="8">
        <v>62.5</v>
      </c>
      <c r="N66" s="8">
        <v>0.191</v>
      </c>
      <c r="O66" s="8">
        <v>88</v>
      </c>
      <c r="P66" s="8">
        <v>28</v>
      </c>
      <c r="Q66" s="17">
        <v>100</v>
      </c>
    </row>
    <row r="67" spans="1:17">
      <c r="A67" s="22" t="s">
        <v>226</v>
      </c>
      <c r="B67" s="8">
        <v>52.8</v>
      </c>
      <c r="C67" s="8">
        <v>26</v>
      </c>
      <c r="D67" s="8">
        <v>2.4</v>
      </c>
      <c r="E67" s="8">
        <v>-15251195.710000001</v>
      </c>
      <c r="F67" s="21">
        <v>65115671</v>
      </c>
      <c r="G67" s="8">
        <v>32</v>
      </c>
      <c r="H67" s="8">
        <v>39.700000000000003</v>
      </c>
      <c r="I67" s="8">
        <v>17.3</v>
      </c>
      <c r="J67" s="8">
        <v>38.6</v>
      </c>
      <c r="K67" s="8">
        <f>2.58*1000</f>
        <v>2580</v>
      </c>
      <c r="L67" s="8">
        <v>3313.21</v>
      </c>
      <c r="M67" s="8">
        <v>15.3</v>
      </c>
      <c r="N67" s="8">
        <v>0.05</v>
      </c>
      <c r="O67" s="8">
        <v>24</v>
      </c>
      <c r="P67" s="8">
        <v>30</v>
      </c>
      <c r="Q67">
        <v>55.400001525878899</v>
      </c>
    </row>
    <row r="68" spans="1:17">
      <c r="A68" s="22" t="s">
        <v>316</v>
      </c>
      <c r="B68" s="8">
        <v>56</v>
      </c>
      <c r="C68" s="8">
        <v>45</v>
      </c>
      <c r="D68" s="8">
        <v>-0.4</v>
      </c>
      <c r="E68" s="8">
        <v>-2196967.75</v>
      </c>
      <c r="F68" s="21">
        <v>916180</v>
      </c>
      <c r="G68" s="8">
        <v>32</v>
      </c>
      <c r="H68" s="8">
        <v>66.900000000000006</v>
      </c>
      <c r="I68" s="8">
        <v>4.5</v>
      </c>
      <c r="J68" s="8">
        <v>51.4</v>
      </c>
      <c r="K68" s="8">
        <f>7.26*1000</f>
        <v>7260</v>
      </c>
      <c r="L68" s="8">
        <v>744.89</v>
      </c>
      <c r="M68" s="8">
        <v>33.700000000000003</v>
      </c>
      <c r="N68" s="8">
        <v>0.10100000000000001</v>
      </c>
      <c r="O68" s="8">
        <v>39</v>
      </c>
      <c r="P68" s="8">
        <v>10</v>
      </c>
      <c r="Q68" s="17">
        <v>100</v>
      </c>
    </row>
    <row r="69" spans="1:17">
      <c r="A69" s="22" t="s">
        <v>229</v>
      </c>
      <c r="B69" s="8">
        <v>57.6</v>
      </c>
      <c r="C69" s="8">
        <v>99</v>
      </c>
      <c r="D69" s="8">
        <v>0.5</v>
      </c>
      <c r="E69" s="8">
        <v>58629334.240000002</v>
      </c>
      <c r="F69" s="21">
        <v>2971470</v>
      </c>
      <c r="G69" s="8">
        <v>68</v>
      </c>
      <c r="H69" s="8">
        <v>75.8</v>
      </c>
      <c r="I69" s="8">
        <v>3.8</v>
      </c>
      <c r="J69" s="8">
        <v>39.5</v>
      </c>
      <c r="K69" s="8">
        <f>88.75*1000</f>
        <v>88750</v>
      </c>
      <c r="L69" s="8">
        <v>10696.79</v>
      </c>
      <c r="M69" s="8">
        <v>71</v>
      </c>
      <c r="N69" s="8">
        <v>0.14000000000000001</v>
      </c>
      <c r="O69" s="8">
        <v>85</v>
      </c>
      <c r="P69" s="8">
        <v>22</v>
      </c>
      <c r="Q69" s="17">
        <v>100</v>
      </c>
    </row>
    <row r="70" spans="1:17">
      <c r="A70" s="22" t="s">
        <v>231</v>
      </c>
      <c r="B70" s="8">
        <v>41.5</v>
      </c>
      <c r="C70" s="8">
        <v>23</v>
      </c>
      <c r="D70" s="8">
        <v>1.8</v>
      </c>
      <c r="E70" s="8">
        <v>-40826247</v>
      </c>
      <c r="F70" s="21">
        <v>73133159</v>
      </c>
      <c r="G70" s="8">
        <v>36</v>
      </c>
      <c r="H70" s="8">
        <v>55.6</v>
      </c>
      <c r="I70" s="8">
        <v>19.899999999999999</v>
      </c>
      <c r="J70" s="8">
        <v>71.099999999999994</v>
      </c>
      <c r="K70" s="53">
        <v>1505</v>
      </c>
      <c r="L70" s="8">
        <v>2102</v>
      </c>
      <c r="M70" s="8">
        <v>30.7</v>
      </c>
      <c r="N70" s="8">
        <v>5.3999999999999999E-2</v>
      </c>
      <c r="O70" s="8">
        <v>28</v>
      </c>
      <c r="P70" s="8">
        <v>29</v>
      </c>
      <c r="Q70">
        <v>75.379692077636705</v>
      </c>
    </row>
    <row r="71" spans="1:17">
      <c r="A71" s="22" t="s">
        <v>233</v>
      </c>
      <c r="B71" s="8">
        <v>66.3</v>
      </c>
      <c r="C71" s="8">
        <v>58</v>
      </c>
      <c r="D71" s="8">
        <v>1.3</v>
      </c>
      <c r="E71" s="8">
        <v>2610178.2599999998</v>
      </c>
      <c r="F71" s="21">
        <v>1966360</v>
      </c>
      <c r="G71" s="8">
        <v>37</v>
      </c>
      <c r="H71" s="8">
        <v>69.5</v>
      </c>
      <c r="I71" s="8">
        <v>3.3</v>
      </c>
      <c r="J71" s="8">
        <v>55.1</v>
      </c>
      <c r="K71" s="8">
        <f>17.15*1000</f>
        <v>17150</v>
      </c>
      <c r="L71" s="8">
        <v>1350.13</v>
      </c>
      <c r="M71" s="8">
        <v>48.9</v>
      </c>
      <c r="N71" s="8">
        <v>0.17</v>
      </c>
      <c r="O71" s="8">
        <v>36</v>
      </c>
      <c r="P71" s="8">
        <v>25</v>
      </c>
      <c r="Q71">
        <v>96.704635620117202</v>
      </c>
    </row>
    <row r="72" spans="1:17">
      <c r="A72" s="22" t="s">
        <v>235</v>
      </c>
      <c r="B72" s="8">
        <v>62.2</v>
      </c>
      <c r="C72" s="8">
        <v>48</v>
      </c>
      <c r="D72" s="8">
        <v>1.3</v>
      </c>
      <c r="E72" s="8">
        <v>700271.61</v>
      </c>
      <c r="F72" s="21">
        <v>3430255</v>
      </c>
      <c r="G72" s="8">
        <v>22</v>
      </c>
      <c r="H72" s="8">
        <v>59.8</v>
      </c>
      <c r="I72" s="8">
        <v>4.5</v>
      </c>
      <c r="J72" s="8">
        <v>38.9</v>
      </c>
      <c r="K72" s="8">
        <f>5.91*1000</f>
        <v>5910</v>
      </c>
      <c r="L72" s="8">
        <v>27.18</v>
      </c>
      <c r="M72" s="8">
        <v>26.6</v>
      </c>
      <c r="N72" s="8">
        <v>5.5E-2</v>
      </c>
      <c r="O72" s="8">
        <v>30</v>
      </c>
      <c r="P72" s="8">
        <v>10</v>
      </c>
      <c r="Q72" s="17">
        <v>100</v>
      </c>
    </row>
    <row r="73" spans="1:17">
      <c r="A73" s="22" t="s">
        <v>236</v>
      </c>
      <c r="B73" s="8">
        <v>66.5</v>
      </c>
      <c r="C73" s="8">
        <v>61</v>
      </c>
      <c r="D73" s="8">
        <v>1.2</v>
      </c>
      <c r="E73" s="8">
        <v>7486325.4800000004</v>
      </c>
      <c r="F73" s="21">
        <v>18351926</v>
      </c>
      <c r="G73" s="8">
        <v>33</v>
      </c>
      <c r="H73" s="8">
        <v>62.3</v>
      </c>
      <c r="I73" s="8">
        <v>4.4000000000000004</v>
      </c>
      <c r="J73" s="8">
        <v>35.700000000000003</v>
      </c>
      <c r="K73" s="8">
        <f>7.35*1000</f>
        <v>7350</v>
      </c>
      <c r="L73" s="8">
        <v>7455.12</v>
      </c>
      <c r="M73" s="8">
        <v>38.1</v>
      </c>
      <c r="N73" s="8">
        <v>0.223</v>
      </c>
      <c r="O73" s="8">
        <v>36</v>
      </c>
      <c r="P73" s="8">
        <v>29.5</v>
      </c>
      <c r="Q73">
        <v>99.311813354492202</v>
      </c>
    </row>
    <row r="74" spans="1:17">
      <c r="A74" s="22" t="s">
        <v>237</v>
      </c>
      <c r="B74" s="8">
        <v>63.5</v>
      </c>
      <c r="C74" s="8">
        <v>61</v>
      </c>
      <c r="D74" s="8">
        <v>1.5</v>
      </c>
      <c r="E74" s="8">
        <v>-38718370.57</v>
      </c>
      <c r="F74" s="21">
        <v>44242102</v>
      </c>
      <c r="G74" s="8">
        <v>38</v>
      </c>
      <c r="H74" s="8">
        <v>58</v>
      </c>
      <c r="I74" s="8">
        <v>4.3</v>
      </c>
      <c r="J74" s="8">
        <v>61</v>
      </c>
      <c r="K74" s="34">
        <f>3.76*1000</f>
        <v>3760</v>
      </c>
      <c r="L74" s="34">
        <v>10518.04</v>
      </c>
      <c r="M74" s="8">
        <v>50.3</v>
      </c>
      <c r="N74" s="8">
        <v>0.17499999999999999</v>
      </c>
      <c r="O74" s="8">
        <v>33</v>
      </c>
      <c r="P74" s="8">
        <v>25</v>
      </c>
      <c r="Q74">
        <v>96.842384338378906</v>
      </c>
    </row>
    <row r="75" spans="1:17">
      <c r="A75" s="22" t="s">
        <v>238</v>
      </c>
      <c r="B75" s="8">
        <v>59.5</v>
      </c>
      <c r="C75" s="8">
        <v>71</v>
      </c>
      <c r="D75" s="8">
        <v>-0.4</v>
      </c>
      <c r="E75" s="8">
        <v>30922000</v>
      </c>
      <c r="F75" s="21">
        <v>18211900</v>
      </c>
      <c r="G75" s="8">
        <v>50</v>
      </c>
      <c r="H75" s="8">
        <v>81.2</v>
      </c>
      <c r="I75" s="8">
        <v>14.3</v>
      </c>
      <c r="J75" s="8">
        <v>45.1</v>
      </c>
      <c r="K75" s="8">
        <f>20.05*1000</f>
        <v>20050</v>
      </c>
      <c r="L75" s="8">
        <v>33684</v>
      </c>
      <c r="M75" s="8">
        <v>42.3</v>
      </c>
      <c r="N75" s="8">
        <v>0.17899999999999999</v>
      </c>
      <c r="O75" s="8">
        <v>56</v>
      </c>
      <c r="P75" s="8">
        <v>19</v>
      </c>
      <c r="Q75" s="17">
        <v>100</v>
      </c>
    </row>
    <row r="76" spans="1:17">
      <c r="A76" s="22" t="s">
        <v>239</v>
      </c>
      <c r="B76" s="8">
        <v>62.9</v>
      </c>
      <c r="C76" s="8">
        <v>72</v>
      </c>
      <c r="D76" s="8">
        <v>0.3</v>
      </c>
      <c r="E76" s="8">
        <v>-6766334.7300000004</v>
      </c>
      <c r="F76" s="21">
        <v>5173674</v>
      </c>
      <c r="G76" s="8">
        <v>54</v>
      </c>
      <c r="H76" s="8">
        <v>83.6</v>
      </c>
      <c r="I76" s="8">
        <v>4.7</v>
      </c>
      <c r="J76" s="8">
        <v>111.2</v>
      </c>
      <c r="K76" s="8">
        <f>25.49*1000</f>
        <v>25490</v>
      </c>
      <c r="L76" s="8">
        <v>7359.96</v>
      </c>
      <c r="M76" s="8">
        <v>63.7</v>
      </c>
      <c r="N76" s="8">
        <v>0.253</v>
      </c>
      <c r="O76" s="8">
        <v>62</v>
      </c>
      <c r="P76" s="8">
        <v>31.5</v>
      </c>
      <c r="Q76" s="17">
        <v>100</v>
      </c>
    </row>
    <row r="77" spans="1:17">
      <c r="A77" s="22" t="s">
        <v>242</v>
      </c>
      <c r="B77" s="8">
        <v>56.6</v>
      </c>
      <c r="C77" s="8">
        <v>55</v>
      </c>
      <c r="D77" s="8">
        <v>-0.8</v>
      </c>
      <c r="E77" s="8">
        <v>-16177203.810000001</v>
      </c>
      <c r="F77" s="21">
        <v>8380691</v>
      </c>
      <c r="G77" s="8">
        <v>42</v>
      </c>
      <c r="H77" s="8">
        <v>71.7</v>
      </c>
      <c r="I77" s="8">
        <v>11</v>
      </c>
      <c r="J77" s="8">
        <v>51.6</v>
      </c>
      <c r="K77" s="8">
        <f>16.23*1000</f>
        <v>16230</v>
      </c>
      <c r="L77" s="8">
        <v>10456.5</v>
      </c>
      <c r="M77" s="8">
        <v>31.8</v>
      </c>
      <c r="N77" s="8">
        <v>0.2</v>
      </c>
      <c r="O77" s="8">
        <v>45</v>
      </c>
      <c r="P77" s="8">
        <v>16</v>
      </c>
      <c r="Q77" s="17">
        <v>100</v>
      </c>
    </row>
    <row r="78" spans="1:17">
      <c r="A78" s="22" t="s">
        <v>244</v>
      </c>
      <c r="B78" s="8">
        <v>54</v>
      </c>
      <c r="C78" s="8">
        <v>33</v>
      </c>
      <c r="D78" s="8">
        <v>2.4</v>
      </c>
      <c r="E78" s="8">
        <v>-1745970.65</v>
      </c>
      <c r="F78" s="21">
        <v>6776063</v>
      </c>
      <c r="G78" s="8">
        <v>31</v>
      </c>
      <c r="H78" s="8">
        <v>52</v>
      </c>
      <c r="I78" s="8">
        <v>8</v>
      </c>
      <c r="J78" s="8">
        <v>68.599999999999994</v>
      </c>
      <c r="K78" s="8">
        <f>967.74</f>
        <v>967.74</v>
      </c>
      <c r="L78" s="8">
        <v>211.9</v>
      </c>
      <c r="M78" s="8">
        <v>32.299999999999997</v>
      </c>
      <c r="N78" s="8">
        <v>0.24099999999999999</v>
      </c>
      <c r="O78" s="8">
        <v>53</v>
      </c>
      <c r="P78" s="8">
        <v>30</v>
      </c>
      <c r="Q78">
        <v>46.599998474121101</v>
      </c>
    </row>
    <row r="79" spans="1:17">
      <c r="A79" s="22" t="s">
        <v>249</v>
      </c>
      <c r="B79" s="8">
        <v>52.6</v>
      </c>
      <c r="C79" s="8">
        <v>37</v>
      </c>
      <c r="D79" s="8">
        <v>2.6</v>
      </c>
      <c r="E79" s="8">
        <v>-3673057.36</v>
      </c>
      <c r="F79" s="21">
        <v>4377305</v>
      </c>
      <c r="G79" s="8">
        <v>32</v>
      </c>
      <c r="H79" s="8">
        <v>51.3</v>
      </c>
      <c r="I79" s="8">
        <v>3.1</v>
      </c>
      <c r="J79" s="8">
        <v>74.3</v>
      </c>
      <c r="K79" s="8">
        <f>1.64*1000</f>
        <v>1640</v>
      </c>
      <c r="L79" s="8">
        <v>2231.9</v>
      </c>
      <c r="M79" s="8">
        <v>25.1</v>
      </c>
      <c r="N79" s="8">
        <v>0.16800000000000001</v>
      </c>
      <c r="O79" s="8">
        <v>43</v>
      </c>
      <c r="P79" s="8">
        <v>30</v>
      </c>
      <c r="Q79">
        <v>70.368942260742202</v>
      </c>
    </row>
    <row r="80" spans="1:17">
      <c r="A80" s="22" t="s">
        <v>250</v>
      </c>
      <c r="B80" s="8">
        <v>61.5</v>
      </c>
      <c r="C80" s="8">
        <v>48</v>
      </c>
      <c r="D80" s="8">
        <v>-0.9</v>
      </c>
      <c r="E80" s="8">
        <v>-5312331.7699999996</v>
      </c>
      <c r="F80" s="21">
        <v>3176077</v>
      </c>
      <c r="G80" s="8">
        <v>40</v>
      </c>
      <c r="H80" s="8">
        <v>73.8</v>
      </c>
      <c r="I80" s="8">
        <v>8.3000000000000007</v>
      </c>
      <c r="J80" s="8">
        <v>50.3</v>
      </c>
      <c r="K80" s="8">
        <f>10.08*1000</f>
        <v>10080</v>
      </c>
      <c r="L80" s="8">
        <v>4567.7</v>
      </c>
      <c r="M80" s="8">
        <v>34.700000000000003</v>
      </c>
      <c r="N80" s="8">
        <v>9.2999999999999999E-2</v>
      </c>
      <c r="O80" s="8">
        <v>38</v>
      </c>
      <c r="P80" s="8">
        <v>15</v>
      </c>
      <c r="Q80" s="17">
        <v>100</v>
      </c>
    </row>
    <row r="81" spans="1:17">
      <c r="A81" s="22" t="s">
        <v>253</v>
      </c>
      <c r="B81" s="8">
        <v>88.7</v>
      </c>
      <c r="C81" s="8">
        <v>98</v>
      </c>
      <c r="D81" s="8">
        <v>-4.2</v>
      </c>
      <c r="E81" s="8">
        <v>124501507.28</v>
      </c>
      <c r="F81" s="21">
        <v>3289682</v>
      </c>
      <c r="G81" s="8">
        <v>75</v>
      </c>
      <c r="H81" s="8">
        <v>95</v>
      </c>
      <c r="I81" s="8">
        <v>3</v>
      </c>
      <c r="J81" s="8">
        <v>140</v>
      </c>
      <c r="K81" s="34">
        <f>84.5*1000</f>
        <v>84500</v>
      </c>
      <c r="L81" s="34">
        <v>105490.7</v>
      </c>
      <c r="M81" s="8">
        <v>86.7</v>
      </c>
      <c r="N81" s="8">
        <v>0.20200000000000001</v>
      </c>
      <c r="O81" s="8">
        <v>85</v>
      </c>
      <c r="P81" s="8">
        <v>21</v>
      </c>
      <c r="Q81" s="17">
        <v>100</v>
      </c>
    </row>
    <row r="82" spans="1:17">
      <c r="A82" s="22" t="s">
        <v>314</v>
      </c>
      <c r="B82" s="8">
        <v>57.5</v>
      </c>
      <c r="C82" s="8">
        <v>76</v>
      </c>
      <c r="D82" s="8">
        <v>-0.2</v>
      </c>
      <c r="E82" s="8">
        <v>71827.83</v>
      </c>
      <c r="F82" s="21">
        <v>2766437</v>
      </c>
      <c r="G82" s="8">
        <v>46</v>
      </c>
      <c r="H82" s="8">
        <v>78.599999999999994</v>
      </c>
      <c r="I82" s="8">
        <v>10.1</v>
      </c>
      <c r="J82" s="8">
        <v>57.4</v>
      </c>
      <c r="K82" s="8">
        <f>22.3*1000</f>
        <v>22300</v>
      </c>
      <c r="L82" s="8">
        <v>970.9</v>
      </c>
      <c r="M82" s="8">
        <v>40.6</v>
      </c>
      <c r="N82" s="8">
        <v>0.2</v>
      </c>
      <c r="O82" s="8">
        <v>52</v>
      </c>
      <c r="P82" s="8">
        <v>21</v>
      </c>
      <c r="Q82" s="17">
        <v>100</v>
      </c>
    </row>
    <row r="83" spans="1:17">
      <c r="A83" s="22" t="s">
        <v>260</v>
      </c>
      <c r="B83" s="8">
        <v>56.5</v>
      </c>
      <c r="C83" s="8">
        <v>41</v>
      </c>
      <c r="D83" s="8">
        <v>1</v>
      </c>
      <c r="E83" s="8">
        <v>26078868.890000001</v>
      </c>
      <c r="F83" s="21">
        <v>22397601</v>
      </c>
      <c r="G83" s="8">
        <v>45</v>
      </c>
      <c r="H83" s="8">
        <v>68.099999999999994</v>
      </c>
      <c r="I83" s="8">
        <v>5.0999999999999996</v>
      </c>
      <c r="J83" s="8">
        <v>70.7</v>
      </c>
      <c r="K83" s="8">
        <f>6.81*1000</f>
        <v>6810</v>
      </c>
      <c r="L83" s="8">
        <v>41296.14</v>
      </c>
      <c r="M83" s="8">
        <v>75.599999999999994</v>
      </c>
      <c r="N83" s="8">
        <v>0.14799999999999999</v>
      </c>
      <c r="O83" s="8">
        <v>44</v>
      </c>
      <c r="P83" s="8">
        <v>28</v>
      </c>
      <c r="Q83">
        <v>84.385536193847699</v>
      </c>
    </row>
    <row r="84" spans="1:17">
      <c r="A84" s="22" t="s">
        <v>313</v>
      </c>
      <c r="B84" s="8">
        <v>58.6</v>
      </c>
      <c r="C84" s="8">
        <v>86</v>
      </c>
      <c r="D84" s="8">
        <v>-0.2</v>
      </c>
      <c r="E84" s="8">
        <v>73098900</v>
      </c>
      <c r="F84" s="17">
        <v>28673.67</v>
      </c>
      <c r="G84" s="8">
        <v>79</v>
      </c>
      <c r="H84" s="8">
        <v>92.1</v>
      </c>
      <c r="I84" s="8">
        <v>3.8</v>
      </c>
      <c r="J84" s="8">
        <v>54.4</v>
      </c>
      <c r="K84" s="8">
        <f>34.77*1000</f>
        <v>34770</v>
      </c>
      <c r="L84" s="8">
        <v>16819.7</v>
      </c>
      <c r="M84" s="8">
        <v>78.599999999999994</v>
      </c>
      <c r="N84" s="8">
        <v>8.7999999999999995E-2</v>
      </c>
      <c r="O84" s="8">
        <v>62</v>
      </c>
      <c r="P84" s="8">
        <v>27.5</v>
      </c>
      <c r="Q84" s="17">
        <v>100</v>
      </c>
    </row>
    <row r="85" spans="1:17">
      <c r="A85" s="22" t="s">
        <v>263</v>
      </c>
      <c r="B85" s="8">
        <v>63.9</v>
      </c>
      <c r="C85" s="8">
        <v>71</v>
      </c>
      <c r="D85" s="8">
        <v>0.1</v>
      </c>
      <c r="E85" s="8">
        <v>21189981.510000002</v>
      </c>
      <c r="F85" s="21">
        <v>23381693</v>
      </c>
      <c r="G85" s="8">
        <v>64</v>
      </c>
      <c r="H85" s="8">
        <v>90.3</v>
      </c>
      <c r="I85" s="8">
        <v>4.9000000000000004</v>
      </c>
      <c r="J85" s="8">
        <v>112.1</v>
      </c>
      <c r="K85" s="8">
        <f>29.73*1000</f>
        <v>29730</v>
      </c>
      <c r="L85" s="8">
        <v>36609.61</v>
      </c>
      <c r="M85" s="8">
        <v>68.3</v>
      </c>
      <c r="N85" s="8">
        <v>0.34399999999999997</v>
      </c>
      <c r="O85" s="8">
        <v>61</v>
      </c>
      <c r="P85" s="8">
        <v>25</v>
      </c>
      <c r="Q85" s="17">
        <v>100</v>
      </c>
    </row>
    <row r="86" spans="1:17">
      <c r="A86" s="22" t="s">
        <v>264</v>
      </c>
      <c r="B86" s="8">
        <v>38.4</v>
      </c>
      <c r="C86" s="8">
        <v>11</v>
      </c>
      <c r="D86" s="8">
        <v>1.1000000000000001</v>
      </c>
      <c r="E86" s="8">
        <v>-5188536.22</v>
      </c>
      <c r="F86" s="21">
        <v>8267764</v>
      </c>
      <c r="G86" s="8">
        <v>35</v>
      </c>
      <c r="H86" s="8">
        <v>69.2</v>
      </c>
      <c r="I86" s="8">
        <v>29.5</v>
      </c>
      <c r="J86" s="29">
        <v>130.52600000000001</v>
      </c>
      <c r="K86" s="54">
        <v>4013.7</v>
      </c>
      <c r="L86" s="8">
        <v>597.52</v>
      </c>
      <c r="M86" s="8">
        <v>35.299999999999997</v>
      </c>
      <c r="N86" s="8">
        <v>0.04</v>
      </c>
      <c r="O86" s="8">
        <v>37</v>
      </c>
      <c r="P86" s="8">
        <v>24</v>
      </c>
      <c r="Q86" s="17">
        <v>100</v>
      </c>
    </row>
    <row r="87" spans="1:17">
      <c r="A87" s="22" t="s">
        <v>272</v>
      </c>
      <c r="B87" s="8">
        <v>67.7</v>
      </c>
      <c r="C87" s="8">
        <v>99</v>
      </c>
      <c r="D87" s="8">
        <v>0.6</v>
      </c>
      <c r="E87" s="8">
        <v>27523728.559999999</v>
      </c>
      <c r="F87" s="21">
        <v>5555561</v>
      </c>
      <c r="G87" s="8">
        <v>79</v>
      </c>
      <c r="H87" s="8">
        <v>84</v>
      </c>
      <c r="I87" s="8">
        <v>8.4</v>
      </c>
      <c r="J87" s="8">
        <v>31.2</v>
      </c>
      <c r="K87" s="8">
        <f>60.47*1000</f>
        <v>60470</v>
      </c>
      <c r="L87" s="8">
        <v>58324.35</v>
      </c>
      <c r="M87" s="8">
        <v>83.7</v>
      </c>
      <c r="N87" s="8">
        <v>0.28399999999999997</v>
      </c>
      <c r="O87" s="8">
        <v>85</v>
      </c>
      <c r="P87" s="8">
        <v>20.6</v>
      </c>
      <c r="Q87" s="17">
        <v>100</v>
      </c>
    </row>
    <row r="88" spans="1:17">
      <c r="A88" s="22" t="s">
        <v>273</v>
      </c>
      <c r="B88" s="8">
        <v>54.7</v>
      </c>
      <c r="C88" s="8">
        <v>100</v>
      </c>
      <c r="D88" s="8">
        <v>0.8</v>
      </c>
      <c r="E88" s="8">
        <v>90854381.329999998</v>
      </c>
      <c r="F88" s="21">
        <v>4963476</v>
      </c>
      <c r="G88" s="8">
        <v>81</v>
      </c>
      <c r="H88" s="8">
        <v>93.2</v>
      </c>
      <c r="I88" s="8">
        <v>2.4</v>
      </c>
      <c r="J88" s="8">
        <v>39.1</v>
      </c>
      <c r="K88" s="8">
        <f>94.83*1000</f>
        <v>94830</v>
      </c>
      <c r="L88" s="8">
        <v>9312.17</v>
      </c>
      <c r="M88" s="8">
        <v>84.4</v>
      </c>
      <c r="N88" s="8">
        <v>0.23100000000000001</v>
      </c>
      <c r="O88" s="8">
        <v>84</v>
      </c>
      <c r="P88" s="8">
        <v>19.7</v>
      </c>
      <c r="Q88" s="17">
        <v>100</v>
      </c>
    </row>
    <row r="89" spans="1:17">
      <c r="A89" s="22" t="s">
        <v>278</v>
      </c>
      <c r="B89" s="8">
        <v>52.3</v>
      </c>
      <c r="C89" s="8">
        <v>30</v>
      </c>
      <c r="D89" s="8">
        <v>3</v>
      </c>
      <c r="E89" s="8">
        <v>-625517.36</v>
      </c>
      <c r="F89" s="21">
        <v>29862778</v>
      </c>
      <c r="G89" s="8">
        <v>28</v>
      </c>
      <c r="H89" s="8">
        <v>44.9</v>
      </c>
      <c r="I89" s="8">
        <v>5.3</v>
      </c>
      <c r="J89" s="8">
        <v>38.1</v>
      </c>
      <c r="K89" s="8">
        <f>1.34*1000</f>
        <v>1340</v>
      </c>
      <c r="L89" s="8">
        <v>921.83</v>
      </c>
      <c r="M89" s="8">
        <v>23.3</v>
      </c>
      <c r="N89" s="8">
        <v>9.8000000000000004E-2</v>
      </c>
      <c r="O89" s="8">
        <v>39</v>
      </c>
      <c r="P89" s="8">
        <v>30</v>
      </c>
      <c r="Q89">
        <v>39.900001525878899</v>
      </c>
    </row>
    <row r="90" spans="1:17">
      <c r="A90" s="22" t="s">
        <v>279</v>
      </c>
      <c r="B90" s="8">
        <v>53.3</v>
      </c>
      <c r="C90" s="8">
        <v>65</v>
      </c>
      <c r="D90" s="8">
        <v>0.2</v>
      </c>
      <c r="E90" s="8">
        <v>222212.52</v>
      </c>
      <c r="F90" s="21">
        <v>40213210</v>
      </c>
      <c r="G90" s="8">
        <v>44</v>
      </c>
      <c r="H90" s="8">
        <v>68</v>
      </c>
      <c r="I90" s="8">
        <v>2.8</v>
      </c>
      <c r="J90" s="8">
        <v>61.4</v>
      </c>
      <c r="K90" s="34">
        <f>8.27*1000</f>
        <v>8270</v>
      </c>
      <c r="L90" s="34">
        <v>12156.21</v>
      </c>
      <c r="M90" s="8">
        <v>78.3</v>
      </c>
      <c r="N90" s="8">
        <v>0.109</v>
      </c>
      <c r="O90" s="8">
        <v>35</v>
      </c>
      <c r="P90" s="8">
        <v>20</v>
      </c>
      <c r="Q90" s="17">
        <v>100</v>
      </c>
    </row>
    <row r="91" spans="1:17">
      <c r="A91" s="22" t="s">
        <v>283</v>
      </c>
      <c r="B91" s="8">
        <v>51.9</v>
      </c>
      <c r="C91" s="8">
        <v>23</v>
      </c>
      <c r="D91" s="8">
        <v>0.8</v>
      </c>
      <c r="E91" s="8">
        <v>-4525657.8499999996</v>
      </c>
      <c r="F91" s="21">
        <v>4226277</v>
      </c>
      <c r="G91" s="8">
        <v>33</v>
      </c>
      <c r="H91" s="8">
        <v>62.7</v>
      </c>
      <c r="I91" s="8">
        <v>8.5</v>
      </c>
      <c r="J91" s="8">
        <v>89.2</v>
      </c>
      <c r="K91" s="8">
        <f>3.76*1000</f>
        <v>3760</v>
      </c>
      <c r="L91" s="8">
        <v>660.23</v>
      </c>
      <c r="M91" s="8">
        <v>40.799999999999997</v>
      </c>
      <c r="N91" s="8">
        <v>6.7000000000000004E-2</v>
      </c>
      <c r="O91" s="8">
        <v>44</v>
      </c>
      <c r="P91" s="8">
        <v>15</v>
      </c>
      <c r="Q91" s="17">
        <v>100</v>
      </c>
    </row>
    <row r="92" spans="1:17">
      <c r="A92" s="22" t="s">
        <v>284</v>
      </c>
      <c r="B92" s="8">
        <v>54.7</v>
      </c>
      <c r="C92" s="8">
        <v>30</v>
      </c>
      <c r="D92" s="8">
        <v>0.8</v>
      </c>
      <c r="E92" s="8">
        <v>2499000</v>
      </c>
      <c r="F92" s="21">
        <v>32554211</v>
      </c>
      <c r="G92" s="8">
        <v>45</v>
      </c>
      <c r="H92" s="8">
        <v>74.3</v>
      </c>
      <c r="I92" s="8">
        <v>51.2</v>
      </c>
      <c r="J92" s="8">
        <v>37.700000000000003</v>
      </c>
      <c r="K92" s="8">
        <f>10.86*1000</f>
        <v>10860</v>
      </c>
      <c r="L92" s="8">
        <v>13842</v>
      </c>
      <c r="M92" s="8">
        <v>39.4</v>
      </c>
      <c r="N92" s="8">
        <v>6.9000000000000006E-2</v>
      </c>
      <c r="O92" s="8">
        <v>38</v>
      </c>
      <c r="P92" s="8">
        <v>23</v>
      </c>
      <c r="Q92" s="17">
        <v>100</v>
      </c>
    </row>
    <row r="93" spans="1:17">
      <c r="A93" s="22" t="s">
        <v>288</v>
      </c>
      <c r="B93" s="8">
        <v>53.6</v>
      </c>
      <c r="C93" s="8">
        <v>31</v>
      </c>
      <c r="D93" s="8">
        <v>3.2</v>
      </c>
      <c r="E93" s="8">
        <v>-4527330.82</v>
      </c>
      <c r="F93" s="21">
        <v>16994563</v>
      </c>
      <c r="G93" s="8">
        <v>30</v>
      </c>
      <c r="H93" s="8">
        <v>47.9</v>
      </c>
      <c r="I93" s="8">
        <v>6.4</v>
      </c>
      <c r="J93" s="8">
        <v>51.3</v>
      </c>
      <c r="K93" s="8">
        <f>1.16*1000</f>
        <v>1160</v>
      </c>
      <c r="L93" s="8">
        <v>1142.21</v>
      </c>
      <c r="M93" s="8">
        <v>20.7</v>
      </c>
      <c r="N93" s="8">
        <v>0.16400000000000001</v>
      </c>
      <c r="O93" s="8">
        <v>27</v>
      </c>
      <c r="P93" s="8">
        <v>30</v>
      </c>
      <c r="Q93">
        <v>42.074417114257798</v>
      </c>
    </row>
    <row r="94" spans="1:17">
      <c r="A94" s="22" t="s">
        <v>289</v>
      </c>
      <c r="B94" s="8">
        <v>64.900000000000006</v>
      </c>
      <c r="C94" s="8">
        <v>90</v>
      </c>
      <c r="D94" s="8">
        <v>0.4</v>
      </c>
      <c r="E94" s="8">
        <v>-24233324.66</v>
      </c>
      <c r="F94" s="21">
        <v>34637447</v>
      </c>
      <c r="G94" s="8">
        <v>78</v>
      </c>
      <c r="H94" s="8">
        <v>88.9</v>
      </c>
      <c r="I94" s="8">
        <v>9</v>
      </c>
      <c r="J94" s="8">
        <v>79.900000000000006</v>
      </c>
      <c r="K94" s="8">
        <f>51.29*1000</f>
        <v>51290</v>
      </c>
      <c r="L94" s="8">
        <v>22604.21</v>
      </c>
      <c r="M94" s="8">
        <v>84.1</v>
      </c>
      <c r="N94" s="8">
        <v>0.33600000000000002</v>
      </c>
      <c r="O94" s="8">
        <v>78</v>
      </c>
      <c r="P94" s="8">
        <v>19</v>
      </c>
      <c r="Q94" s="17">
        <v>100</v>
      </c>
    </row>
    <row r="95" spans="1:17">
      <c r="A95" s="22" t="s">
        <v>292</v>
      </c>
      <c r="B95" s="8">
        <v>58</v>
      </c>
      <c r="C95" s="8">
        <v>55</v>
      </c>
      <c r="D95" s="8">
        <v>-0.1</v>
      </c>
      <c r="E95" s="8">
        <v>3769252.08</v>
      </c>
      <c r="F95" s="21">
        <v>1702310</v>
      </c>
      <c r="G95" s="8">
        <v>38</v>
      </c>
      <c r="H95" s="8">
        <v>68.7</v>
      </c>
      <c r="I95" s="8">
        <v>7.8</v>
      </c>
      <c r="J95" s="8">
        <v>62.6</v>
      </c>
      <c r="K95" s="8">
        <f>20.46*1000</f>
        <v>20460</v>
      </c>
      <c r="L95" s="8">
        <v>2586.5300000000002</v>
      </c>
      <c r="M95" s="8">
        <v>30.9</v>
      </c>
      <c r="N95" s="8">
        <v>0.246</v>
      </c>
      <c r="O95" s="8">
        <v>73</v>
      </c>
      <c r="P95" s="8">
        <v>25</v>
      </c>
      <c r="Q95" s="17">
        <v>100</v>
      </c>
    </row>
    <row r="96" spans="1:17">
      <c r="A96" s="22" t="s">
        <v>312</v>
      </c>
      <c r="B96" s="8">
        <v>67</v>
      </c>
      <c r="C96" s="8">
        <v>98</v>
      </c>
      <c r="D96" s="8">
        <v>0.1</v>
      </c>
      <c r="E96" s="8">
        <v>-845050000</v>
      </c>
      <c r="F96" s="21">
        <v>164796725</v>
      </c>
      <c r="G96" s="8">
        <v>84</v>
      </c>
      <c r="H96" s="8">
        <v>87.9</v>
      </c>
      <c r="I96" s="8">
        <v>3.5</v>
      </c>
      <c r="J96" s="8">
        <v>122.9</v>
      </c>
      <c r="K96" s="8">
        <f>78.42*1000</f>
        <v>78420</v>
      </c>
      <c r="L96" s="8">
        <v>448324</v>
      </c>
      <c r="M96" s="8">
        <v>89.1</v>
      </c>
      <c r="N96" s="8">
        <v>0.16200000000000001</v>
      </c>
      <c r="O96" s="8">
        <v>67</v>
      </c>
      <c r="P96" s="8">
        <v>25.81</v>
      </c>
      <c r="Q96" s="17">
        <v>100</v>
      </c>
    </row>
    <row r="97" spans="1:17">
      <c r="A97" s="22" t="s">
        <v>296</v>
      </c>
      <c r="B97" s="8">
        <v>43.3</v>
      </c>
      <c r="C97" s="8">
        <v>11</v>
      </c>
      <c r="D97" s="8">
        <v>-1</v>
      </c>
      <c r="E97" s="8">
        <v>2874000</v>
      </c>
      <c r="F97" s="21">
        <v>10244756</v>
      </c>
      <c r="G97" s="8">
        <v>31</v>
      </c>
      <c r="H97" s="8">
        <v>46.2</v>
      </c>
      <c r="I97" s="8">
        <v>195</v>
      </c>
      <c r="J97" s="50">
        <v>240.5</v>
      </c>
      <c r="K97" s="8">
        <f>3.27*1000</f>
        <v>3270</v>
      </c>
      <c r="L97" s="8">
        <v>-761.33</v>
      </c>
      <c r="M97" s="8">
        <v>25.4</v>
      </c>
      <c r="N97" s="8">
        <v>0.17299999999999999</v>
      </c>
      <c r="O97" s="8">
        <v>14</v>
      </c>
      <c r="P97" s="8">
        <v>34</v>
      </c>
      <c r="Q97" s="17">
        <v>100</v>
      </c>
    </row>
    <row r="98" spans="1:17">
      <c r="A98" s="22" t="s">
        <v>315</v>
      </c>
      <c r="B98" s="8">
        <v>54.3</v>
      </c>
      <c r="C98" s="8">
        <v>45</v>
      </c>
      <c r="D98" s="8">
        <v>0.8</v>
      </c>
      <c r="E98" s="8">
        <v>1963000</v>
      </c>
      <c r="F98" s="21">
        <v>56202805</v>
      </c>
      <c r="G98" s="8">
        <v>37</v>
      </c>
      <c r="H98" s="8">
        <v>66</v>
      </c>
      <c r="I98" s="8">
        <v>3.9</v>
      </c>
      <c r="J98" s="8">
        <v>40.5</v>
      </c>
      <c r="K98" s="34">
        <f>4.68*1000</f>
        <v>4680</v>
      </c>
      <c r="L98" s="34">
        <v>15660</v>
      </c>
      <c r="M98" s="8">
        <v>48.2</v>
      </c>
      <c r="N98" s="8">
        <v>7.9000000000000001E-2</v>
      </c>
      <c r="O98" s="8">
        <v>39</v>
      </c>
      <c r="P98" s="8">
        <v>20</v>
      </c>
      <c r="Q98" s="17">
        <v>100</v>
      </c>
    </row>
    <row r="99" spans="1:17">
      <c r="A99" s="25" t="s">
        <v>301</v>
      </c>
      <c r="B99" s="8">
        <v>51.5</v>
      </c>
      <c r="C99" s="8">
        <v>30</v>
      </c>
      <c r="D99" s="8">
        <v>2.8</v>
      </c>
      <c r="E99" s="8">
        <v>4015027.85</v>
      </c>
      <c r="F99" s="21">
        <v>8113422</v>
      </c>
      <c r="G99" s="8">
        <v>29</v>
      </c>
      <c r="H99" s="8">
        <v>43.3</v>
      </c>
      <c r="I99" s="8">
        <v>9.5</v>
      </c>
      <c r="J99" s="29">
        <v>119.14100000000001</v>
      </c>
      <c r="K99" s="8">
        <f>1.4*1000</f>
        <v>1400</v>
      </c>
      <c r="L99" s="8">
        <v>-823.08</v>
      </c>
      <c r="M99" s="8">
        <v>19.5</v>
      </c>
      <c r="N99" s="26">
        <v>3.1E-2</v>
      </c>
      <c r="O99" s="26">
        <v>33</v>
      </c>
      <c r="P99" s="8">
        <v>30</v>
      </c>
      <c r="Q99">
        <v>44.5244750976563</v>
      </c>
    </row>
  </sheetData>
  <hyperlinks>
    <hyperlink ref="B3" r:id="rId1" xr:uid="{D612BBF1-8957-3D44-A9EB-D5EBFBE92695}"/>
    <hyperlink ref="C3" r:id="rId2" xr:uid="{09C5A099-E04D-264D-A146-29AAC542BBF7}"/>
    <hyperlink ref="D3" r:id="rId3" xr:uid="{67EF1399-A7E0-9E4F-898B-C9E25473042E}"/>
    <hyperlink ref="L3" r:id="rId4" xr:uid="{F0C250BE-0D6A-1D41-9FFA-55B4C305E9D3}"/>
    <hyperlink ref="N3" r:id="rId5" xr:uid="{1A5488C8-73AF-AD4A-A8C4-22D341C32972}"/>
    <hyperlink ref="O3" r:id="rId6" xr:uid="{724E9262-2BFC-E442-9771-3730896715FC}"/>
    <hyperlink ref="Q3" r:id="rId7" xr:uid="{BE418D16-2489-1743-9C9C-E47B499BA6E4}"/>
  </hyperlinks>
  <pageMargins left="0.7" right="0.7" top="0.75" bottom="0.75" header="0.3" footer="0.3"/>
  <legacy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CEB3-99A7-D845-A7D4-9F4A977882AB}">
  <dimension ref="A1:B222"/>
  <sheetViews>
    <sheetView tabSelected="1" topLeftCell="A197" workbookViewId="0">
      <selection activeCell="D223" sqref="D223"/>
    </sheetView>
  </sheetViews>
  <sheetFormatPr baseColWidth="10" defaultRowHeight="16"/>
  <cols>
    <col min="1" max="1" width="20" style="51" bestFit="1" customWidth="1"/>
  </cols>
  <sheetData>
    <row r="1" spans="1:2" s="56" customFormat="1">
      <c r="A1" s="55" t="s">
        <v>0</v>
      </c>
      <c r="B1" s="56" t="s">
        <v>319</v>
      </c>
    </row>
    <row r="2" spans="1:2">
      <c r="A2" s="4" t="s">
        <v>76</v>
      </c>
      <c r="B2">
        <v>0</v>
      </c>
    </row>
    <row r="3" spans="1:2">
      <c r="A3" s="22" t="s">
        <v>79</v>
      </c>
      <c r="B3">
        <v>1</v>
      </c>
    </row>
    <row r="4" spans="1:2">
      <c r="A4" s="4" t="s">
        <v>80</v>
      </c>
      <c r="B4">
        <v>0</v>
      </c>
    </row>
    <row r="5" spans="1:2">
      <c r="A5" s="4" t="s">
        <v>81</v>
      </c>
      <c r="B5">
        <v>0</v>
      </c>
    </row>
    <row r="6" spans="1:2">
      <c r="A6" s="4" t="s">
        <v>82</v>
      </c>
      <c r="B6">
        <v>0</v>
      </c>
    </row>
    <row r="7" spans="1:2">
      <c r="A7" s="25" t="s">
        <v>83</v>
      </c>
      <c r="B7">
        <v>1</v>
      </c>
    </row>
    <row r="8" spans="1:2">
      <c r="A8" s="27" t="s">
        <v>84</v>
      </c>
      <c r="B8">
        <v>0</v>
      </c>
    </row>
    <row r="9" spans="1:2">
      <c r="A9" s="22" t="s">
        <v>86</v>
      </c>
      <c r="B9">
        <v>1</v>
      </c>
    </row>
    <row r="10" spans="1:2">
      <c r="A10" s="22" t="s">
        <v>87</v>
      </c>
      <c r="B10">
        <v>1</v>
      </c>
    </row>
    <row r="11" spans="1:2">
      <c r="A11" s="4" t="s">
        <v>88</v>
      </c>
      <c r="B11">
        <v>0</v>
      </c>
    </row>
    <row r="12" spans="1:2">
      <c r="A12" s="22" t="s">
        <v>89</v>
      </c>
      <c r="B12">
        <v>1</v>
      </c>
    </row>
    <row r="13" spans="1:2">
      <c r="A13" s="22" t="s">
        <v>90</v>
      </c>
      <c r="B13">
        <v>1</v>
      </c>
    </row>
    <row r="14" spans="1:2">
      <c r="A14" s="4" t="s">
        <v>91</v>
      </c>
      <c r="B14">
        <v>0</v>
      </c>
    </row>
    <row r="15" spans="1:2">
      <c r="A15" s="4" t="s">
        <v>92</v>
      </c>
      <c r="B15">
        <v>0</v>
      </c>
    </row>
    <row r="16" spans="1:2">
      <c r="A16" s="30" t="s">
        <v>93</v>
      </c>
      <c r="B16">
        <v>0</v>
      </c>
    </row>
    <row r="17" spans="1:2">
      <c r="A17" s="22" t="s">
        <v>94</v>
      </c>
      <c r="B17">
        <v>1</v>
      </c>
    </row>
    <row r="18" spans="1:2">
      <c r="A18" s="4" t="s">
        <v>95</v>
      </c>
      <c r="B18">
        <v>0</v>
      </c>
    </row>
    <row r="19" spans="1:2">
      <c r="A19" s="4" t="s">
        <v>96</v>
      </c>
      <c r="B19">
        <v>0</v>
      </c>
    </row>
    <row r="20" spans="1:2">
      <c r="A20" s="22" t="s">
        <v>97</v>
      </c>
      <c r="B20">
        <v>1</v>
      </c>
    </row>
    <row r="21" spans="1:2">
      <c r="A21" s="4" t="s">
        <v>98</v>
      </c>
      <c r="B21">
        <v>0</v>
      </c>
    </row>
    <row r="22" spans="1:2">
      <c r="A22" s="22" t="s">
        <v>99</v>
      </c>
      <c r="B22">
        <v>1</v>
      </c>
    </row>
    <row r="23" spans="1:2">
      <c r="A23" s="4" t="s">
        <v>100</v>
      </c>
      <c r="B23">
        <v>0</v>
      </c>
    </row>
    <row r="24" spans="1:2">
      <c r="A24" s="27" t="s">
        <v>101</v>
      </c>
      <c r="B24">
        <v>0</v>
      </c>
    </row>
    <row r="25" spans="1:2">
      <c r="A25" s="25" t="s">
        <v>102</v>
      </c>
      <c r="B25">
        <v>1</v>
      </c>
    </row>
    <row r="26" spans="1:2">
      <c r="A26" s="22" t="s">
        <v>308</v>
      </c>
      <c r="B26">
        <v>1</v>
      </c>
    </row>
    <row r="27" spans="1:2">
      <c r="A27" s="4" t="s">
        <v>103</v>
      </c>
      <c r="B27">
        <v>0</v>
      </c>
    </row>
    <row r="28" spans="1:2">
      <c r="A28" s="22" t="s">
        <v>104</v>
      </c>
      <c r="B28">
        <v>1</v>
      </c>
    </row>
    <row r="29" spans="1:2">
      <c r="A29" s="4" t="s">
        <v>105</v>
      </c>
      <c r="B29">
        <v>0</v>
      </c>
    </row>
    <row r="30" spans="1:2">
      <c r="A30" s="4" t="s">
        <v>106</v>
      </c>
      <c r="B30">
        <v>0</v>
      </c>
    </row>
    <row r="31" spans="1:2">
      <c r="A31" s="22" t="s">
        <v>107</v>
      </c>
      <c r="B31">
        <v>1</v>
      </c>
    </row>
    <row r="32" spans="1:2">
      <c r="A32" s="22" t="s">
        <v>108</v>
      </c>
      <c r="B32">
        <v>1</v>
      </c>
    </row>
    <row r="33" spans="1:2">
      <c r="A33" s="4" t="s">
        <v>109</v>
      </c>
      <c r="B33">
        <v>0</v>
      </c>
    </row>
    <row r="34" spans="1:2">
      <c r="A34" s="4" t="s">
        <v>110</v>
      </c>
      <c r="B34">
        <v>0</v>
      </c>
    </row>
    <row r="35" spans="1:2">
      <c r="A35" s="22" t="s">
        <v>111</v>
      </c>
      <c r="B35">
        <v>1</v>
      </c>
    </row>
    <row r="36" spans="1:2">
      <c r="A36" s="22" t="s">
        <v>112</v>
      </c>
      <c r="B36">
        <v>1</v>
      </c>
    </row>
    <row r="37" spans="1:2">
      <c r="A37" s="22" t="s">
        <v>113</v>
      </c>
      <c r="B37">
        <v>1</v>
      </c>
    </row>
    <row r="38" spans="1:2">
      <c r="A38" s="4" t="s">
        <v>114</v>
      </c>
      <c r="B38">
        <v>0</v>
      </c>
    </row>
    <row r="39" spans="1:2">
      <c r="A39" s="4" t="s">
        <v>115</v>
      </c>
      <c r="B39">
        <v>0</v>
      </c>
    </row>
    <row r="40" spans="1:2">
      <c r="A40" s="4" t="s">
        <v>116</v>
      </c>
      <c r="B40">
        <v>0</v>
      </c>
    </row>
    <row r="41" spans="1:2">
      <c r="A41" s="4" t="s">
        <v>117</v>
      </c>
      <c r="B41">
        <v>0</v>
      </c>
    </row>
    <row r="42" spans="1:2">
      <c r="A42" s="4" t="s">
        <v>118</v>
      </c>
      <c r="B42">
        <v>0</v>
      </c>
    </row>
    <row r="43" spans="1:2">
      <c r="A43" s="22" t="s">
        <v>119</v>
      </c>
      <c r="B43">
        <v>1</v>
      </c>
    </row>
    <row r="44" spans="1:2">
      <c r="A44" s="22" t="s">
        <v>120</v>
      </c>
      <c r="B44">
        <v>1</v>
      </c>
    </row>
    <row r="45" spans="1:2">
      <c r="A45" s="22" t="s">
        <v>121</v>
      </c>
      <c r="B45">
        <v>1</v>
      </c>
    </row>
    <row r="46" spans="1:2">
      <c r="A46" s="22" t="s">
        <v>122</v>
      </c>
      <c r="B46">
        <v>1</v>
      </c>
    </row>
    <row r="47" spans="1:2">
      <c r="A47" s="4" t="s">
        <v>123</v>
      </c>
      <c r="B47">
        <v>0</v>
      </c>
    </row>
    <row r="48" spans="1:2">
      <c r="A48" s="4" t="s">
        <v>124</v>
      </c>
      <c r="B48">
        <v>0</v>
      </c>
    </row>
    <row r="49" spans="1:2">
      <c r="A49" s="22" t="s">
        <v>125</v>
      </c>
      <c r="B49">
        <v>1</v>
      </c>
    </row>
    <row r="50" spans="1:2">
      <c r="A50" s="27" t="s">
        <v>126</v>
      </c>
      <c r="B50">
        <v>0</v>
      </c>
    </row>
    <row r="51" spans="1:2">
      <c r="A51" s="27" t="s">
        <v>127</v>
      </c>
      <c r="B51">
        <v>0</v>
      </c>
    </row>
    <row r="52" spans="1:2">
      <c r="A52" s="4" t="s">
        <v>128</v>
      </c>
      <c r="B52">
        <v>0</v>
      </c>
    </row>
    <row r="53" spans="1:2">
      <c r="A53" s="22" t="s">
        <v>130</v>
      </c>
      <c r="B53">
        <v>1</v>
      </c>
    </row>
    <row r="54" spans="1:2">
      <c r="A54" s="22" t="s">
        <v>131</v>
      </c>
      <c r="B54">
        <v>1</v>
      </c>
    </row>
    <row r="55" spans="1:2">
      <c r="A55" s="4" t="s">
        <v>132</v>
      </c>
      <c r="B55">
        <v>0</v>
      </c>
    </row>
    <row r="56" spans="1:2">
      <c r="A56" s="4" t="s">
        <v>133</v>
      </c>
      <c r="B56">
        <v>0</v>
      </c>
    </row>
    <row r="57" spans="1:2">
      <c r="A57" s="22" t="s">
        <v>134</v>
      </c>
      <c r="B57">
        <v>1</v>
      </c>
    </row>
    <row r="58" spans="1:2">
      <c r="A58" s="22" t="s">
        <v>135</v>
      </c>
      <c r="B58">
        <v>1</v>
      </c>
    </row>
    <row r="59" spans="1:2">
      <c r="A59" s="4" t="s">
        <v>136</v>
      </c>
      <c r="B59">
        <v>0</v>
      </c>
    </row>
    <row r="60" spans="1:2">
      <c r="A60" s="22" t="s">
        <v>137</v>
      </c>
      <c r="B60">
        <v>1</v>
      </c>
    </row>
    <row r="61" spans="1:2">
      <c r="A61" s="22" t="s">
        <v>138</v>
      </c>
      <c r="B61">
        <v>1</v>
      </c>
    </row>
    <row r="62" spans="1:2">
      <c r="A62" s="22" t="s">
        <v>139</v>
      </c>
      <c r="B62">
        <v>1</v>
      </c>
    </row>
    <row r="63" spans="1:2">
      <c r="A63" s="4" t="s">
        <v>140</v>
      </c>
      <c r="B63">
        <v>0</v>
      </c>
    </row>
    <row r="64" spans="1:2">
      <c r="A64" s="4" t="s">
        <v>141</v>
      </c>
      <c r="B64">
        <v>0</v>
      </c>
    </row>
    <row r="65" spans="1:2">
      <c r="A65" s="4" t="s">
        <v>142</v>
      </c>
      <c r="B65">
        <v>0</v>
      </c>
    </row>
    <row r="66" spans="1:2">
      <c r="A66" s="4" t="s">
        <v>143</v>
      </c>
      <c r="B66">
        <v>0</v>
      </c>
    </row>
    <row r="67" spans="1:2">
      <c r="A67" s="25" t="s">
        <v>144</v>
      </c>
      <c r="B67">
        <v>1</v>
      </c>
    </row>
    <row r="68" spans="1:2">
      <c r="A68" s="27" t="s">
        <v>145</v>
      </c>
      <c r="B68">
        <v>0</v>
      </c>
    </row>
    <row r="69" spans="1:2">
      <c r="A69" s="27" t="s">
        <v>146</v>
      </c>
      <c r="B69">
        <v>0</v>
      </c>
    </row>
    <row r="70" spans="1:2">
      <c r="A70" s="22" t="s">
        <v>147</v>
      </c>
      <c r="B70">
        <v>1</v>
      </c>
    </row>
    <row r="71" spans="1:2">
      <c r="A71" s="22" t="s">
        <v>148</v>
      </c>
      <c r="B71">
        <v>1</v>
      </c>
    </row>
    <row r="72" spans="1:2">
      <c r="A72" s="4" t="s">
        <v>149</v>
      </c>
      <c r="B72">
        <v>0</v>
      </c>
    </row>
    <row r="73" spans="1:2">
      <c r="A73" s="4" t="s">
        <v>150</v>
      </c>
      <c r="B73">
        <v>0</v>
      </c>
    </row>
    <row r="74" spans="1:2">
      <c r="A74" s="4" t="s">
        <v>151</v>
      </c>
      <c r="B74">
        <v>0</v>
      </c>
    </row>
    <row r="75" spans="1:2">
      <c r="A75" s="22" t="s">
        <v>152</v>
      </c>
      <c r="B75">
        <v>1</v>
      </c>
    </row>
    <row r="76" spans="1:2">
      <c r="A76" s="22" t="s">
        <v>153</v>
      </c>
      <c r="B76">
        <v>1</v>
      </c>
    </row>
    <row r="77" spans="1:2">
      <c r="A77" s="22" t="s">
        <v>154</v>
      </c>
      <c r="B77">
        <v>1</v>
      </c>
    </row>
    <row r="78" spans="1:2">
      <c r="A78" s="4" t="s">
        <v>155</v>
      </c>
      <c r="B78">
        <v>0</v>
      </c>
    </row>
    <row r="79" spans="1:2">
      <c r="A79" s="22" t="s">
        <v>156</v>
      </c>
      <c r="B79">
        <v>1</v>
      </c>
    </row>
    <row r="80" spans="1:2">
      <c r="A80" s="4" t="s">
        <v>157</v>
      </c>
      <c r="B80">
        <v>0</v>
      </c>
    </row>
    <row r="81" spans="1:2">
      <c r="A81" s="4" t="s">
        <v>158</v>
      </c>
      <c r="B81">
        <v>0</v>
      </c>
    </row>
    <row r="82" spans="1:2">
      <c r="A82" s="4" t="s">
        <v>159</v>
      </c>
      <c r="B82">
        <v>0</v>
      </c>
    </row>
    <row r="83" spans="1:2">
      <c r="A83" s="22" t="s">
        <v>160</v>
      </c>
      <c r="B83">
        <v>1</v>
      </c>
    </row>
    <row r="84" spans="1:2">
      <c r="A84" s="4" t="s">
        <v>161</v>
      </c>
      <c r="B84">
        <v>0</v>
      </c>
    </row>
    <row r="85" spans="1:2">
      <c r="A85" s="4" t="s">
        <v>162</v>
      </c>
      <c r="B85">
        <v>0</v>
      </c>
    </row>
    <row r="86" spans="1:2">
      <c r="A86" s="4" t="s">
        <v>163</v>
      </c>
      <c r="B86">
        <v>0</v>
      </c>
    </row>
    <row r="87" spans="1:2">
      <c r="A87" s="4" t="s">
        <v>164</v>
      </c>
      <c r="B87">
        <v>0</v>
      </c>
    </row>
    <row r="88" spans="1:2">
      <c r="A88" s="22" t="s">
        <v>165</v>
      </c>
      <c r="B88">
        <v>1</v>
      </c>
    </row>
    <row r="89" spans="1:2">
      <c r="A89" s="4" t="s">
        <v>166</v>
      </c>
      <c r="B89">
        <v>0</v>
      </c>
    </row>
    <row r="90" spans="1:2">
      <c r="A90" s="22" t="s">
        <v>167</v>
      </c>
      <c r="B90">
        <v>1</v>
      </c>
    </row>
    <row r="91" spans="1:2">
      <c r="A91" s="4" t="s">
        <v>168</v>
      </c>
      <c r="B91">
        <v>0</v>
      </c>
    </row>
    <row r="92" spans="1:2">
      <c r="A92" s="22" t="s">
        <v>169</v>
      </c>
      <c r="B92">
        <v>1</v>
      </c>
    </row>
    <row r="93" spans="1:2">
      <c r="A93" s="22" t="s">
        <v>170</v>
      </c>
      <c r="B93">
        <v>1</v>
      </c>
    </row>
    <row r="94" spans="1:2">
      <c r="A94" s="27" t="s">
        <v>171</v>
      </c>
      <c r="B94">
        <v>0</v>
      </c>
    </row>
    <row r="95" spans="1:2">
      <c r="A95" s="27" t="s">
        <v>172</v>
      </c>
      <c r="B95">
        <v>0</v>
      </c>
    </row>
    <row r="96" spans="1:2">
      <c r="A96" s="22" t="s">
        <v>173</v>
      </c>
      <c r="B96">
        <v>1</v>
      </c>
    </row>
    <row r="97" spans="1:2">
      <c r="A97" s="4" t="s">
        <v>174</v>
      </c>
      <c r="B97">
        <v>0</v>
      </c>
    </row>
    <row r="98" spans="1:2">
      <c r="A98" s="22" t="s">
        <v>175</v>
      </c>
      <c r="B98">
        <v>1</v>
      </c>
    </row>
    <row r="99" spans="1:2">
      <c r="A99" s="22" t="s">
        <v>176</v>
      </c>
      <c r="B99">
        <v>1</v>
      </c>
    </row>
    <row r="100" spans="1:2">
      <c r="A100" s="4" t="s">
        <v>177</v>
      </c>
      <c r="B100">
        <v>0</v>
      </c>
    </row>
    <row r="101" spans="1:2">
      <c r="A101" s="22" t="s">
        <v>179</v>
      </c>
      <c r="B101">
        <v>1</v>
      </c>
    </row>
    <row r="102" spans="1:2">
      <c r="A102" s="22" t="s">
        <v>180</v>
      </c>
      <c r="B102">
        <v>1</v>
      </c>
    </row>
    <row r="103" spans="1:2">
      <c r="A103" s="22" t="s">
        <v>181</v>
      </c>
      <c r="B103">
        <v>1</v>
      </c>
    </row>
    <row r="104" spans="1:2">
      <c r="A104" s="22" t="s">
        <v>182</v>
      </c>
      <c r="B104">
        <v>1</v>
      </c>
    </row>
    <row r="105" spans="1:2">
      <c r="A105" s="22" t="s">
        <v>183</v>
      </c>
      <c r="B105">
        <v>1</v>
      </c>
    </row>
    <row r="106" spans="1:2">
      <c r="A106" s="4" t="s">
        <v>184</v>
      </c>
      <c r="B106">
        <v>0</v>
      </c>
    </row>
    <row r="107" spans="1:2">
      <c r="A107" s="4" t="s">
        <v>185</v>
      </c>
      <c r="B107">
        <v>0</v>
      </c>
    </row>
    <row r="108" spans="1:2">
      <c r="A108" s="4" t="s">
        <v>186</v>
      </c>
      <c r="B108">
        <v>0</v>
      </c>
    </row>
    <row r="109" spans="1:2">
      <c r="A109" s="44" t="s">
        <v>187</v>
      </c>
      <c r="B109">
        <v>0</v>
      </c>
    </row>
    <row r="110" spans="1:2">
      <c r="A110" s="25" t="s">
        <v>188</v>
      </c>
      <c r="B110">
        <v>1</v>
      </c>
    </row>
    <row r="111" spans="1:2">
      <c r="A111" s="22" t="s">
        <v>189</v>
      </c>
      <c r="B111">
        <v>1</v>
      </c>
    </row>
    <row r="112" spans="1:2">
      <c r="A112" s="4" t="s">
        <v>190</v>
      </c>
      <c r="B112">
        <v>0</v>
      </c>
    </row>
    <row r="113" spans="1:2">
      <c r="A113" s="22" t="s">
        <v>191</v>
      </c>
      <c r="B113">
        <v>1</v>
      </c>
    </row>
    <row r="114" spans="1:2">
      <c r="A114" s="4" t="s">
        <v>192</v>
      </c>
      <c r="B114">
        <v>0</v>
      </c>
    </row>
    <row r="115" spans="1:2">
      <c r="A115" s="4" t="s">
        <v>193</v>
      </c>
      <c r="B115">
        <v>0</v>
      </c>
    </row>
    <row r="116" spans="1:2">
      <c r="A116" s="4" t="s">
        <v>194</v>
      </c>
      <c r="B116">
        <v>0</v>
      </c>
    </row>
    <row r="117" spans="1:2">
      <c r="A117" s="4" t="s">
        <v>195</v>
      </c>
      <c r="B117">
        <v>0</v>
      </c>
    </row>
    <row r="118" spans="1:2">
      <c r="A118" s="4" t="s">
        <v>196</v>
      </c>
      <c r="B118">
        <v>0</v>
      </c>
    </row>
    <row r="119" spans="1:2">
      <c r="A119" s="4" t="s">
        <v>197</v>
      </c>
      <c r="B119">
        <v>0</v>
      </c>
    </row>
    <row r="120" spans="1:2">
      <c r="A120" s="4" t="s">
        <v>198</v>
      </c>
      <c r="B120">
        <v>0</v>
      </c>
    </row>
    <row r="121" spans="1:2">
      <c r="A121" s="22" t="s">
        <v>199</v>
      </c>
      <c r="B121">
        <v>1</v>
      </c>
    </row>
    <row r="122" spans="1:2">
      <c r="A122" s="4" t="s">
        <v>200</v>
      </c>
      <c r="B122">
        <v>0</v>
      </c>
    </row>
    <row r="123" spans="1:2">
      <c r="A123" s="22" t="s">
        <v>201</v>
      </c>
      <c r="B123">
        <v>1</v>
      </c>
    </row>
    <row r="124" spans="1:2">
      <c r="A124" s="4" t="s">
        <v>202</v>
      </c>
      <c r="B124">
        <v>0</v>
      </c>
    </row>
    <row r="125" spans="1:2">
      <c r="A125" s="22" t="s">
        <v>203</v>
      </c>
      <c r="B125">
        <v>1</v>
      </c>
    </row>
    <row r="126" spans="1:2">
      <c r="A126" s="4" t="s">
        <v>204</v>
      </c>
      <c r="B126">
        <v>0</v>
      </c>
    </row>
    <row r="127" spans="1:2">
      <c r="A127" s="4" t="s">
        <v>205</v>
      </c>
      <c r="B127">
        <v>0</v>
      </c>
    </row>
    <row r="128" spans="1:2">
      <c r="A128" s="4" t="s">
        <v>206</v>
      </c>
      <c r="B128">
        <v>0</v>
      </c>
    </row>
    <row r="129" spans="1:2">
      <c r="A129" s="4" t="s">
        <v>207</v>
      </c>
      <c r="B129">
        <v>0</v>
      </c>
    </row>
    <row r="130" spans="1:2">
      <c r="A130" s="22" t="s">
        <v>208</v>
      </c>
      <c r="B130">
        <v>1</v>
      </c>
    </row>
    <row r="131" spans="1:2">
      <c r="A131" s="4" t="s">
        <v>209</v>
      </c>
      <c r="B131">
        <v>0</v>
      </c>
    </row>
    <row r="132" spans="1:2">
      <c r="A132" s="22" t="s">
        <v>210</v>
      </c>
      <c r="B132">
        <v>1</v>
      </c>
    </row>
    <row r="133" spans="1:2">
      <c r="A133" s="4" t="s">
        <v>211</v>
      </c>
      <c r="B133">
        <v>0</v>
      </c>
    </row>
    <row r="134" spans="1:2">
      <c r="A134" s="4" t="s">
        <v>212</v>
      </c>
      <c r="B134">
        <v>0</v>
      </c>
    </row>
    <row r="135" spans="1:2">
      <c r="A135" s="22" t="s">
        <v>214</v>
      </c>
      <c r="B135">
        <v>1</v>
      </c>
    </row>
    <row r="136" spans="1:2">
      <c r="A136" s="22" t="s">
        <v>215</v>
      </c>
      <c r="B136">
        <v>1</v>
      </c>
    </row>
    <row r="137" spans="1:2">
      <c r="A137" s="22" t="s">
        <v>216</v>
      </c>
      <c r="B137">
        <v>1</v>
      </c>
    </row>
    <row r="138" spans="1:2">
      <c r="A138" s="4" t="s">
        <v>217</v>
      </c>
      <c r="B138">
        <v>0</v>
      </c>
    </row>
    <row r="139" spans="1:2">
      <c r="A139" s="4" t="s">
        <v>218</v>
      </c>
      <c r="B139">
        <v>0</v>
      </c>
    </row>
    <row r="140" spans="1:2">
      <c r="A140" s="4" t="s">
        <v>219</v>
      </c>
      <c r="B140">
        <v>0</v>
      </c>
    </row>
    <row r="141" spans="1:2">
      <c r="A141" s="4" t="s">
        <v>220</v>
      </c>
      <c r="B141">
        <v>0</v>
      </c>
    </row>
    <row r="142" spans="1:2">
      <c r="A142" s="22" t="s">
        <v>221</v>
      </c>
      <c r="B142">
        <v>1</v>
      </c>
    </row>
    <row r="143" spans="1:2">
      <c r="A143" s="4" t="s">
        <v>222</v>
      </c>
      <c r="B143">
        <v>0</v>
      </c>
    </row>
    <row r="144" spans="1:2">
      <c r="A144" s="22" t="s">
        <v>223</v>
      </c>
      <c r="B144">
        <v>1</v>
      </c>
    </row>
    <row r="145" spans="1:2">
      <c r="A145" s="22" t="s">
        <v>224</v>
      </c>
      <c r="B145">
        <v>1</v>
      </c>
    </row>
    <row r="146" spans="1:2">
      <c r="A146" s="4" t="s">
        <v>225</v>
      </c>
      <c r="B146">
        <v>0</v>
      </c>
    </row>
    <row r="147" spans="1:2">
      <c r="A147" s="22" t="s">
        <v>226</v>
      </c>
      <c r="B147">
        <v>1</v>
      </c>
    </row>
    <row r="148" spans="1:2">
      <c r="A148" s="22" t="s">
        <v>227</v>
      </c>
      <c r="B148">
        <v>1</v>
      </c>
    </row>
    <row r="149" spans="1:2">
      <c r="A149" s="4" t="s">
        <v>228</v>
      </c>
      <c r="B149">
        <v>0</v>
      </c>
    </row>
    <row r="150" spans="1:2">
      <c r="A150" s="22" t="s">
        <v>229</v>
      </c>
      <c r="B150">
        <v>1</v>
      </c>
    </row>
    <row r="151" spans="1:2">
      <c r="A151" s="44" t="s">
        <v>230</v>
      </c>
      <c r="B151">
        <v>0</v>
      </c>
    </row>
    <row r="152" spans="1:2">
      <c r="A152" s="22" t="s">
        <v>231</v>
      </c>
      <c r="B152">
        <v>1</v>
      </c>
    </row>
    <row r="153" spans="1:2">
      <c r="A153" s="4" t="s">
        <v>232</v>
      </c>
      <c r="B153">
        <v>0</v>
      </c>
    </row>
    <row r="154" spans="1:2">
      <c r="A154" s="22" t="s">
        <v>233</v>
      </c>
      <c r="B154">
        <v>1</v>
      </c>
    </row>
    <row r="155" spans="1:2">
      <c r="A155" s="4" t="s">
        <v>234</v>
      </c>
      <c r="B155">
        <v>0</v>
      </c>
    </row>
    <row r="156" spans="1:2">
      <c r="A156" s="22" t="s">
        <v>235</v>
      </c>
      <c r="B156">
        <v>1</v>
      </c>
    </row>
    <row r="157" spans="1:2">
      <c r="A157" s="22" t="s">
        <v>236</v>
      </c>
      <c r="B157">
        <v>1</v>
      </c>
    </row>
    <row r="158" spans="1:2">
      <c r="A158" s="22" t="s">
        <v>237</v>
      </c>
      <c r="B158">
        <v>1</v>
      </c>
    </row>
    <row r="159" spans="1:2">
      <c r="A159" s="22" t="s">
        <v>238</v>
      </c>
      <c r="B159">
        <v>1</v>
      </c>
    </row>
    <row r="160" spans="1:2">
      <c r="A160" s="22" t="s">
        <v>239</v>
      </c>
      <c r="B160">
        <v>1</v>
      </c>
    </row>
    <row r="161" spans="1:2">
      <c r="A161" s="4" t="s">
        <v>240</v>
      </c>
      <c r="B161">
        <v>0</v>
      </c>
    </row>
    <row r="162" spans="1:2">
      <c r="A162" s="44" t="s">
        <v>241</v>
      </c>
      <c r="B162">
        <v>0</v>
      </c>
    </row>
    <row r="163" spans="1:2">
      <c r="A163" s="22" t="s">
        <v>242</v>
      </c>
      <c r="B163">
        <v>1</v>
      </c>
    </row>
    <row r="164" spans="1:2">
      <c r="A164" s="4" t="s">
        <v>243</v>
      </c>
      <c r="B164">
        <v>0</v>
      </c>
    </row>
    <row r="165" spans="1:2">
      <c r="A165" s="22" t="s">
        <v>244</v>
      </c>
      <c r="B165">
        <v>1</v>
      </c>
    </row>
    <row r="166" spans="1:2">
      <c r="A166" s="4" t="s">
        <v>245</v>
      </c>
      <c r="B166">
        <v>0</v>
      </c>
    </row>
    <row r="167" spans="1:2">
      <c r="A167" s="4" t="s">
        <v>246</v>
      </c>
      <c r="B167">
        <v>0</v>
      </c>
    </row>
    <row r="168" spans="1:2">
      <c r="A168" s="4" t="s">
        <v>247</v>
      </c>
      <c r="B168">
        <v>0</v>
      </c>
    </row>
    <row r="169" spans="1:2">
      <c r="A169" s="30" t="s">
        <v>248</v>
      </c>
      <c r="B169">
        <v>0</v>
      </c>
    </row>
    <row r="170" spans="1:2">
      <c r="A170" s="22" t="s">
        <v>249</v>
      </c>
      <c r="B170">
        <v>1</v>
      </c>
    </row>
    <row r="171" spans="1:2">
      <c r="A171" s="22" t="s">
        <v>250</v>
      </c>
      <c r="B171">
        <v>1</v>
      </c>
    </row>
    <row r="172" spans="1:2">
      <c r="A172" s="4" t="s">
        <v>251</v>
      </c>
      <c r="B172">
        <v>0</v>
      </c>
    </row>
    <row r="173" spans="1:2">
      <c r="A173" s="4" t="s">
        <v>252</v>
      </c>
      <c r="B173">
        <v>0</v>
      </c>
    </row>
    <row r="174" spans="1:2">
      <c r="A174" s="22" t="s">
        <v>253</v>
      </c>
      <c r="B174">
        <v>1</v>
      </c>
    </row>
    <row r="175" spans="1:2">
      <c r="A175" s="4" t="s">
        <v>255</v>
      </c>
      <c r="B175">
        <v>0</v>
      </c>
    </row>
    <row r="176" spans="1:2">
      <c r="A176" s="22" t="s">
        <v>256</v>
      </c>
      <c r="B176">
        <v>1</v>
      </c>
    </row>
    <row r="177" spans="1:2">
      <c r="A177" s="4" t="s">
        <v>257</v>
      </c>
      <c r="B177">
        <v>0</v>
      </c>
    </row>
    <row r="178" spans="1:2">
      <c r="A178" s="4" t="s">
        <v>258</v>
      </c>
      <c r="B178">
        <v>0</v>
      </c>
    </row>
    <row r="179" spans="1:2">
      <c r="A179" s="4" t="s">
        <v>259</v>
      </c>
      <c r="B179">
        <v>0</v>
      </c>
    </row>
    <row r="180" spans="1:2">
      <c r="A180" s="22" t="s">
        <v>260</v>
      </c>
      <c r="B180">
        <v>1</v>
      </c>
    </row>
    <row r="181" spans="1:2">
      <c r="A181" s="22" t="s">
        <v>261</v>
      </c>
      <c r="B181">
        <v>1</v>
      </c>
    </row>
    <row r="182" spans="1:2">
      <c r="A182" s="4" t="s">
        <v>262</v>
      </c>
      <c r="B182">
        <v>0</v>
      </c>
    </row>
    <row r="183" spans="1:2">
      <c r="A183" s="22" t="s">
        <v>263</v>
      </c>
      <c r="B183">
        <v>1</v>
      </c>
    </row>
    <row r="184" spans="1:2" ht="15" customHeight="1">
      <c r="A184" s="22" t="s">
        <v>264</v>
      </c>
      <c r="B184">
        <v>1</v>
      </c>
    </row>
    <row r="185" spans="1:2">
      <c r="A185" s="4" t="s">
        <v>265</v>
      </c>
      <c r="B185">
        <v>0</v>
      </c>
    </row>
    <row r="186" spans="1:2">
      <c r="A186" s="4" t="s">
        <v>266</v>
      </c>
      <c r="B186">
        <v>0</v>
      </c>
    </row>
    <row r="187" spans="1:2">
      <c r="A187" s="4" t="s">
        <v>267</v>
      </c>
      <c r="B187">
        <v>0</v>
      </c>
    </row>
    <row r="188" spans="1:2">
      <c r="A188" s="4" t="s">
        <v>268</v>
      </c>
      <c r="B188">
        <v>0</v>
      </c>
    </row>
    <row r="189" spans="1:2">
      <c r="A189" s="27" t="s">
        <v>269</v>
      </c>
      <c r="B189">
        <v>0</v>
      </c>
    </row>
    <row r="190" spans="1:2">
      <c r="A190" s="27" t="s">
        <v>270</v>
      </c>
      <c r="B190">
        <v>0</v>
      </c>
    </row>
    <row r="191" spans="1:2">
      <c r="A191" s="4" t="s">
        <v>271</v>
      </c>
      <c r="B191">
        <v>0</v>
      </c>
    </row>
    <row r="192" spans="1:2">
      <c r="A192" s="22" t="s">
        <v>272</v>
      </c>
      <c r="B192">
        <v>1</v>
      </c>
    </row>
    <row r="193" spans="1:2">
      <c r="A193" s="22" t="s">
        <v>273</v>
      </c>
      <c r="B193">
        <v>1</v>
      </c>
    </row>
    <row r="194" spans="1:2">
      <c r="A194" s="27" t="s">
        <v>274</v>
      </c>
      <c r="B194">
        <v>0</v>
      </c>
    </row>
    <row r="195" spans="1:2">
      <c r="A195" s="27" t="s">
        <v>275</v>
      </c>
      <c r="B195">
        <v>0</v>
      </c>
    </row>
    <row r="196" spans="1:2">
      <c r="A196" s="27" t="s">
        <v>276</v>
      </c>
      <c r="B196">
        <v>0</v>
      </c>
    </row>
    <row r="197" spans="1:2">
      <c r="A197" s="4" t="s">
        <v>277</v>
      </c>
      <c r="B197">
        <v>0</v>
      </c>
    </row>
    <row r="198" spans="1:2">
      <c r="A198" s="22" t="s">
        <v>278</v>
      </c>
      <c r="B198">
        <v>1</v>
      </c>
    </row>
    <row r="199" spans="1:2">
      <c r="A199" s="22" t="s">
        <v>279</v>
      </c>
      <c r="B199">
        <v>1</v>
      </c>
    </row>
    <row r="200" spans="1:2">
      <c r="A200" s="4" t="s">
        <v>280</v>
      </c>
      <c r="B200">
        <v>0</v>
      </c>
    </row>
    <row r="201" spans="1:2">
      <c r="A201" s="4" t="s">
        <v>281</v>
      </c>
      <c r="B201">
        <v>0</v>
      </c>
    </row>
    <row r="202" spans="1:2">
      <c r="A202" s="4" t="s">
        <v>282</v>
      </c>
      <c r="B202">
        <v>0</v>
      </c>
    </row>
    <row r="203" spans="1:2">
      <c r="A203" s="22" t="s">
        <v>283</v>
      </c>
      <c r="B203">
        <v>1</v>
      </c>
    </row>
    <row r="204" spans="1:2">
      <c r="A204" s="22" t="s">
        <v>284</v>
      </c>
      <c r="B204">
        <v>1</v>
      </c>
    </row>
    <row r="205" spans="1:2">
      <c r="A205" s="4" t="s">
        <v>285</v>
      </c>
      <c r="B205">
        <v>0</v>
      </c>
    </row>
    <row r="206" spans="1:2">
      <c r="A206" s="4" t="s">
        <v>286</v>
      </c>
      <c r="B206">
        <v>0</v>
      </c>
    </row>
    <row r="207" spans="1:2">
      <c r="A207" s="4" t="s">
        <v>287</v>
      </c>
      <c r="B207">
        <v>0</v>
      </c>
    </row>
    <row r="208" spans="1:2">
      <c r="A208" s="22" t="s">
        <v>288</v>
      </c>
      <c r="B208">
        <v>1</v>
      </c>
    </row>
    <row r="209" spans="1:2">
      <c r="A209" s="22" t="s">
        <v>289</v>
      </c>
      <c r="B209">
        <v>1</v>
      </c>
    </row>
    <row r="210" spans="1:2">
      <c r="A210" s="4" t="s">
        <v>290</v>
      </c>
      <c r="B210">
        <v>0</v>
      </c>
    </row>
    <row r="211" spans="1:2">
      <c r="A211" s="30" t="s">
        <v>291</v>
      </c>
      <c r="B211">
        <v>0</v>
      </c>
    </row>
    <row r="212" spans="1:2">
      <c r="A212" s="22" t="s">
        <v>292</v>
      </c>
      <c r="B212">
        <v>1</v>
      </c>
    </row>
    <row r="213" spans="1:2">
      <c r="A213" s="22" t="s">
        <v>293</v>
      </c>
      <c r="B213">
        <v>1</v>
      </c>
    </row>
    <row r="214" spans="1:2">
      <c r="A214" s="27" t="s">
        <v>294</v>
      </c>
      <c r="B214">
        <v>0</v>
      </c>
    </row>
    <row r="215" spans="1:2">
      <c r="A215" s="27" t="s">
        <v>295</v>
      </c>
      <c r="B215">
        <v>0</v>
      </c>
    </row>
    <row r="216" spans="1:2">
      <c r="A216" s="22" t="s">
        <v>296</v>
      </c>
      <c r="B216">
        <v>1</v>
      </c>
    </row>
    <row r="217" spans="1:2">
      <c r="A217" s="22" t="s">
        <v>297</v>
      </c>
      <c r="B217">
        <v>1</v>
      </c>
    </row>
    <row r="218" spans="1:2">
      <c r="A218" s="4" t="s">
        <v>298</v>
      </c>
      <c r="B218">
        <v>0</v>
      </c>
    </row>
    <row r="219" spans="1:2">
      <c r="A219" s="4" t="s">
        <v>299</v>
      </c>
      <c r="B219">
        <v>0</v>
      </c>
    </row>
    <row r="220" spans="1:2">
      <c r="A220" s="4" t="s">
        <v>300</v>
      </c>
      <c r="B220">
        <v>0</v>
      </c>
    </row>
    <row r="221" spans="1:2">
      <c r="A221" s="25" t="s">
        <v>301</v>
      </c>
      <c r="B221">
        <v>1</v>
      </c>
    </row>
    <row r="222" spans="1:2">
      <c r="A222" s="4" t="s">
        <v>302</v>
      </c>
      <c r="B2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Green</vt:lpstr>
      <vt:lpstr>Environmental</vt:lpstr>
      <vt:lpstr>Social</vt:lpstr>
      <vt:lpstr>Economic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Johnson</dc:creator>
  <cp:lastModifiedBy>Kayla Johnson</cp:lastModifiedBy>
  <dcterms:created xsi:type="dcterms:W3CDTF">2023-02-14T14:28:17Z</dcterms:created>
  <dcterms:modified xsi:type="dcterms:W3CDTF">2023-02-26T19:57:03Z</dcterms:modified>
</cp:coreProperties>
</file>