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lexandre_esmeraldo_bb_com_br/Documents/Área de Trabalho/Alexandre/StockManager-main/"/>
    </mc:Choice>
  </mc:AlternateContent>
  <xr:revisionPtr revIDLastSave="3927" documentId="8_{036398AE-92B1-4121-834B-E1DF26CAD42E}" xr6:coauthVersionLast="47" xr6:coauthVersionMax="47" xr10:uidLastSave="{FA368C02-5A39-4A80-BDDF-1CB6424710BF}"/>
  <bookViews>
    <workbookView xWindow="-11715" yWindow="7455" windowWidth="11745" windowHeight="8730" firstSheet="2" activeTab="3" xr2:uid="{00000000-000D-0000-FFFF-FFFF00000000}"/>
  </bookViews>
  <sheets>
    <sheet name="Operações 2021" sheetId="1" r:id="rId1"/>
    <sheet name="CÁLCULOS" sheetId="2" r:id="rId2"/>
    <sheet name="CÁLCULOS (2)" sheetId="8" r:id="rId3"/>
    <sheet name="CÁLCULOS (3)" sheetId="9" r:id="rId4"/>
    <sheet name="Intraday" sheetId="10" r:id="rId5"/>
    <sheet name="Operações 2020" sheetId="3" r:id="rId6"/>
    <sheet name="Antes de Comprar!!!" sheetId="4" r:id="rId7"/>
    <sheet name="Operações 2019" sheetId="5" r:id="rId8"/>
    <sheet name="Operações 2018" sheetId="6" r:id="rId9"/>
    <sheet name="Operações 2017" sheetId="7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0" l="1"/>
  <c r="O4" i="10"/>
  <c r="O6" i="10"/>
  <c r="O8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6" i="10"/>
  <c r="B14" i="9"/>
  <c r="B17" i="9"/>
  <c r="B16" i="9"/>
  <c r="F10" i="9"/>
  <c r="E18" i="9"/>
  <c r="E17" i="9"/>
  <c r="E16" i="9"/>
  <c r="G17" i="9"/>
  <c r="D16" i="9" s="1"/>
  <c r="F16" i="9" s="1"/>
  <c r="G16" i="9"/>
  <c r="B21" i="9" s="1"/>
  <c r="D11" i="9"/>
  <c r="B11" i="9"/>
  <c r="B10" i="9"/>
  <c r="D10" i="9" s="1"/>
  <c r="Q8" i="9"/>
  <c r="Q9" i="9" s="1"/>
  <c r="O7" i="9"/>
  <c r="I7" i="9"/>
  <c r="O4" i="9"/>
  <c r="M4" i="9"/>
  <c r="L4" i="9"/>
  <c r="D4" i="9"/>
  <c r="B4" i="9"/>
  <c r="B3" i="9"/>
  <c r="D3" i="9" s="1"/>
  <c r="G17" i="8"/>
  <c r="F20" i="8" s="1"/>
  <c r="F26" i="8" s="1"/>
  <c r="G16" i="8"/>
  <c r="F19" i="8" s="1"/>
  <c r="E28" i="8"/>
  <c r="E27" i="8"/>
  <c r="E26" i="8"/>
  <c r="D11" i="8"/>
  <c r="B11" i="8"/>
  <c r="B10" i="8"/>
  <c r="D10" i="8" s="1"/>
  <c r="Q8" i="8"/>
  <c r="Q9" i="8" s="1"/>
  <c r="O7" i="8"/>
  <c r="I7" i="8"/>
  <c r="O4" i="8"/>
  <c r="M4" i="8"/>
  <c r="L4" i="8"/>
  <c r="D4" i="8"/>
  <c r="B4" i="8"/>
  <c r="B3" i="8"/>
  <c r="D3" i="8" s="1"/>
  <c r="I7" i="2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L289" i="7"/>
  <c r="M288" i="7"/>
  <c r="M287" i="7"/>
  <c r="M286" i="7"/>
  <c r="M285" i="7"/>
  <c r="M284" i="7"/>
  <c r="M283" i="7"/>
  <c r="M282" i="7"/>
  <c r="M281" i="7"/>
  <c r="L281" i="7"/>
  <c r="M280" i="7"/>
  <c r="M279" i="7"/>
  <c r="M278" i="7"/>
  <c r="M277" i="7"/>
  <c r="M276" i="7"/>
  <c r="M275" i="7"/>
  <c r="M274" i="7"/>
  <c r="M273" i="7"/>
  <c r="L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L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O249" i="7" s="1"/>
  <c r="O251" i="7" s="1"/>
  <c r="M237" i="7"/>
  <c r="M236" i="7"/>
  <c r="M235" i="7"/>
  <c r="L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O233" i="7" s="1"/>
  <c r="O235" i="7" s="1"/>
  <c r="M216" i="7"/>
  <c r="M215" i="7"/>
  <c r="M214" i="7"/>
  <c r="M213" i="7"/>
  <c r="L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6" i="7"/>
  <c r="M195" i="7"/>
  <c r="M194" i="7"/>
  <c r="M193" i="7"/>
  <c r="M192" i="7"/>
  <c r="M191" i="7"/>
  <c r="M190" i="7"/>
  <c r="M189" i="7"/>
  <c r="M188" i="7"/>
  <c r="M187" i="7"/>
  <c r="M186" i="7"/>
  <c r="O211" i="7" s="1"/>
  <c r="O213" i="7" s="1"/>
  <c r="M185" i="7"/>
  <c r="M184" i="7"/>
  <c r="M183" i="7"/>
  <c r="L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L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O139" i="7" s="1"/>
  <c r="O141" i="7" s="1"/>
  <c r="M107" i="7"/>
  <c r="M106" i="7"/>
  <c r="M105" i="7"/>
  <c r="M104" i="7"/>
  <c r="L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O102" i="7" s="1"/>
  <c r="O104" i="7" s="1"/>
  <c r="M78" i="7"/>
  <c r="M77" i="7"/>
  <c r="M76" i="7"/>
  <c r="M75" i="7"/>
  <c r="L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O73" i="7" s="1"/>
  <c r="O75" i="7" s="1"/>
  <c r="M49" i="7"/>
  <c r="M48" i="7"/>
  <c r="L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L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O2" i="7"/>
  <c r="I2" i="7"/>
  <c r="O1" i="7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N54" i="6" s="1"/>
  <c r="L87" i="6"/>
  <c r="L86" i="6"/>
  <c r="L85" i="6"/>
  <c r="L84" i="6"/>
  <c r="R83" i="6"/>
  <c r="L83" i="6"/>
  <c r="S82" i="6"/>
  <c r="R82" i="6"/>
  <c r="L82" i="6"/>
  <c r="S81" i="6"/>
  <c r="R81" i="6"/>
  <c r="L81" i="6"/>
  <c r="S80" i="6"/>
  <c r="R80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N39" i="6" s="1"/>
  <c r="L65" i="6"/>
  <c r="L64" i="6"/>
  <c r="L63" i="6"/>
  <c r="N62" i="6"/>
  <c r="L62" i="6"/>
  <c r="L61" i="6"/>
  <c r="N60" i="6"/>
  <c r="L60" i="6"/>
  <c r="L59" i="6"/>
  <c r="L58" i="6"/>
  <c r="N57" i="6"/>
  <c r="L57" i="6"/>
  <c r="L56" i="6"/>
  <c r="N55" i="6"/>
  <c r="L55" i="6"/>
  <c r="L54" i="6"/>
  <c r="L53" i="6"/>
  <c r="N52" i="6"/>
  <c r="L52" i="6"/>
  <c r="L51" i="6"/>
  <c r="N50" i="6"/>
  <c r="L50" i="6"/>
  <c r="L49" i="6"/>
  <c r="L48" i="6"/>
  <c r="N47" i="6"/>
  <c r="L47" i="6"/>
  <c r="L46" i="6"/>
  <c r="N45" i="6"/>
  <c r="L45" i="6"/>
  <c r="L44" i="6"/>
  <c r="L43" i="6"/>
  <c r="N42" i="6"/>
  <c r="L42" i="6"/>
  <c r="L41" i="6"/>
  <c r="N40" i="6"/>
  <c r="L40" i="6"/>
  <c r="L39" i="6"/>
  <c r="L38" i="6"/>
  <c r="N37" i="6"/>
  <c r="L37" i="6"/>
  <c r="N19" i="6" s="1"/>
  <c r="L36" i="6"/>
  <c r="N35" i="6"/>
  <c r="L35" i="6"/>
  <c r="L34" i="6"/>
  <c r="L33" i="6"/>
  <c r="N32" i="6"/>
  <c r="L32" i="6"/>
  <c r="L31" i="6"/>
  <c r="N30" i="6"/>
  <c r="L30" i="6"/>
  <c r="L29" i="6"/>
  <c r="L28" i="6"/>
  <c r="N27" i="6"/>
  <c r="L27" i="6"/>
  <c r="L26" i="6"/>
  <c r="N25" i="6"/>
  <c r="L25" i="6"/>
  <c r="L24" i="6"/>
  <c r="L23" i="6"/>
  <c r="N22" i="6"/>
  <c r="L22" i="6"/>
  <c r="L21" i="6"/>
  <c r="N20" i="6"/>
  <c r="L20" i="6"/>
  <c r="L19" i="6"/>
  <c r="L18" i="6"/>
  <c r="N17" i="6"/>
  <c r="L17" i="6"/>
  <c r="L16" i="6"/>
  <c r="N15" i="6"/>
  <c r="L15" i="6"/>
  <c r="L14" i="6"/>
  <c r="L13" i="6"/>
  <c r="N12" i="6"/>
  <c r="L12" i="6"/>
  <c r="L11" i="6"/>
  <c r="N10" i="6"/>
  <c r="L10" i="6"/>
  <c r="L9" i="6"/>
  <c r="L8" i="6"/>
  <c r="N7" i="6"/>
  <c r="L7" i="6"/>
  <c r="L6" i="6"/>
  <c r="N5" i="6"/>
  <c r="L5" i="6"/>
  <c r="L4" i="6"/>
  <c r="L3" i="6"/>
  <c r="N2" i="6"/>
  <c r="J2" i="6"/>
  <c r="I2" i="6"/>
  <c r="N1" i="6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I83" i="5"/>
  <c r="L82" i="5"/>
  <c r="L81" i="5"/>
  <c r="L80" i="5"/>
  <c r="L79" i="5"/>
  <c r="L78" i="5"/>
  <c r="L77" i="5"/>
  <c r="L76" i="5"/>
  <c r="L75" i="5"/>
  <c r="L74" i="5"/>
  <c r="N28" i="5" s="1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N50" i="5"/>
  <c r="L50" i="5"/>
  <c r="N49" i="5"/>
  <c r="L49" i="5"/>
  <c r="L48" i="5"/>
  <c r="L47" i="5"/>
  <c r="N46" i="5"/>
  <c r="L46" i="5"/>
  <c r="N45" i="5"/>
  <c r="L45" i="5"/>
  <c r="N44" i="5"/>
  <c r="L44" i="5"/>
  <c r="L43" i="5"/>
  <c r="N42" i="5"/>
  <c r="L42" i="5"/>
  <c r="N41" i="5"/>
  <c r="L41" i="5"/>
  <c r="L40" i="5"/>
  <c r="L39" i="5"/>
  <c r="N38" i="5"/>
  <c r="L38" i="5"/>
  <c r="N37" i="5"/>
  <c r="L37" i="5"/>
  <c r="L36" i="5"/>
  <c r="L35" i="5"/>
  <c r="N34" i="5"/>
  <c r="L34" i="5"/>
  <c r="N33" i="5"/>
  <c r="L33" i="5"/>
  <c r="L32" i="5"/>
  <c r="L31" i="5"/>
  <c r="N30" i="5"/>
  <c r="L30" i="5"/>
  <c r="N29" i="5"/>
  <c r="L29" i="5"/>
  <c r="L28" i="5"/>
  <c r="L27" i="5"/>
  <c r="N26" i="5"/>
  <c r="L26" i="5"/>
  <c r="N25" i="5"/>
  <c r="L25" i="5"/>
  <c r="L24" i="5"/>
  <c r="L23" i="5"/>
  <c r="N22" i="5"/>
  <c r="L22" i="5"/>
  <c r="N8" i="5" s="1"/>
  <c r="N21" i="5"/>
  <c r="L21" i="5"/>
  <c r="L20" i="5"/>
  <c r="L19" i="5"/>
  <c r="N18" i="5"/>
  <c r="L18" i="5"/>
  <c r="N17" i="5"/>
  <c r="L17" i="5"/>
  <c r="N16" i="5"/>
  <c r="L16" i="5"/>
  <c r="L15" i="5"/>
  <c r="N14" i="5"/>
  <c r="L14" i="5"/>
  <c r="N13" i="5"/>
  <c r="L13" i="5"/>
  <c r="N12" i="5"/>
  <c r="L12" i="5"/>
  <c r="L11" i="5"/>
  <c r="N10" i="5"/>
  <c r="L10" i="5"/>
  <c r="N9" i="5"/>
  <c r="L9" i="5"/>
  <c r="L8" i="5"/>
  <c r="L7" i="5"/>
  <c r="N6" i="5"/>
  <c r="L6" i="5"/>
  <c r="N5" i="5"/>
  <c r="L5" i="5"/>
  <c r="N4" i="5"/>
  <c r="L4" i="5"/>
  <c r="L3" i="5"/>
  <c r="N2" i="5"/>
  <c r="J2" i="5"/>
  <c r="I2" i="5"/>
  <c r="N1" i="5"/>
  <c r="Y898" i="3"/>
  <c r="X898" i="3"/>
  <c r="Y897" i="3"/>
  <c r="X897" i="3"/>
  <c r="Y896" i="3"/>
  <c r="X896" i="3"/>
  <c r="Y895" i="3"/>
  <c r="X895" i="3"/>
  <c r="Y894" i="3"/>
  <c r="X894" i="3"/>
  <c r="Y893" i="3"/>
  <c r="X893" i="3"/>
  <c r="Y892" i="3"/>
  <c r="X892" i="3"/>
  <c r="Y891" i="3"/>
  <c r="X891" i="3"/>
  <c r="Y890" i="3"/>
  <c r="X890" i="3"/>
  <c r="Y889" i="3"/>
  <c r="X889" i="3"/>
  <c r="Y888" i="3"/>
  <c r="X888" i="3"/>
  <c r="Y887" i="3"/>
  <c r="X887" i="3"/>
  <c r="Y886" i="3"/>
  <c r="X886" i="3"/>
  <c r="Y885" i="3"/>
  <c r="X885" i="3"/>
  <c r="Y884" i="3"/>
  <c r="X884" i="3"/>
  <c r="Y883" i="3"/>
  <c r="X883" i="3"/>
  <c r="Y882" i="3"/>
  <c r="X882" i="3"/>
  <c r="Y881" i="3"/>
  <c r="X881" i="3"/>
  <c r="Y880" i="3"/>
  <c r="X880" i="3"/>
  <c r="Y879" i="3"/>
  <c r="X879" i="3"/>
  <c r="Y878" i="3"/>
  <c r="X878" i="3"/>
  <c r="Y877" i="3"/>
  <c r="X877" i="3"/>
  <c r="Y876" i="3"/>
  <c r="X876" i="3"/>
  <c r="Y875" i="3"/>
  <c r="X875" i="3"/>
  <c r="Y874" i="3"/>
  <c r="X874" i="3"/>
  <c r="Y873" i="3"/>
  <c r="X873" i="3"/>
  <c r="Y872" i="3"/>
  <c r="X872" i="3"/>
  <c r="Y871" i="3"/>
  <c r="X871" i="3"/>
  <c r="Y870" i="3"/>
  <c r="X870" i="3"/>
  <c r="Y869" i="3"/>
  <c r="X869" i="3"/>
  <c r="Y868" i="3"/>
  <c r="X868" i="3"/>
  <c r="Y867" i="3"/>
  <c r="X867" i="3"/>
  <c r="Y866" i="3"/>
  <c r="X866" i="3"/>
  <c r="Y865" i="3"/>
  <c r="X865" i="3"/>
  <c r="Y864" i="3"/>
  <c r="X864" i="3"/>
  <c r="Y863" i="3"/>
  <c r="X863" i="3"/>
  <c r="Y862" i="3"/>
  <c r="X862" i="3"/>
  <c r="Y861" i="3"/>
  <c r="X861" i="3"/>
  <c r="Y860" i="3"/>
  <c r="X860" i="3"/>
  <c r="Y859" i="3"/>
  <c r="X859" i="3"/>
  <c r="Y858" i="3"/>
  <c r="X858" i="3"/>
  <c r="Y857" i="3"/>
  <c r="X857" i="3"/>
  <c r="Y856" i="3"/>
  <c r="X856" i="3"/>
  <c r="Y855" i="3"/>
  <c r="X855" i="3"/>
  <c r="Y854" i="3"/>
  <c r="X854" i="3"/>
  <c r="Y853" i="3"/>
  <c r="X853" i="3"/>
  <c r="Y852" i="3"/>
  <c r="X852" i="3"/>
  <c r="Y851" i="3"/>
  <c r="X851" i="3"/>
  <c r="Y850" i="3"/>
  <c r="X850" i="3"/>
  <c r="Y849" i="3"/>
  <c r="X849" i="3"/>
  <c r="Y848" i="3"/>
  <c r="X848" i="3"/>
  <c r="Y847" i="3"/>
  <c r="X847" i="3"/>
  <c r="Y846" i="3"/>
  <c r="X846" i="3"/>
  <c r="Y845" i="3"/>
  <c r="X845" i="3"/>
  <c r="Y844" i="3"/>
  <c r="X844" i="3"/>
  <c r="Y843" i="3"/>
  <c r="X843" i="3"/>
  <c r="Y842" i="3"/>
  <c r="X842" i="3"/>
  <c r="Y841" i="3"/>
  <c r="X841" i="3"/>
  <c r="Y840" i="3"/>
  <c r="X840" i="3"/>
  <c r="Y839" i="3"/>
  <c r="X839" i="3"/>
  <c r="Y838" i="3"/>
  <c r="X838" i="3"/>
  <c r="Y837" i="3"/>
  <c r="X837" i="3"/>
  <c r="Y836" i="3"/>
  <c r="X836" i="3"/>
  <c r="Y835" i="3"/>
  <c r="X835" i="3"/>
  <c r="Y834" i="3"/>
  <c r="X834" i="3"/>
  <c r="Y833" i="3"/>
  <c r="X833" i="3"/>
  <c r="Y832" i="3"/>
  <c r="X832" i="3"/>
  <c r="Y831" i="3"/>
  <c r="X831" i="3"/>
  <c r="Y830" i="3"/>
  <c r="X830" i="3"/>
  <c r="Y829" i="3"/>
  <c r="X829" i="3"/>
  <c r="Y828" i="3"/>
  <c r="X828" i="3"/>
  <c r="Y827" i="3"/>
  <c r="X827" i="3"/>
  <c r="Y826" i="3"/>
  <c r="X826" i="3"/>
  <c r="Y825" i="3"/>
  <c r="X825" i="3"/>
  <c r="Y824" i="3"/>
  <c r="X824" i="3"/>
  <c r="Y823" i="3"/>
  <c r="X823" i="3"/>
  <c r="Y822" i="3"/>
  <c r="X822" i="3"/>
  <c r="Y821" i="3"/>
  <c r="X821" i="3"/>
  <c r="Y820" i="3"/>
  <c r="X820" i="3"/>
  <c r="Y819" i="3"/>
  <c r="X819" i="3"/>
  <c r="Y818" i="3"/>
  <c r="X818" i="3"/>
  <c r="Y817" i="3"/>
  <c r="X817" i="3"/>
  <c r="Y816" i="3"/>
  <c r="X816" i="3"/>
  <c r="Y815" i="3"/>
  <c r="X815" i="3"/>
  <c r="Y814" i="3"/>
  <c r="X814" i="3"/>
  <c r="Y813" i="3"/>
  <c r="X813" i="3"/>
  <c r="Y812" i="3"/>
  <c r="X812" i="3"/>
  <c r="Y811" i="3"/>
  <c r="X811" i="3"/>
  <c r="Y810" i="3"/>
  <c r="X810" i="3"/>
  <c r="Y809" i="3"/>
  <c r="X809" i="3"/>
  <c r="Y808" i="3"/>
  <c r="X808" i="3"/>
  <c r="Y807" i="3"/>
  <c r="X807" i="3"/>
  <c r="Y806" i="3"/>
  <c r="X806" i="3"/>
  <c r="Y805" i="3"/>
  <c r="X805" i="3"/>
  <c r="Y804" i="3"/>
  <c r="X804" i="3"/>
  <c r="Y803" i="3"/>
  <c r="X803" i="3"/>
  <c r="Y802" i="3"/>
  <c r="X802" i="3"/>
  <c r="Y801" i="3"/>
  <c r="X801" i="3"/>
  <c r="Y800" i="3"/>
  <c r="X800" i="3"/>
  <c r="Y799" i="3"/>
  <c r="X799" i="3"/>
  <c r="Y798" i="3"/>
  <c r="X798" i="3"/>
  <c r="Y797" i="3"/>
  <c r="X797" i="3"/>
  <c r="Y796" i="3"/>
  <c r="X796" i="3"/>
  <c r="Y795" i="3"/>
  <c r="X795" i="3"/>
  <c r="Y794" i="3"/>
  <c r="X794" i="3"/>
  <c r="Y793" i="3"/>
  <c r="X793" i="3"/>
  <c r="Y792" i="3"/>
  <c r="X792" i="3"/>
  <c r="Y791" i="3"/>
  <c r="X791" i="3"/>
  <c r="Y790" i="3"/>
  <c r="X790" i="3"/>
  <c r="Y789" i="3"/>
  <c r="X789" i="3"/>
  <c r="Y788" i="3"/>
  <c r="X788" i="3"/>
  <c r="Y787" i="3"/>
  <c r="X787" i="3"/>
  <c r="Y786" i="3"/>
  <c r="X786" i="3"/>
  <c r="Y785" i="3"/>
  <c r="X785" i="3"/>
  <c r="Y784" i="3"/>
  <c r="X784" i="3"/>
  <c r="Y783" i="3"/>
  <c r="X783" i="3"/>
  <c r="Y782" i="3"/>
  <c r="X782" i="3"/>
  <c r="Y781" i="3"/>
  <c r="X781" i="3"/>
  <c r="Y780" i="3"/>
  <c r="X780" i="3"/>
  <c r="Y779" i="3"/>
  <c r="X779" i="3"/>
  <c r="Y778" i="3"/>
  <c r="X778" i="3"/>
  <c r="Y777" i="3"/>
  <c r="X777" i="3"/>
  <c r="Y776" i="3"/>
  <c r="X776" i="3"/>
  <c r="Y775" i="3"/>
  <c r="X775" i="3"/>
  <c r="Y774" i="3"/>
  <c r="X774" i="3"/>
  <c r="Y773" i="3"/>
  <c r="X773" i="3"/>
  <c r="Y772" i="3"/>
  <c r="X772" i="3"/>
  <c r="Y771" i="3"/>
  <c r="X771" i="3"/>
  <c r="Y770" i="3"/>
  <c r="X770" i="3"/>
  <c r="Y769" i="3"/>
  <c r="X769" i="3"/>
  <c r="Y768" i="3"/>
  <c r="X768" i="3"/>
  <c r="Y767" i="3"/>
  <c r="X767" i="3"/>
  <c r="Y766" i="3"/>
  <c r="X766" i="3"/>
  <c r="Y765" i="3"/>
  <c r="X765" i="3"/>
  <c r="Y764" i="3"/>
  <c r="X764" i="3"/>
  <c r="Y763" i="3"/>
  <c r="X763" i="3"/>
  <c r="Y762" i="3"/>
  <c r="X762" i="3"/>
  <c r="Y761" i="3"/>
  <c r="X761" i="3"/>
  <c r="Y760" i="3"/>
  <c r="X760" i="3"/>
  <c r="Y759" i="3"/>
  <c r="X759" i="3"/>
  <c r="Y758" i="3"/>
  <c r="X758" i="3"/>
  <c r="Y757" i="3"/>
  <c r="X757" i="3"/>
  <c r="Y756" i="3"/>
  <c r="X756" i="3"/>
  <c r="Y755" i="3"/>
  <c r="X755" i="3"/>
  <c r="Y754" i="3"/>
  <c r="X754" i="3"/>
  <c r="Y753" i="3"/>
  <c r="X753" i="3"/>
  <c r="Y752" i="3"/>
  <c r="X752" i="3"/>
  <c r="Y751" i="3"/>
  <c r="X751" i="3"/>
  <c r="Y750" i="3"/>
  <c r="X750" i="3"/>
  <c r="Y749" i="3"/>
  <c r="X749" i="3"/>
  <c r="Y748" i="3"/>
  <c r="X748" i="3"/>
  <c r="Y747" i="3"/>
  <c r="X747" i="3"/>
  <c r="Y746" i="3"/>
  <c r="X746" i="3"/>
  <c r="Y745" i="3"/>
  <c r="X745" i="3"/>
  <c r="Y744" i="3"/>
  <c r="X744" i="3"/>
  <c r="Y743" i="3"/>
  <c r="X743" i="3"/>
  <c r="Y742" i="3"/>
  <c r="X742" i="3"/>
  <c r="Y741" i="3"/>
  <c r="X741" i="3"/>
  <c r="Y740" i="3"/>
  <c r="X740" i="3"/>
  <c r="Y739" i="3"/>
  <c r="X739" i="3"/>
  <c r="Y738" i="3"/>
  <c r="X738" i="3"/>
  <c r="Y737" i="3"/>
  <c r="X737" i="3"/>
  <c r="Y736" i="3"/>
  <c r="X736" i="3"/>
  <c r="Y735" i="3"/>
  <c r="X735" i="3"/>
  <c r="Y734" i="3"/>
  <c r="X734" i="3"/>
  <c r="Y733" i="3"/>
  <c r="X733" i="3"/>
  <c r="Y732" i="3"/>
  <c r="X732" i="3"/>
  <c r="Y731" i="3"/>
  <c r="X731" i="3"/>
  <c r="Y730" i="3"/>
  <c r="X730" i="3"/>
  <c r="Y729" i="3"/>
  <c r="X729" i="3"/>
  <c r="Y728" i="3"/>
  <c r="X728" i="3"/>
  <c r="Y727" i="3"/>
  <c r="X727" i="3"/>
  <c r="Y726" i="3"/>
  <c r="X726" i="3"/>
  <c r="Y725" i="3"/>
  <c r="X725" i="3"/>
  <c r="Y724" i="3"/>
  <c r="X724" i="3"/>
  <c r="Y723" i="3"/>
  <c r="X723" i="3"/>
  <c r="Y722" i="3"/>
  <c r="X722" i="3"/>
  <c r="Y721" i="3"/>
  <c r="X721" i="3"/>
  <c r="Y720" i="3"/>
  <c r="X720" i="3"/>
  <c r="Y719" i="3"/>
  <c r="X719" i="3"/>
  <c r="Y718" i="3"/>
  <c r="X718" i="3"/>
  <c r="Y717" i="3"/>
  <c r="X717" i="3"/>
  <c r="Y716" i="3"/>
  <c r="X716" i="3"/>
  <c r="Y715" i="3"/>
  <c r="X715" i="3"/>
  <c r="Y714" i="3"/>
  <c r="X714" i="3"/>
  <c r="Y713" i="3"/>
  <c r="X713" i="3"/>
  <c r="Y712" i="3"/>
  <c r="X712" i="3"/>
  <c r="Y711" i="3"/>
  <c r="X711" i="3"/>
  <c r="Y710" i="3"/>
  <c r="X710" i="3"/>
  <c r="Y709" i="3"/>
  <c r="X709" i="3"/>
  <c r="Y708" i="3"/>
  <c r="X708" i="3"/>
  <c r="Y707" i="3"/>
  <c r="X707" i="3"/>
  <c r="Y706" i="3"/>
  <c r="X706" i="3"/>
  <c r="Y705" i="3"/>
  <c r="X705" i="3"/>
  <c r="Y704" i="3"/>
  <c r="X704" i="3"/>
  <c r="Y703" i="3"/>
  <c r="X703" i="3"/>
  <c r="Y702" i="3"/>
  <c r="X702" i="3"/>
  <c r="Y701" i="3"/>
  <c r="X701" i="3"/>
  <c r="Y700" i="3"/>
  <c r="X700" i="3"/>
  <c r="Y699" i="3"/>
  <c r="X699" i="3"/>
  <c r="Y698" i="3"/>
  <c r="X698" i="3"/>
  <c r="Y697" i="3"/>
  <c r="X697" i="3"/>
  <c r="Y696" i="3"/>
  <c r="X696" i="3"/>
  <c r="Y695" i="3"/>
  <c r="X695" i="3"/>
  <c r="Y694" i="3"/>
  <c r="X694" i="3"/>
  <c r="Y693" i="3"/>
  <c r="X693" i="3"/>
  <c r="Y692" i="3"/>
  <c r="X692" i="3"/>
  <c r="Y691" i="3"/>
  <c r="X691" i="3"/>
  <c r="Y690" i="3"/>
  <c r="X690" i="3"/>
  <c r="Y689" i="3"/>
  <c r="X689" i="3"/>
  <c r="Y688" i="3"/>
  <c r="X688" i="3"/>
  <c r="Y687" i="3"/>
  <c r="X687" i="3"/>
  <c r="Y686" i="3"/>
  <c r="X686" i="3"/>
  <c r="Y685" i="3"/>
  <c r="X685" i="3"/>
  <c r="Y684" i="3"/>
  <c r="X684" i="3"/>
  <c r="Y683" i="3"/>
  <c r="X683" i="3"/>
  <c r="Y682" i="3"/>
  <c r="X682" i="3"/>
  <c r="Y681" i="3"/>
  <c r="X681" i="3"/>
  <c r="Y680" i="3"/>
  <c r="X680" i="3"/>
  <c r="Y679" i="3"/>
  <c r="X679" i="3"/>
  <c r="Y678" i="3"/>
  <c r="X678" i="3"/>
  <c r="Y677" i="3"/>
  <c r="X677" i="3"/>
  <c r="Y676" i="3"/>
  <c r="X676" i="3"/>
  <c r="Y675" i="3"/>
  <c r="X675" i="3"/>
  <c r="Y674" i="3"/>
  <c r="X674" i="3"/>
  <c r="Y673" i="3"/>
  <c r="X673" i="3"/>
  <c r="Y672" i="3"/>
  <c r="X672" i="3"/>
  <c r="Y671" i="3"/>
  <c r="X671" i="3"/>
  <c r="Y670" i="3"/>
  <c r="X670" i="3"/>
  <c r="Y669" i="3"/>
  <c r="X669" i="3"/>
  <c r="Y668" i="3"/>
  <c r="X668" i="3"/>
  <c r="Y667" i="3"/>
  <c r="X667" i="3"/>
  <c r="Y666" i="3"/>
  <c r="X666" i="3"/>
  <c r="Y665" i="3"/>
  <c r="X665" i="3"/>
  <c r="Y664" i="3"/>
  <c r="X664" i="3"/>
  <c r="Y663" i="3"/>
  <c r="X663" i="3"/>
  <c r="Y662" i="3"/>
  <c r="X662" i="3"/>
  <c r="Y661" i="3"/>
  <c r="X661" i="3"/>
  <c r="Y660" i="3"/>
  <c r="X660" i="3"/>
  <c r="Y659" i="3"/>
  <c r="X659" i="3"/>
  <c r="Y658" i="3"/>
  <c r="X658" i="3"/>
  <c r="Y657" i="3"/>
  <c r="X657" i="3"/>
  <c r="Y656" i="3"/>
  <c r="X656" i="3"/>
  <c r="Y655" i="3"/>
  <c r="X655" i="3"/>
  <c r="Y654" i="3"/>
  <c r="X654" i="3"/>
  <c r="Y653" i="3"/>
  <c r="X653" i="3"/>
  <c r="Y652" i="3"/>
  <c r="X652" i="3"/>
  <c r="Y651" i="3"/>
  <c r="X651" i="3"/>
  <c r="Y650" i="3"/>
  <c r="X650" i="3"/>
  <c r="Y649" i="3"/>
  <c r="X649" i="3"/>
  <c r="Y648" i="3"/>
  <c r="X648" i="3"/>
  <c r="Y647" i="3"/>
  <c r="X647" i="3"/>
  <c r="Y646" i="3"/>
  <c r="X646" i="3"/>
  <c r="Y645" i="3"/>
  <c r="X645" i="3"/>
  <c r="Y644" i="3"/>
  <c r="X644" i="3"/>
  <c r="Y643" i="3"/>
  <c r="X643" i="3"/>
  <c r="Y642" i="3"/>
  <c r="X642" i="3"/>
  <c r="Y641" i="3"/>
  <c r="X641" i="3"/>
  <c r="Y640" i="3"/>
  <c r="X640" i="3"/>
  <c r="Y639" i="3"/>
  <c r="X639" i="3"/>
  <c r="Y638" i="3"/>
  <c r="X638" i="3"/>
  <c r="Y637" i="3"/>
  <c r="X637" i="3"/>
  <c r="Y636" i="3"/>
  <c r="X636" i="3"/>
  <c r="Y635" i="3"/>
  <c r="X635" i="3"/>
  <c r="Y634" i="3"/>
  <c r="X634" i="3"/>
  <c r="Y633" i="3"/>
  <c r="X633" i="3"/>
  <c r="Y632" i="3"/>
  <c r="X632" i="3"/>
  <c r="L632" i="3"/>
  <c r="Y631" i="3"/>
  <c r="X631" i="3"/>
  <c r="L631" i="3"/>
  <c r="Y630" i="3"/>
  <c r="X630" i="3"/>
  <c r="L630" i="3"/>
  <c r="Y629" i="3"/>
  <c r="X629" i="3"/>
  <c r="L629" i="3"/>
  <c r="Y628" i="3"/>
  <c r="X628" i="3"/>
  <c r="L628" i="3"/>
  <c r="Y627" i="3"/>
  <c r="X627" i="3"/>
  <c r="L627" i="3"/>
  <c r="Y626" i="3"/>
  <c r="X626" i="3"/>
  <c r="L626" i="3"/>
  <c r="Y625" i="3"/>
  <c r="X625" i="3"/>
  <c r="L625" i="3"/>
  <c r="Y624" i="3"/>
  <c r="X624" i="3"/>
  <c r="L624" i="3"/>
  <c r="Y623" i="3"/>
  <c r="X623" i="3"/>
  <c r="L623" i="3"/>
  <c r="Y622" i="3"/>
  <c r="X622" i="3"/>
  <c r="L622" i="3"/>
  <c r="Y621" i="3"/>
  <c r="X621" i="3"/>
  <c r="L621" i="3"/>
  <c r="Y620" i="3"/>
  <c r="X620" i="3"/>
  <c r="L620" i="3"/>
  <c r="Y619" i="3"/>
  <c r="X619" i="3"/>
  <c r="L619" i="3"/>
  <c r="Y618" i="3"/>
  <c r="X618" i="3"/>
  <c r="L618" i="3"/>
  <c r="Y617" i="3"/>
  <c r="X617" i="3"/>
  <c r="L617" i="3"/>
  <c r="Y616" i="3"/>
  <c r="X616" i="3"/>
  <c r="L616" i="3"/>
  <c r="Y615" i="3"/>
  <c r="X615" i="3"/>
  <c r="L615" i="3"/>
  <c r="Y614" i="3"/>
  <c r="X614" i="3"/>
  <c r="L614" i="3"/>
  <c r="Y613" i="3"/>
  <c r="X613" i="3"/>
  <c r="L613" i="3"/>
  <c r="Y612" i="3"/>
  <c r="X612" i="3"/>
  <c r="L612" i="3"/>
  <c r="Y611" i="3"/>
  <c r="X611" i="3"/>
  <c r="L611" i="3"/>
  <c r="Y610" i="3"/>
  <c r="X610" i="3"/>
  <c r="L610" i="3"/>
  <c r="Y609" i="3"/>
  <c r="X609" i="3"/>
  <c r="L609" i="3"/>
  <c r="Y608" i="3"/>
  <c r="X608" i="3"/>
  <c r="L608" i="3"/>
  <c r="Y607" i="3"/>
  <c r="X607" i="3"/>
  <c r="L607" i="3"/>
  <c r="Y606" i="3"/>
  <c r="X606" i="3"/>
  <c r="L606" i="3"/>
  <c r="Y605" i="3"/>
  <c r="X605" i="3"/>
  <c r="L605" i="3"/>
  <c r="Y604" i="3"/>
  <c r="X604" i="3"/>
  <c r="L604" i="3"/>
  <c r="Y603" i="3"/>
  <c r="X603" i="3"/>
  <c r="L603" i="3"/>
  <c r="Y602" i="3"/>
  <c r="X602" i="3"/>
  <c r="L602" i="3"/>
  <c r="Y601" i="3"/>
  <c r="X601" i="3"/>
  <c r="L601" i="3"/>
  <c r="Y600" i="3"/>
  <c r="X600" i="3"/>
  <c r="L600" i="3"/>
  <c r="Y599" i="3"/>
  <c r="X599" i="3"/>
  <c r="L599" i="3"/>
  <c r="Y598" i="3"/>
  <c r="X598" i="3"/>
  <c r="L598" i="3"/>
  <c r="Y597" i="3"/>
  <c r="X597" i="3"/>
  <c r="L597" i="3"/>
  <c r="Y596" i="3"/>
  <c r="X596" i="3"/>
  <c r="L596" i="3"/>
  <c r="Y595" i="3"/>
  <c r="X595" i="3"/>
  <c r="L595" i="3"/>
  <c r="Y594" i="3"/>
  <c r="X594" i="3"/>
  <c r="L594" i="3"/>
  <c r="Y593" i="3"/>
  <c r="X593" i="3"/>
  <c r="L593" i="3"/>
  <c r="Y592" i="3"/>
  <c r="X592" i="3"/>
  <c r="L592" i="3"/>
  <c r="Y591" i="3"/>
  <c r="X591" i="3"/>
  <c r="L591" i="3"/>
  <c r="Y590" i="3"/>
  <c r="X590" i="3"/>
  <c r="L590" i="3"/>
  <c r="Y589" i="3"/>
  <c r="X589" i="3"/>
  <c r="L589" i="3"/>
  <c r="Y588" i="3"/>
  <c r="X588" i="3"/>
  <c r="L588" i="3"/>
  <c r="Y587" i="3"/>
  <c r="X587" i="3"/>
  <c r="L587" i="3"/>
  <c r="Y586" i="3"/>
  <c r="X586" i="3"/>
  <c r="L586" i="3"/>
  <c r="Y585" i="3"/>
  <c r="X585" i="3"/>
  <c r="L585" i="3"/>
  <c r="Y584" i="3"/>
  <c r="X584" i="3"/>
  <c r="L584" i="3"/>
  <c r="Y583" i="3"/>
  <c r="X583" i="3"/>
  <c r="L583" i="3"/>
  <c r="Y582" i="3"/>
  <c r="X582" i="3"/>
  <c r="L582" i="3"/>
  <c r="Y581" i="3"/>
  <c r="X581" i="3"/>
  <c r="L581" i="3"/>
  <c r="Y580" i="3"/>
  <c r="X580" i="3"/>
  <c r="L580" i="3"/>
  <c r="Y579" i="3"/>
  <c r="X579" i="3"/>
  <c r="L579" i="3"/>
  <c r="Y578" i="3"/>
  <c r="X578" i="3"/>
  <c r="L578" i="3"/>
  <c r="Y577" i="3"/>
  <c r="X577" i="3"/>
  <c r="L577" i="3"/>
  <c r="Y576" i="3"/>
  <c r="X576" i="3"/>
  <c r="L576" i="3"/>
  <c r="Y575" i="3"/>
  <c r="X575" i="3"/>
  <c r="L575" i="3"/>
  <c r="Y574" i="3"/>
  <c r="X574" i="3"/>
  <c r="L574" i="3"/>
  <c r="Y573" i="3"/>
  <c r="X573" i="3"/>
  <c r="L573" i="3"/>
  <c r="Y572" i="3"/>
  <c r="X572" i="3"/>
  <c r="L572" i="3"/>
  <c r="Y571" i="3"/>
  <c r="X571" i="3"/>
  <c r="L571" i="3"/>
  <c r="Y570" i="3"/>
  <c r="X570" i="3"/>
  <c r="L570" i="3"/>
  <c r="Y569" i="3"/>
  <c r="X569" i="3"/>
  <c r="L569" i="3"/>
  <c r="Y568" i="3"/>
  <c r="X568" i="3"/>
  <c r="L568" i="3"/>
  <c r="Y567" i="3"/>
  <c r="X567" i="3"/>
  <c r="L567" i="3"/>
  <c r="Y566" i="3"/>
  <c r="X566" i="3"/>
  <c r="L566" i="3"/>
  <c r="Y565" i="3"/>
  <c r="X565" i="3"/>
  <c r="L565" i="3"/>
  <c r="Y564" i="3"/>
  <c r="X564" i="3"/>
  <c r="L564" i="3"/>
  <c r="Y563" i="3"/>
  <c r="X563" i="3"/>
  <c r="L563" i="3"/>
  <c r="Y562" i="3"/>
  <c r="X562" i="3"/>
  <c r="L562" i="3"/>
  <c r="Y561" i="3"/>
  <c r="X561" i="3"/>
  <c r="L561" i="3"/>
  <c r="Y560" i="3"/>
  <c r="X560" i="3"/>
  <c r="L560" i="3"/>
  <c r="Y559" i="3"/>
  <c r="X559" i="3"/>
  <c r="L559" i="3"/>
  <c r="Y558" i="3"/>
  <c r="X558" i="3"/>
  <c r="L558" i="3"/>
  <c r="Y557" i="3"/>
  <c r="X557" i="3"/>
  <c r="L557" i="3"/>
  <c r="Y556" i="3"/>
  <c r="X556" i="3"/>
  <c r="L556" i="3"/>
  <c r="Y555" i="3"/>
  <c r="X555" i="3"/>
  <c r="L555" i="3"/>
  <c r="Y554" i="3"/>
  <c r="X554" i="3"/>
  <c r="L554" i="3"/>
  <c r="Y553" i="3"/>
  <c r="X553" i="3"/>
  <c r="L553" i="3"/>
  <c r="Y552" i="3"/>
  <c r="X552" i="3"/>
  <c r="L552" i="3"/>
  <c r="Y551" i="3"/>
  <c r="X551" i="3"/>
  <c r="L551" i="3"/>
  <c r="Y550" i="3"/>
  <c r="X550" i="3"/>
  <c r="L550" i="3"/>
  <c r="Y549" i="3"/>
  <c r="X549" i="3"/>
  <c r="L549" i="3"/>
  <c r="Y548" i="3"/>
  <c r="X548" i="3"/>
  <c r="L548" i="3"/>
  <c r="Y547" i="3"/>
  <c r="X547" i="3"/>
  <c r="L547" i="3"/>
  <c r="Y546" i="3"/>
  <c r="X546" i="3"/>
  <c r="L546" i="3"/>
  <c r="Y545" i="3"/>
  <c r="X545" i="3"/>
  <c r="L545" i="3"/>
  <c r="Y544" i="3"/>
  <c r="X544" i="3"/>
  <c r="L544" i="3"/>
  <c r="Y543" i="3"/>
  <c r="X543" i="3"/>
  <c r="L543" i="3"/>
  <c r="Y542" i="3"/>
  <c r="X542" i="3"/>
  <c r="L542" i="3"/>
  <c r="Y541" i="3"/>
  <c r="X541" i="3"/>
  <c r="L541" i="3"/>
  <c r="Y540" i="3"/>
  <c r="X540" i="3"/>
  <c r="L540" i="3"/>
  <c r="Y539" i="3"/>
  <c r="X539" i="3"/>
  <c r="L539" i="3"/>
  <c r="Y538" i="3"/>
  <c r="X538" i="3"/>
  <c r="L538" i="3"/>
  <c r="Y537" i="3"/>
  <c r="X537" i="3"/>
  <c r="L537" i="3"/>
  <c r="Y536" i="3"/>
  <c r="X536" i="3"/>
  <c r="L536" i="3"/>
  <c r="Y535" i="3"/>
  <c r="X535" i="3"/>
  <c r="L535" i="3"/>
  <c r="Y534" i="3"/>
  <c r="X534" i="3"/>
  <c r="L534" i="3"/>
  <c r="Y533" i="3"/>
  <c r="X533" i="3"/>
  <c r="L533" i="3"/>
  <c r="Y532" i="3"/>
  <c r="X532" i="3"/>
  <c r="L532" i="3"/>
  <c r="Y531" i="3"/>
  <c r="X531" i="3"/>
  <c r="L531" i="3"/>
  <c r="Y530" i="3"/>
  <c r="X530" i="3"/>
  <c r="L530" i="3"/>
  <c r="Y529" i="3"/>
  <c r="X529" i="3"/>
  <c r="L529" i="3"/>
  <c r="Y528" i="3"/>
  <c r="X528" i="3"/>
  <c r="L528" i="3"/>
  <c r="Y527" i="3"/>
  <c r="X527" i="3"/>
  <c r="L527" i="3"/>
  <c r="Y526" i="3"/>
  <c r="X526" i="3"/>
  <c r="L526" i="3"/>
  <c r="Y525" i="3"/>
  <c r="X525" i="3"/>
  <c r="L525" i="3"/>
  <c r="Y524" i="3"/>
  <c r="X524" i="3"/>
  <c r="L524" i="3"/>
  <c r="Y523" i="3"/>
  <c r="X523" i="3"/>
  <c r="L523" i="3"/>
  <c r="Y522" i="3"/>
  <c r="X522" i="3"/>
  <c r="L522" i="3"/>
  <c r="Y521" i="3"/>
  <c r="X521" i="3"/>
  <c r="L521" i="3"/>
  <c r="Y520" i="3"/>
  <c r="X520" i="3"/>
  <c r="L520" i="3"/>
  <c r="Y519" i="3"/>
  <c r="X519" i="3"/>
  <c r="L519" i="3"/>
  <c r="Y518" i="3"/>
  <c r="X518" i="3"/>
  <c r="L518" i="3"/>
  <c r="Y517" i="3"/>
  <c r="X517" i="3"/>
  <c r="L517" i="3"/>
  <c r="Y516" i="3"/>
  <c r="X516" i="3"/>
  <c r="L516" i="3"/>
  <c r="Y515" i="3"/>
  <c r="X515" i="3"/>
  <c r="L515" i="3"/>
  <c r="Y514" i="3"/>
  <c r="X514" i="3"/>
  <c r="L514" i="3"/>
  <c r="Y513" i="3"/>
  <c r="X513" i="3"/>
  <c r="L513" i="3"/>
  <c r="Y512" i="3"/>
  <c r="X512" i="3"/>
  <c r="L512" i="3"/>
  <c r="Y511" i="3"/>
  <c r="X511" i="3"/>
  <c r="L511" i="3"/>
  <c r="Y510" i="3"/>
  <c r="X510" i="3"/>
  <c r="L510" i="3"/>
  <c r="Y509" i="3"/>
  <c r="X509" i="3"/>
  <c r="L509" i="3"/>
  <c r="Y508" i="3"/>
  <c r="X508" i="3"/>
  <c r="L508" i="3"/>
  <c r="Y507" i="3"/>
  <c r="X507" i="3"/>
  <c r="L507" i="3"/>
  <c r="Y506" i="3"/>
  <c r="X506" i="3"/>
  <c r="L506" i="3"/>
  <c r="Y505" i="3"/>
  <c r="X505" i="3"/>
  <c r="L505" i="3"/>
  <c r="Y504" i="3"/>
  <c r="X504" i="3"/>
  <c r="L504" i="3"/>
  <c r="Y503" i="3"/>
  <c r="X503" i="3"/>
  <c r="L503" i="3"/>
  <c r="Y502" i="3"/>
  <c r="X502" i="3"/>
  <c r="L502" i="3"/>
  <c r="Y501" i="3"/>
  <c r="X501" i="3"/>
  <c r="L501" i="3"/>
  <c r="Y500" i="3"/>
  <c r="X500" i="3"/>
  <c r="L500" i="3"/>
  <c r="Y499" i="3"/>
  <c r="X499" i="3"/>
  <c r="L499" i="3"/>
  <c r="Y498" i="3"/>
  <c r="X498" i="3"/>
  <c r="L498" i="3"/>
  <c r="Y497" i="3"/>
  <c r="X497" i="3"/>
  <c r="L497" i="3"/>
  <c r="Y496" i="3"/>
  <c r="X496" i="3"/>
  <c r="L496" i="3"/>
  <c r="Y495" i="3"/>
  <c r="X495" i="3"/>
  <c r="L495" i="3"/>
  <c r="Y494" i="3"/>
  <c r="X494" i="3"/>
  <c r="L494" i="3"/>
  <c r="Y493" i="3"/>
  <c r="X493" i="3"/>
  <c r="L493" i="3"/>
  <c r="Y492" i="3"/>
  <c r="X492" i="3"/>
  <c r="L492" i="3"/>
  <c r="Y491" i="3"/>
  <c r="X491" i="3"/>
  <c r="L491" i="3"/>
  <c r="Y490" i="3"/>
  <c r="X490" i="3"/>
  <c r="L490" i="3"/>
  <c r="Y489" i="3"/>
  <c r="X489" i="3"/>
  <c r="L489" i="3"/>
  <c r="Y488" i="3"/>
  <c r="X488" i="3"/>
  <c r="L488" i="3"/>
  <c r="Y487" i="3"/>
  <c r="X487" i="3"/>
  <c r="L487" i="3"/>
  <c r="Y486" i="3"/>
  <c r="X486" i="3"/>
  <c r="L486" i="3"/>
  <c r="Y485" i="3"/>
  <c r="X485" i="3"/>
  <c r="L485" i="3"/>
  <c r="Y484" i="3"/>
  <c r="X484" i="3"/>
  <c r="L484" i="3"/>
  <c r="Y483" i="3"/>
  <c r="X483" i="3"/>
  <c r="L483" i="3"/>
  <c r="Y482" i="3"/>
  <c r="X482" i="3"/>
  <c r="L482" i="3"/>
  <c r="Y481" i="3"/>
  <c r="X481" i="3"/>
  <c r="L481" i="3"/>
  <c r="Y480" i="3"/>
  <c r="X480" i="3"/>
  <c r="L480" i="3"/>
  <c r="Y479" i="3"/>
  <c r="X479" i="3"/>
  <c r="L479" i="3"/>
  <c r="Y478" i="3"/>
  <c r="X478" i="3"/>
  <c r="L478" i="3"/>
  <c r="Y477" i="3"/>
  <c r="X477" i="3"/>
  <c r="L477" i="3"/>
  <c r="Y476" i="3"/>
  <c r="X476" i="3"/>
  <c r="L476" i="3"/>
  <c r="Y475" i="3"/>
  <c r="X475" i="3"/>
  <c r="L475" i="3"/>
  <c r="Y474" i="3"/>
  <c r="X474" i="3"/>
  <c r="L474" i="3"/>
  <c r="Y473" i="3"/>
  <c r="X473" i="3"/>
  <c r="L473" i="3"/>
  <c r="Y472" i="3"/>
  <c r="X472" i="3"/>
  <c r="L472" i="3"/>
  <c r="Y471" i="3"/>
  <c r="X471" i="3"/>
  <c r="L471" i="3"/>
  <c r="Y470" i="3"/>
  <c r="X470" i="3"/>
  <c r="L470" i="3"/>
  <c r="Y469" i="3"/>
  <c r="X469" i="3"/>
  <c r="L469" i="3"/>
  <c r="Y468" i="3"/>
  <c r="X468" i="3"/>
  <c r="L468" i="3"/>
  <c r="Y467" i="3"/>
  <c r="X467" i="3"/>
  <c r="L467" i="3"/>
  <c r="Y466" i="3"/>
  <c r="X466" i="3"/>
  <c r="L466" i="3"/>
  <c r="Y465" i="3"/>
  <c r="X465" i="3"/>
  <c r="L465" i="3"/>
  <c r="Y464" i="3"/>
  <c r="X464" i="3"/>
  <c r="L464" i="3"/>
  <c r="Y463" i="3"/>
  <c r="X463" i="3"/>
  <c r="L463" i="3"/>
  <c r="Y462" i="3"/>
  <c r="X462" i="3"/>
  <c r="L462" i="3"/>
  <c r="Y461" i="3"/>
  <c r="X461" i="3"/>
  <c r="L461" i="3"/>
  <c r="Y460" i="3"/>
  <c r="X460" i="3"/>
  <c r="L460" i="3"/>
  <c r="Y459" i="3"/>
  <c r="X459" i="3"/>
  <c r="L459" i="3"/>
  <c r="Y458" i="3"/>
  <c r="X458" i="3"/>
  <c r="L458" i="3"/>
  <c r="Y457" i="3"/>
  <c r="X457" i="3"/>
  <c r="L457" i="3"/>
  <c r="Y456" i="3"/>
  <c r="X456" i="3"/>
  <c r="L456" i="3"/>
  <c r="Y455" i="3"/>
  <c r="X455" i="3"/>
  <c r="L455" i="3"/>
  <c r="Y454" i="3"/>
  <c r="X454" i="3"/>
  <c r="L454" i="3"/>
  <c r="Y453" i="3"/>
  <c r="X453" i="3"/>
  <c r="L453" i="3"/>
  <c r="Y452" i="3"/>
  <c r="X452" i="3"/>
  <c r="L452" i="3"/>
  <c r="Y451" i="3"/>
  <c r="X451" i="3"/>
  <c r="L451" i="3"/>
  <c r="Y450" i="3"/>
  <c r="X450" i="3"/>
  <c r="L450" i="3"/>
  <c r="Y449" i="3"/>
  <c r="X449" i="3"/>
  <c r="L449" i="3"/>
  <c r="Y448" i="3"/>
  <c r="X448" i="3"/>
  <c r="L448" i="3"/>
  <c r="Y447" i="3"/>
  <c r="X447" i="3"/>
  <c r="L447" i="3"/>
  <c r="Y446" i="3"/>
  <c r="X446" i="3"/>
  <c r="L446" i="3"/>
  <c r="Y445" i="3"/>
  <c r="X445" i="3"/>
  <c r="L445" i="3"/>
  <c r="Y444" i="3"/>
  <c r="X444" i="3"/>
  <c r="L444" i="3"/>
  <c r="Y443" i="3"/>
  <c r="X443" i="3"/>
  <c r="L443" i="3"/>
  <c r="Y442" i="3"/>
  <c r="X442" i="3"/>
  <c r="L442" i="3"/>
  <c r="Y441" i="3"/>
  <c r="X441" i="3"/>
  <c r="L441" i="3"/>
  <c r="Y440" i="3"/>
  <c r="X440" i="3"/>
  <c r="L440" i="3"/>
  <c r="Y439" i="3"/>
  <c r="X439" i="3"/>
  <c r="L439" i="3"/>
  <c r="Y438" i="3"/>
  <c r="X438" i="3"/>
  <c r="L438" i="3"/>
  <c r="Y437" i="3"/>
  <c r="X437" i="3"/>
  <c r="L437" i="3"/>
  <c r="Y436" i="3"/>
  <c r="X436" i="3"/>
  <c r="L436" i="3"/>
  <c r="Y435" i="3"/>
  <c r="X435" i="3"/>
  <c r="L435" i="3"/>
  <c r="Y434" i="3"/>
  <c r="X434" i="3"/>
  <c r="L434" i="3"/>
  <c r="Y433" i="3"/>
  <c r="X433" i="3"/>
  <c r="L433" i="3"/>
  <c r="Y432" i="3"/>
  <c r="X432" i="3"/>
  <c r="L432" i="3"/>
  <c r="Y431" i="3"/>
  <c r="X431" i="3"/>
  <c r="L431" i="3"/>
  <c r="Y430" i="3"/>
  <c r="X430" i="3"/>
  <c r="L430" i="3"/>
  <c r="Y429" i="3"/>
  <c r="X429" i="3"/>
  <c r="L429" i="3"/>
  <c r="Y428" i="3"/>
  <c r="X428" i="3"/>
  <c r="L428" i="3"/>
  <c r="Y427" i="3"/>
  <c r="X427" i="3"/>
  <c r="L427" i="3"/>
  <c r="Y426" i="3"/>
  <c r="X426" i="3"/>
  <c r="L426" i="3"/>
  <c r="Y425" i="3"/>
  <c r="X425" i="3"/>
  <c r="L425" i="3"/>
  <c r="Y424" i="3"/>
  <c r="X424" i="3"/>
  <c r="L424" i="3"/>
  <c r="Y423" i="3"/>
  <c r="X423" i="3"/>
  <c r="L423" i="3"/>
  <c r="Y422" i="3"/>
  <c r="X422" i="3"/>
  <c r="L422" i="3"/>
  <c r="Y421" i="3"/>
  <c r="X421" i="3"/>
  <c r="L421" i="3"/>
  <c r="Y420" i="3"/>
  <c r="X420" i="3"/>
  <c r="L420" i="3"/>
  <c r="Y419" i="3"/>
  <c r="X419" i="3"/>
  <c r="L419" i="3"/>
  <c r="Y418" i="3"/>
  <c r="X418" i="3"/>
  <c r="L418" i="3"/>
  <c r="Y417" i="3"/>
  <c r="X417" i="3"/>
  <c r="L417" i="3"/>
  <c r="Y416" i="3"/>
  <c r="X416" i="3"/>
  <c r="L416" i="3"/>
  <c r="Y415" i="3"/>
  <c r="X415" i="3"/>
  <c r="L415" i="3"/>
  <c r="Y414" i="3"/>
  <c r="X414" i="3"/>
  <c r="L414" i="3"/>
  <c r="Y413" i="3"/>
  <c r="X413" i="3"/>
  <c r="L413" i="3"/>
  <c r="Y412" i="3"/>
  <c r="X412" i="3"/>
  <c r="L412" i="3"/>
  <c r="Y411" i="3"/>
  <c r="X411" i="3"/>
  <c r="L411" i="3"/>
  <c r="Y410" i="3"/>
  <c r="X410" i="3"/>
  <c r="L410" i="3"/>
  <c r="Y409" i="3"/>
  <c r="X409" i="3"/>
  <c r="L409" i="3"/>
  <c r="Y408" i="3"/>
  <c r="X408" i="3"/>
  <c r="L408" i="3"/>
  <c r="Y407" i="3"/>
  <c r="X407" i="3"/>
  <c r="L407" i="3"/>
  <c r="Y406" i="3"/>
  <c r="X406" i="3"/>
  <c r="L406" i="3"/>
  <c r="Y405" i="3"/>
  <c r="X405" i="3"/>
  <c r="L405" i="3"/>
  <c r="Y404" i="3"/>
  <c r="X404" i="3"/>
  <c r="L404" i="3"/>
  <c r="Y403" i="3"/>
  <c r="X403" i="3"/>
  <c r="L403" i="3"/>
  <c r="Y402" i="3"/>
  <c r="X402" i="3"/>
  <c r="L402" i="3"/>
  <c r="Y401" i="3"/>
  <c r="X401" i="3"/>
  <c r="L401" i="3"/>
  <c r="Y400" i="3"/>
  <c r="X400" i="3"/>
  <c r="L400" i="3"/>
  <c r="Y399" i="3"/>
  <c r="X399" i="3"/>
  <c r="L399" i="3"/>
  <c r="Y398" i="3"/>
  <c r="X398" i="3"/>
  <c r="L398" i="3"/>
  <c r="Y397" i="3"/>
  <c r="X397" i="3"/>
  <c r="L397" i="3"/>
  <c r="Y396" i="3"/>
  <c r="X396" i="3"/>
  <c r="L396" i="3"/>
  <c r="Y395" i="3"/>
  <c r="X395" i="3"/>
  <c r="L395" i="3"/>
  <c r="Y394" i="3"/>
  <c r="X394" i="3"/>
  <c r="L394" i="3"/>
  <c r="Y393" i="3"/>
  <c r="X393" i="3"/>
  <c r="L393" i="3"/>
  <c r="Y392" i="3"/>
  <c r="X392" i="3"/>
  <c r="L392" i="3"/>
  <c r="Y391" i="3"/>
  <c r="X391" i="3"/>
  <c r="L391" i="3"/>
  <c r="Y390" i="3"/>
  <c r="X390" i="3"/>
  <c r="L390" i="3"/>
  <c r="Y389" i="3"/>
  <c r="X389" i="3"/>
  <c r="L389" i="3"/>
  <c r="Y388" i="3"/>
  <c r="X388" i="3"/>
  <c r="L388" i="3"/>
  <c r="Y387" i="3"/>
  <c r="X387" i="3"/>
  <c r="L387" i="3"/>
  <c r="Y386" i="3"/>
  <c r="X386" i="3"/>
  <c r="L386" i="3"/>
  <c r="Y385" i="3"/>
  <c r="X385" i="3"/>
  <c r="L385" i="3"/>
  <c r="Y384" i="3"/>
  <c r="X384" i="3"/>
  <c r="M384" i="3"/>
  <c r="L384" i="3"/>
  <c r="Y383" i="3"/>
  <c r="X383" i="3"/>
  <c r="L383" i="3"/>
  <c r="Y382" i="3"/>
  <c r="X382" i="3"/>
  <c r="M382" i="3"/>
  <c r="U14" i="3" s="1"/>
  <c r="L382" i="3"/>
  <c r="Y381" i="3"/>
  <c r="X381" i="3"/>
  <c r="L381" i="3"/>
  <c r="Y380" i="3"/>
  <c r="X380" i="3"/>
  <c r="L380" i="3"/>
  <c r="Y379" i="3"/>
  <c r="X379" i="3"/>
  <c r="L379" i="3"/>
  <c r="Y378" i="3"/>
  <c r="X378" i="3"/>
  <c r="L378" i="3"/>
  <c r="Y377" i="3"/>
  <c r="X377" i="3"/>
  <c r="L377" i="3"/>
  <c r="Y376" i="3"/>
  <c r="X376" i="3"/>
  <c r="L376" i="3"/>
  <c r="Y375" i="3"/>
  <c r="X375" i="3"/>
  <c r="L375" i="3"/>
  <c r="Y374" i="3"/>
  <c r="X374" i="3"/>
  <c r="L374" i="3"/>
  <c r="Y373" i="3"/>
  <c r="X373" i="3"/>
  <c r="L373" i="3"/>
  <c r="Y372" i="3"/>
  <c r="X372" i="3"/>
  <c r="L372" i="3"/>
  <c r="Y371" i="3"/>
  <c r="X371" i="3"/>
  <c r="L371" i="3"/>
  <c r="Y370" i="3"/>
  <c r="X370" i="3"/>
  <c r="L370" i="3"/>
  <c r="Y369" i="3"/>
  <c r="X369" i="3"/>
  <c r="L369" i="3"/>
  <c r="Y368" i="3"/>
  <c r="X368" i="3"/>
  <c r="L368" i="3"/>
  <c r="Y367" i="3"/>
  <c r="X367" i="3"/>
  <c r="L367" i="3"/>
  <c r="Y366" i="3"/>
  <c r="X366" i="3"/>
  <c r="L366" i="3"/>
  <c r="Y365" i="3"/>
  <c r="X365" i="3"/>
  <c r="L365" i="3"/>
  <c r="Y364" i="3"/>
  <c r="X364" i="3"/>
  <c r="L364" i="3"/>
  <c r="Y363" i="3"/>
  <c r="X363" i="3"/>
  <c r="L363" i="3"/>
  <c r="Y362" i="3"/>
  <c r="X362" i="3"/>
  <c r="L362" i="3"/>
  <c r="Y361" i="3"/>
  <c r="X361" i="3"/>
  <c r="L361" i="3"/>
  <c r="Y360" i="3"/>
  <c r="X360" i="3"/>
  <c r="L360" i="3"/>
  <c r="Y359" i="3"/>
  <c r="X359" i="3"/>
  <c r="L359" i="3"/>
  <c r="Y358" i="3"/>
  <c r="X358" i="3"/>
  <c r="L358" i="3"/>
  <c r="Y357" i="3"/>
  <c r="X357" i="3"/>
  <c r="L357" i="3"/>
  <c r="Y356" i="3"/>
  <c r="X356" i="3"/>
  <c r="L356" i="3"/>
  <c r="Y355" i="3"/>
  <c r="X355" i="3"/>
  <c r="L355" i="3"/>
  <c r="Y354" i="3"/>
  <c r="X354" i="3"/>
  <c r="L354" i="3"/>
  <c r="Y353" i="3"/>
  <c r="X353" i="3"/>
  <c r="L353" i="3"/>
  <c r="Y352" i="3"/>
  <c r="X352" i="3"/>
  <c r="L352" i="3"/>
  <c r="Y351" i="3"/>
  <c r="X351" i="3"/>
  <c r="L351" i="3"/>
  <c r="Y350" i="3"/>
  <c r="X350" i="3"/>
  <c r="L350" i="3"/>
  <c r="Y349" i="3"/>
  <c r="X349" i="3"/>
  <c r="L349" i="3"/>
  <c r="Y348" i="3"/>
  <c r="X348" i="3"/>
  <c r="L348" i="3"/>
  <c r="Y347" i="3"/>
  <c r="X347" i="3"/>
  <c r="M347" i="3"/>
  <c r="L347" i="3"/>
  <c r="Y346" i="3"/>
  <c r="X346" i="3"/>
  <c r="L346" i="3"/>
  <c r="Y345" i="3"/>
  <c r="X345" i="3"/>
  <c r="M345" i="3"/>
  <c r="L345" i="3"/>
  <c r="Y344" i="3"/>
  <c r="X344" i="3"/>
  <c r="L344" i="3"/>
  <c r="Y343" i="3"/>
  <c r="X343" i="3"/>
  <c r="L343" i="3"/>
  <c r="Y342" i="3"/>
  <c r="X342" i="3"/>
  <c r="L342" i="3"/>
  <c r="Y341" i="3"/>
  <c r="X341" i="3"/>
  <c r="L341" i="3"/>
  <c r="Y340" i="3"/>
  <c r="X340" i="3"/>
  <c r="L340" i="3"/>
  <c r="Y339" i="3"/>
  <c r="X339" i="3"/>
  <c r="L339" i="3"/>
  <c r="Y338" i="3"/>
  <c r="X338" i="3"/>
  <c r="L338" i="3"/>
  <c r="Y337" i="3"/>
  <c r="X337" i="3"/>
  <c r="L337" i="3"/>
  <c r="Y336" i="3"/>
  <c r="X336" i="3"/>
  <c r="L336" i="3"/>
  <c r="Y335" i="3"/>
  <c r="X335" i="3"/>
  <c r="L335" i="3"/>
  <c r="Y334" i="3"/>
  <c r="X334" i="3"/>
  <c r="L334" i="3"/>
  <c r="Y333" i="3"/>
  <c r="X333" i="3"/>
  <c r="L333" i="3"/>
  <c r="Y332" i="3"/>
  <c r="X332" i="3"/>
  <c r="L332" i="3"/>
  <c r="Y331" i="3"/>
  <c r="X331" i="3"/>
  <c r="L331" i="3"/>
  <c r="Y330" i="3"/>
  <c r="X330" i="3"/>
  <c r="L330" i="3"/>
  <c r="Y329" i="3"/>
  <c r="X329" i="3"/>
  <c r="L329" i="3"/>
  <c r="Y328" i="3"/>
  <c r="X328" i="3"/>
  <c r="L328" i="3"/>
  <c r="Y327" i="3"/>
  <c r="X327" i="3"/>
  <c r="L327" i="3"/>
  <c r="Y326" i="3"/>
  <c r="X326" i="3"/>
  <c r="L326" i="3"/>
  <c r="Y325" i="3"/>
  <c r="X325" i="3"/>
  <c r="L325" i="3"/>
  <c r="Y324" i="3"/>
  <c r="X324" i="3"/>
  <c r="L324" i="3"/>
  <c r="Y323" i="3"/>
  <c r="X323" i="3"/>
  <c r="L323" i="3"/>
  <c r="Y322" i="3"/>
  <c r="X322" i="3"/>
  <c r="L322" i="3"/>
  <c r="Y321" i="3"/>
  <c r="X321" i="3"/>
  <c r="L321" i="3"/>
  <c r="Y320" i="3"/>
  <c r="X320" i="3"/>
  <c r="L320" i="3"/>
  <c r="Y319" i="3"/>
  <c r="X319" i="3"/>
  <c r="L319" i="3"/>
  <c r="Y318" i="3"/>
  <c r="X318" i="3"/>
  <c r="L318" i="3"/>
  <c r="Y317" i="3"/>
  <c r="X317" i="3"/>
  <c r="L317" i="3"/>
  <c r="Y316" i="3"/>
  <c r="X316" i="3"/>
  <c r="L316" i="3"/>
  <c r="Y315" i="3"/>
  <c r="X315" i="3"/>
  <c r="L315" i="3"/>
  <c r="Y314" i="3"/>
  <c r="X314" i="3"/>
  <c r="L314" i="3"/>
  <c r="Y313" i="3"/>
  <c r="X313" i="3"/>
  <c r="L313" i="3"/>
  <c r="Y312" i="3"/>
  <c r="X312" i="3"/>
  <c r="M312" i="3"/>
  <c r="L312" i="3"/>
  <c r="Y311" i="3"/>
  <c r="X311" i="3"/>
  <c r="L311" i="3"/>
  <c r="Y310" i="3"/>
  <c r="X310" i="3"/>
  <c r="M310" i="3"/>
  <c r="L310" i="3"/>
  <c r="Y309" i="3"/>
  <c r="X309" i="3"/>
  <c r="L309" i="3"/>
  <c r="Y308" i="3"/>
  <c r="X308" i="3"/>
  <c r="L308" i="3"/>
  <c r="Y307" i="3"/>
  <c r="X307" i="3"/>
  <c r="L307" i="3"/>
  <c r="Y306" i="3"/>
  <c r="X306" i="3"/>
  <c r="L306" i="3"/>
  <c r="M308" i="3" s="1"/>
  <c r="Y305" i="3"/>
  <c r="X305" i="3"/>
  <c r="L305" i="3"/>
  <c r="Y304" i="3"/>
  <c r="X304" i="3"/>
  <c r="L304" i="3"/>
  <c r="Y303" i="3"/>
  <c r="X303" i="3"/>
  <c r="L303" i="3"/>
  <c r="Y302" i="3"/>
  <c r="X302" i="3"/>
  <c r="L302" i="3"/>
  <c r="Y301" i="3"/>
  <c r="X301" i="3"/>
  <c r="L301" i="3"/>
  <c r="Y300" i="3"/>
  <c r="X300" i="3"/>
  <c r="L300" i="3"/>
  <c r="Y299" i="3"/>
  <c r="X299" i="3"/>
  <c r="L299" i="3"/>
  <c r="Y298" i="3"/>
  <c r="X298" i="3"/>
  <c r="L298" i="3"/>
  <c r="Y297" i="3"/>
  <c r="X297" i="3"/>
  <c r="L297" i="3"/>
  <c r="Y296" i="3"/>
  <c r="X296" i="3"/>
  <c r="L296" i="3"/>
  <c r="Y295" i="3"/>
  <c r="X295" i="3"/>
  <c r="L295" i="3"/>
  <c r="Y294" i="3"/>
  <c r="X294" i="3"/>
  <c r="L294" i="3"/>
  <c r="Y293" i="3"/>
  <c r="X293" i="3"/>
  <c r="L293" i="3"/>
  <c r="Y292" i="3"/>
  <c r="X292" i="3"/>
  <c r="L292" i="3"/>
  <c r="Y291" i="3"/>
  <c r="X291" i="3"/>
  <c r="L291" i="3"/>
  <c r="Y290" i="3"/>
  <c r="X290" i="3"/>
  <c r="L290" i="3"/>
  <c r="Y289" i="3"/>
  <c r="X289" i="3"/>
  <c r="L289" i="3"/>
  <c r="Y288" i="3"/>
  <c r="X288" i="3"/>
  <c r="L288" i="3"/>
  <c r="Y287" i="3"/>
  <c r="X287" i="3"/>
  <c r="L287" i="3"/>
  <c r="Y286" i="3"/>
  <c r="X286" i="3"/>
  <c r="L286" i="3"/>
  <c r="Y285" i="3"/>
  <c r="X285" i="3"/>
  <c r="L285" i="3"/>
  <c r="Y284" i="3"/>
  <c r="X284" i="3"/>
  <c r="L284" i="3"/>
  <c r="Y283" i="3"/>
  <c r="X283" i="3"/>
  <c r="L283" i="3"/>
  <c r="Y282" i="3"/>
  <c r="X282" i="3"/>
  <c r="L282" i="3"/>
  <c r="Y281" i="3"/>
  <c r="X281" i="3"/>
  <c r="L281" i="3"/>
  <c r="Y280" i="3"/>
  <c r="X280" i="3"/>
  <c r="L280" i="3"/>
  <c r="Y279" i="3"/>
  <c r="X279" i="3"/>
  <c r="L279" i="3"/>
  <c r="Y278" i="3"/>
  <c r="X278" i="3"/>
  <c r="L278" i="3"/>
  <c r="Y277" i="3"/>
  <c r="X277" i="3"/>
  <c r="M277" i="3"/>
  <c r="L277" i="3"/>
  <c r="Y276" i="3"/>
  <c r="X276" i="3"/>
  <c r="L276" i="3"/>
  <c r="Y275" i="3"/>
  <c r="X275" i="3"/>
  <c r="M275" i="3"/>
  <c r="L275" i="3"/>
  <c r="Y274" i="3"/>
  <c r="X274" i="3"/>
  <c r="L274" i="3"/>
  <c r="Y273" i="3"/>
  <c r="X273" i="3"/>
  <c r="L273" i="3"/>
  <c r="Y272" i="3"/>
  <c r="X272" i="3"/>
  <c r="L272" i="3"/>
  <c r="M273" i="3" s="1"/>
  <c r="Y271" i="3"/>
  <c r="X271" i="3"/>
  <c r="L271" i="3"/>
  <c r="Y270" i="3"/>
  <c r="X270" i="3"/>
  <c r="L270" i="3"/>
  <c r="Y269" i="3"/>
  <c r="X269" i="3"/>
  <c r="L269" i="3"/>
  <c r="Y268" i="3"/>
  <c r="X268" i="3"/>
  <c r="L268" i="3"/>
  <c r="Y267" i="3"/>
  <c r="X267" i="3"/>
  <c r="L267" i="3"/>
  <c r="Y266" i="3"/>
  <c r="X266" i="3"/>
  <c r="L266" i="3"/>
  <c r="Y265" i="3"/>
  <c r="X265" i="3"/>
  <c r="L265" i="3"/>
  <c r="Y264" i="3"/>
  <c r="X264" i="3"/>
  <c r="L264" i="3"/>
  <c r="Y263" i="3"/>
  <c r="X263" i="3"/>
  <c r="L263" i="3"/>
  <c r="Y262" i="3"/>
  <c r="X262" i="3"/>
  <c r="L262" i="3"/>
  <c r="Y261" i="3"/>
  <c r="X261" i="3"/>
  <c r="L261" i="3"/>
  <c r="Y260" i="3"/>
  <c r="X260" i="3"/>
  <c r="L260" i="3"/>
  <c r="Y259" i="3"/>
  <c r="X259" i="3"/>
  <c r="L259" i="3"/>
  <c r="Y258" i="3"/>
  <c r="X258" i="3"/>
  <c r="L258" i="3"/>
  <c r="Y257" i="3"/>
  <c r="X257" i="3"/>
  <c r="L257" i="3"/>
  <c r="Y256" i="3"/>
  <c r="X256" i="3"/>
  <c r="L256" i="3"/>
  <c r="Y255" i="3"/>
  <c r="X255" i="3"/>
  <c r="L255" i="3"/>
  <c r="Y254" i="3"/>
  <c r="X254" i="3"/>
  <c r="L254" i="3"/>
  <c r="Y253" i="3"/>
  <c r="X253" i="3"/>
  <c r="L253" i="3"/>
  <c r="Y252" i="3"/>
  <c r="X252" i="3"/>
  <c r="L252" i="3"/>
  <c r="Y251" i="3"/>
  <c r="X251" i="3"/>
  <c r="L251" i="3"/>
  <c r="Y250" i="3"/>
  <c r="X250" i="3"/>
  <c r="L250" i="3"/>
  <c r="Y249" i="3"/>
  <c r="X249" i="3"/>
  <c r="L249" i="3"/>
  <c r="Y248" i="3"/>
  <c r="X248" i="3"/>
  <c r="L248" i="3"/>
  <c r="Y247" i="3"/>
  <c r="X247" i="3"/>
  <c r="L247" i="3"/>
  <c r="Y246" i="3"/>
  <c r="X246" i="3"/>
  <c r="L246" i="3"/>
  <c r="Y245" i="3"/>
  <c r="X245" i="3"/>
  <c r="L245" i="3"/>
  <c r="Y244" i="3"/>
  <c r="X244" i="3"/>
  <c r="L244" i="3"/>
  <c r="Y243" i="3"/>
  <c r="X243" i="3"/>
  <c r="L243" i="3"/>
  <c r="Y242" i="3"/>
  <c r="X242" i="3"/>
  <c r="L242" i="3"/>
  <c r="Y241" i="3"/>
  <c r="X241" i="3"/>
  <c r="L241" i="3"/>
  <c r="Y240" i="3"/>
  <c r="X240" i="3"/>
  <c r="L240" i="3"/>
  <c r="Y239" i="3"/>
  <c r="X239" i="3"/>
  <c r="L239" i="3"/>
  <c r="Y238" i="3"/>
  <c r="X238" i="3"/>
  <c r="L238" i="3"/>
  <c r="Y237" i="3"/>
  <c r="X237" i="3"/>
  <c r="L237" i="3"/>
  <c r="Y236" i="3"/>
  <c r="X236" i="3"/>
  <c r="L236" i="3"/>
  <c r="Y235" i="3"/>
  <c r="X235" i="3"/>
  <c r="M235" i="3"/>
  <c r="L235" i="3"/>
  <c r="Y234" i="3"/>
  <c r="X234" i="3"/>
  <c r="L234" i="3"/>
  <c r="Y233" i="3"/>
  <c r="X233" i="3"/>
  <c r="M233" i="3"/>
  <c r="L233" i="3"/>
  <c r="Y232" i="3"/>
  <c r="X232" i="3"/>
  <c r="L232" i="3"/>
  <c r="Y231" i="3"/>
  <c r="X231" i="3"/>
  <c r="L231" i="3"/>
  <c r="Y230" i="3"/>
  <c r="X230" i="3"/>
  <c r="L230" i="3"/>
  <c r="Y229" i="3"/>
  <c r="X229" i="3"/>
  <c r="L229" i="3"/>
  <c r="M231" i="3" s="1"/>
  <c r="Y228" i="3"/>
  <c r="X228" i="3"/>
  <c r="L228" i="3"/>
  <c r="Y227" i="3"/>
  <c r="X227" i="3"/>
  <c r="L227" i="3"/>
  <c r="Y226" i="3"/>
  <c r="X226" i="3"/>
  <c r="L226" i="3"/>
  <c r="Y225" i="3"/>
  <c r="X225" i="3"/>
  <c r="L225" i="3"/>
  <c r="Y224" i="3"/>
  <c r="X224" i="3"/>
  <c r="L224" i="3"/>
  <c r="Y223" i="3"/>
  <c r="X223" i="3"/>
  <c r="L223" i="3"/>
  <c r="Y222" i="3"/>
  <c r="X222" i="3"/>
  <c r="L222" i="3"/>
  <c r="Y221" i="3"/>
  <c r="X221" i="3"/>
  <c r="L221" i="3"/>
  <c r="Y220" i="3"/>
  <c r="X220" i="3"/>
  <c r="L220" i="3"/>
  <c r="Y219" i="3"/>
  <c r="X219" i="3"/>
  <c r="L219" i="3"/>
  <c r="Y218" i="3"/>
  <c r="X218" i="3"/>
  <c r="L218" i="3"/>
  <c r="Y217" i="3"/>
  <c r="X217" i="3"/>
  <c r="L217" i="3"/>
  <c r="Y216" i="3"/>
  <c r="X216" i="3"/>
  <c r="L216" i="3"/>
  <c r="Y215" i="3"/>
  <c r="X215" i="3"/>
  <c r="L215" i="3"/>
  <c r="Y214" i="3"/>
  <c r="X214" i="3"/>
  <c r="L214" i="3"/>
  <c r="Y213" i="3"/>
  <c r="X213" i="3"/>
  <c r="L213" i="3"/>
  <c r="Y212" i="3"/>
  <c r="X212" i="3"/>
  <c r="L212" i="3"/>
  <c r="Y211" i="3"/>
  <c r="X211" i="3"/>
  <c r="L211" i="3"/>
  <c r="Y210" i="3"/>
  <c r="X210" i="3"/>
  <c r="L210" i="3"/>
  <c r="Y209" i="3"/>
  <c r="X209" i="3"/>
  <c r="L209" i="3"/>
  <c r="Y208" i="3"/>
  <c r="X208" i="3"/>
  <c r="L208" i="3"/>
  <c r="Y207" i="3"/>
  <c r="X207" i="3"/>
  <c r="L207" i="3"/>
  <c r="Y206" i="3"/>
  <c r="X206" i="3"/>
  <c r="L206" i="3"/>
  <c r="Y205" i="3"/>
  <c r="X205" i="3"/>
  <c r="L205" i="3"/>
  <c r="Y204" i="3"/>
  <c r="X204" i="3"/>
  <c r="L204" i="3"/>
  <c r="Y203" i="3"/>
  <c r="X203" i="3"/>
  <c r="L203" i="3"/>
  <c r="Y202" i="3"/>
  <c r="X202" i="3"/>
  <c r="L202" i="3"/>
  <c r="Y201" i="3"/>
  <c r="X201" i="3"/>
  <c r="L201" i="3"/>
  <c r="Y200" i="3"/>
  <c r="X200" i="3"/>
  <c r="L200" i="3"/>
  <c r="Y199" i="3"/>
  <c r="X199" i="3"/>
  <c r="L199" i="3"/>
  <c r="Y198" i="3"/>
  <c r="X198" i="3"/>
  <c r="L198" i="3"/>
  <c r="Y197" i="3"/>
  <c r="X197" i="3"/>
  <c r="L197" i="3"/>
  <c r="Y196" i="3"/>
  <c r="X196" i="3"/>
  <c r="L196" i="3"/>
  <c r="Y195" i="3"/>
  <c r="X195" i="3"/>
  <c r="L195" i="3"/>
  <c r="Y194" i="3"/>
  <c r="X194" i="3"/>
  <c r="L194" i="3"/>
  <c r="Y193" i="3"/>
  <c r="X193" i="3"/>
  <c r="L193" i="3"/>
  <c r="Y192" i="3"/>
  <c r="X192" i="3"/>
  <c r="L192" i="3"/>
  <c r="Y191" i="3"/>
  <c r="X191" i="3"/>
  <c r="L191" i="3"/>
  <c r="Y190" i="3"/>
  <c r="X190" i="3"/>
  <c r="M190" i="3"/>
  <c r="L190" i="3"/>
  <c r="Y189" i="3"/>
  <c r="X189" i="3"/>
  <c r="L189" i="3"/>
  <c r="Y188" i="3"/>
  <c r="X188" i="3"/>
  <c r="M188" i="3"/>
  <c r="L188" i="3"/>
  <c r="Y187" i="3"/>
  <c r="X187" i="3"/>
  <c r="L187" i="3"/>
  <c r="Y186" i="3"/>
  <c r="X186" i="3"/>
  <c r="L186" i="3"/>
  <c r="Y185" i="3"/>
  <c r="X185" i="3"/>
  <c r="L185" i="3"/>
  <c r="M186" i="3" s="1"/>
  <c r="Y184" i="3"/>
  <c r="X184" i="3"/>
  <c r="L184" i="3"/>
  <c r="Y183" i="3"/>
  <c r="X183" i="3"/>
  <c r="L183" i="3"/>
  <c r="Y182" i="3"/>
  <c r="X182" i="3"/>
  <c r="L182" i="3"/>
  <c r="Y181" i="3"/>
  <c r="X181" i="3"/>
  <c r="L181" i="3"/>
  <c r="Y180" i="3"/>
  <c r="X180" i="3"/>
  <c r="L180" i="3"/>
  <c r="Y179" i="3"/>
  <c r="X179" i="3"/>
  <c r="L179" i="3"/>
  <c r="Y178" i="3"/>
  <c r="X178" i="3"/>
  <c r="L178" i="3"/>
  <c r="Y177" i="3"/>
  <c r="X177" i="3"/>
  <c r="L177" i="3"/>
  <c r="Y176" i="3"/>
  <c r="X176" i="3"/>
  <c r="L176" i="3"/>
  <c r="Y175" i="3"/>
  <c r="X175" i="3"/>
  <c r="L175" i="3"/>
  <c r="Y174" i="3"/>
  <c r="X174" i="3"/>
  <c r="L174" i="3"/>
  <c r="Y173" i="3"/>
  <c r="X173" i="3"/>
  <c r="L173" i="3"/>
  <c r="Y172" i="3"/>
  <c r="X172" i="3"/>
  <c r="L172" i="3"/>
  <c r="Y171" i="3"/>
  <c r="X171" i="3"/>
  <c r="L171" i="3"/>
  <c r="Y170" i="3"/>
  <c r="X170" i="3"/>
  <c r="L170" i="3"/>
  <c r="Y169" i="3"/>
  <c r="X169" i="3"/>
  <c r="L169" i="3"/>
  <c r="Y168" i="3"/>
  <c r="X168" i="3"/>
  <c r="L168" i="3"/>
  <c r="Y167" i="3"/>
  <c r="X167" i="3"/>
  <c r="L167" i="3"/>
  <c r="Y166" i="3"/>
  <c r="X166" i="3"/>
  <c r="L166" i="3"/>
  <c r="Y165" i="3"/>
  <c r="X165" i="3"/>
  <c r="L165" i="3"/>
  <c r="Y164" i="3"/>
  <c r="X164" i="3"/>
  <c r="L164" i="3"/>
  <c r="Y163" i="3"/>
  <c r="X163" i="3"/>
  <c r="L163" i="3"/>
  <c r="Y162" i="3"/>
  <c r="X162" i="3"/>
  <c r="L162" i="3"/>
  <c r="Y161" i="3"/>
  <c r="X161" i="3"/>
  <c r="L161" i="3"/>
  <c r="Y160" i="3"/>
  <c r="X160" i="3"/>
  <c r="L160" i="3"/>
  <c r="Y159" i="3"/>
  <c r="X159" i="3"/>
  <c r="L159" i="3"/>
  <c r="Y158" i="3"/>
  <c r="X158" i="3"/>
  <c r="L158" i="3"/>
  <c r="Y157" i="3"/>
  <c r="X157" i="3"/>
  <c r="L157" i="3"/>
  <c r="Y156" i="3"/>
  <c r="X156" i="3"/>
  <c r="L156" i="3"/>
  <c r="Y155" i="3"/>
  <c r="X155" i="3"/>
  <c r="L155" i="3"/>
  <c r="Y154" i="3"/>
  <c r="X154" i="3"/>
  <c r="L154" i="3"/>
  <c r="Y153" i="3"/>
  <c r="X153" i="3"/>
  <c r="L153" i="3"/>
  <c r="Y152" i="3"/>
  <c r="X152" i="3"/>
  <c r="L152" i="3"/>
  <c r="Y151" i="3"/>
  <c r="X151" i="3"/>
  <c r="L151" i="3"/>
  <c r="Y150" i="3"/>
  <c r="X150" i="3"/>
  <c r="L150" i="3"/>
  <c r="Y149" i="3"/>
  <c r="X149" i="3"/>
  <c r="L149" i="3"/>
  <c r="Y148" i="3"/>
  <c r="X148" i="3"/>
  <c r="L148" i="3"/>
  <c r="Y147" i="3"/>
  <c r="X147" i="3"/>
  <c r="L147" i="3"/>
  <c r="Y146" i="3"/>
  <c r="X146" i="3"/>
  <c r="M146" i="3"/>
  <c r="W8" i="3" s="1"/>
  <c r="L146" i="3"/>
  <c r="Y145" i="3"/>
  <c r="X145" i="3"/>
  <c r="L145" i="3"/>
  <c r="Y144" i="3"/>
  <c r="X144" i="3"/>
  <c r="M144" i="3"/>
  <c r="L144" i="3"/>
  <c r="Y143" i="3"/>
  <c r="X143" i="3"/>
  <c r="L143" i="3"/>
  <c r="Y142" i="3"/>
  <c r="X142" i="3"/>
  <c r="L142" i="3"/>
  <c r="Y141" i="3"/>
  <c r="X141" i="3"/>
  <c r="L141" i="3"/>
  <c r="Y140" i="3"/>
  <c r="X140" i="3"/>
  <c r="L140" i="3"/>
  <c r="Y139" i="3"/>
  <c r="X139" i="3"/>
  <c r="L139" i="3"/>
  <c r="Y138" i="3"/>
  <c r="X138" i="3"/>
  <c r="L138" i="3"/>
  <c r="Y137" i="3"/>
  <c r="X137" i="3"/>
  <c r="L137" i="3"/>
  <c r="Y136" i="3"/>
  <c r="X136" i="3"/>
  <c r="L136" i="3"/>
  <c r="Y135" i="3"/>
  <c r="X135" i="3"/>
  <c r="L135" i="3"/>
  <c r="Y134" i="3"/>
  <c r="X134" i="3"/>
  <c r="L134" i="3"/>
  <c r="Y133" i="3"/>
  <c r="X133" i="3"/>
  <c r="L133" i="3"/>
  <c r="Y132" i="3"/>
  <c r="X132" i="3"/>
  <c r="L132" i="3"/>
  <c r="Y131" i="3"/>
  <c r="X131" i="3"/>
  <c r="L131" i="3"/>
  <c r="Y130" i="3"/>
  <c r="X130" i="3"/>
  <c r="L130" i="3"/>
  <c r="Y129" i="3"/>
  <c r="X129" i="3"/>
  <c r="L129" i="3"/>
  <c r="Y128" i="3"/>
  <c r="X128" i="3"/>
  <c r="L128" i="3"/>
  <c r="Y127" i="3"/>
  <c r="X127" i="3"/>
  <c r="L127" i="3"/>
  <c r="Y126" i="3"/>
  <c r="X126" i="3"/>
  <c r="L126" i="3"/>
  <c r="Y125" i="3"/>
  <c r="X125" i="3"/>
  <c r="L125" i="3"/>
  <c r="Y124" i="3"/>
  <c r="X124" i="3"/>
  <c r="L124" i="3"/>
  <c r="Y123" i="3"/>
  <c r="X123" i="3"/>
  <c r="L123" i="3"/>
  <c r="Y122" i="3"/>
  <c r="X122" i="3"/>
  <c r="L122" i="3"/>
  <c r="Y121" i="3"/>
  <c r="X121" i="3"/>
  <c r="L121" i="3"/>
  <c r="Y120" i="3"/>
  <c r="X120" i="3"/>
  <c r="L120" i="3"/>
  <c r="Y119" i="3"/>
  <c r="X119" i="3"/>
  <c r="L119" i="3"/>
  <c r="Y118" i="3"/>
  <c r="X118" i="3"/>
  <c r="L118" i="3"/>
  <c r="Y117" i="3"/>
  <c r="X117" i="3"/>
  <c r="L117" i="3"/>
  <c r="Y116" i="3"/>
  <c r="X116" i="3"/>
  <c r="L116" i="3"/>
  <c r="Y115" i="3"/>
  <c r="X115" i="3"/>
  <c r="L115" i="3"/>
  <c r="Y114" i="3"/>
  <c r="X114" i="3"/>
  <c r="L114" i="3"/>
  <c r="Y113" i="3"/>
  <c r="X113" i="3"/>
  <c r="M113" i="3"/>
  <c r="W7" i="3" s="1"/>
  <c r="L113" i="3"/>
  <c r="Y112" i="3"/>
  <c r="X112" i="3"/>
  <c r="L112" i="3"/>
  <c r="Y111" i="3"/>
  <c r="X111" i="3"/>
  <c r="M111" i="3"/>
  <c r="L111" i="3"/>
  <c r="Y110" i="3"/>
  <c r="X110" i="3"/>
  <c r="L110" i="3"/>
  <c r="Y109" i="3"/>
  <c r="X109" i="3"/>
  <c r="L109" i="3"/>
  <c r="Y108" i="3"/>
  <c r="X108" i="3"/>
  <c r="L108" i="3"/>
  <c r="Y107" i="3"/>
  <c r="X107" i="3"/>
  <c r="L107" i="3"/>
  <c r="Y106" i="3"/>
  <c r="X106" i="3"/>
  <c r="L106" i="3"/>
  <c r="Y105" i="3"/>
  <c r="X105" i="3"/>
  <c r="L105" i="3"/>
  <c r="Y104" i="3"/>
  <c r="X104" i="3"/>
  <c r="L104" i="3"/>
  <c r="Y103" i="3"/>
  <c r="X103" i="3"/>
  <c r="L103" i="3"/>
  <c r="Y102" i="3"/>
  <c r="X102" i="3"/>
  <c r="L102" i="3"/>
  <c r="Y101" i="3"/>
  <c r="X101" i="3"/>
  <c r="L101" i="3"/>
  <c r="Y100" i="3"/>
  <c r="X100" i="3"/>
  <c r="L100" i="3"/>
  <c r="Y99" i="3"/>
  <c r="X99" i="3"/>
  <c r="L99" i="3"/>
  <c r="Y98" i="3"/>
  <c r="X98" i="3"/>
  <c r="L98" i="3"/>
  <c r="Y97" i="3"/>
  <c r="X97" i="3"/>
  <c r="L97" i="3"/>
  <c r="Y96" i="3"/>
  <c r="X96" i="3"/>
  <c r="L96" i="3"/>
  <c r="Y95" i="3"/>
  <c r="X95" i="3"/>
  <c r="L95" i="3"/>
  <c r="Y94" i="3"/>
  <c r="X94" i="3"/>
  <c r="L94" i="3"/>
  <c r="Y93" i="3"/>
  <c r="X93" i="3"/>
  <c r="L93" i="3"/>
  <c r="Y92" i="3"/>
  <c r="X92" i="3"/>
  <c r="L92" i="3"/>
  <c r="Y91" i="3"/>
  <c r="X91" i="3"/>
  <c r="L91" i="3"/>
  <c r="Y90" i="3"/>
  <c r="X90" i="3"/>
  <c r="L90" i="3"/>
  <c r="Y89" i="3"/>
  <c r="X89" i="3"/>
  <c r="L89" i="3"/>
  <c r="Y88" i="3"/>
  <c r="X88" i="3"/>
  <c r="L88" i="3"/>
  <c r="Y87" i="3"/>
  <c r="X87" i="3"/>
  <c r="L87" i="3"/>
  <c r="Y86" i="3"/>
  <c r="X86" i="3"/>
  <c r="L86" i="3"/>
  <c r="Y85" i="3"/>
  <c r="X85" i="3"/>
  <c r="L85" i="3"/>
  <c r="Y84" i="3"/>
  <c r="X84" i="3"/>
  <c r="L84" i="3"/>
  <c r="Y83" i="3"/>
  <c r="X83" i="3"/>
  <c r="L83" i="3"/>
  <c r="Y82" i="3"/>
  <c r="X82" i="3"/>
  <c r="M82" i="3"/>
  <c r="W6" i="3" s="1"/>
  <c r="L82" i="3"/>
  <c r="Y81" i="3"/>
  <c r="X81" i="3"/>
  <c r="L81" i="3"/>
  <c r="Y80" i="3"/>
  <c r="X80" i="3"/>
  <c r="M80" i="3"/>
  <c r="L80" i="3"/>
  <c r="Y79" i="3"/>
  <c r="X79" i="3"/>
  <c r="L79" i="3"/>
  <c r="Y78" i="3"/>
  <c r="X78" i="3"/>
  <c r="L78" i="3"/>
  <c r="Y77" i="3"/>
  <c r="X77" i="3"/>
  <c r="L77" i="3"/>
  <c r="Y76" i="3"/>
  <c r="X76" i="3"/>
  <c r="L76" i="3"/>
  <c r="Y75" i="3"/>
  <c r="X75" i="3"/>
  <c r="L75" i="3"/>
  <c r="Y74" i="3"/>
  <c r="X74" i="3"/>
  <c r="L74" i="3"/>
  <c r="Y73" i="3"/>
  <c r="X73" i="3"/>
  <c r="L73" i="3"/>
  <c r="Y72" i="3"/>
  <c r="X72" i="3"/>
  <c r="L72" i="3"/>
  <c r="Y71" i="3"/>
  <c r="X71" i="3"/>
  <c r="L71" i="3"/>
  <c r="Y70" i="3"/>
  <c r="X70" i="3"/>
  <c r="L70" i="3"/>
  <c r="Y69" i="3"/>
  <c r="X69" i="3"/>
  <c r="L69" i="3"/>
  <c r="Y68" i="3"/>
  <c r="X68" i="3"/>
  <c r="L68" i="3"/>
  <c r="Y67" i="3"/>
  <c r="X67" i="3"/>
  <c r="L67" i="3"/>
  <c r="Y66" i="3"/>
  <c r="X66" i="3"/>
  <c r="L66" i="3"/>
  <c r="Y65" i="3"/>
  <c r="X65" i="3"/>
  <c r="M65" i="3"/>
  <c r="W5" i="3" s="1"/>
  <c r="L65" i="3"/>
  <c r="Y64" i="3"/>
  <c r="X64" i="3"/>
  <c r="L64" i="3"/>
  <c r="Y63" i="3"/>
  <c r="X63" i="3"/>
  <c r="M63" i="3"/>
  <c r="L63" i="3"/>
  <c r="Y62" i="3"/>
  <c r="X62" i="3"/>
  <c r="L62" i="3"/>
  <c r="Y61" i="3"/>
  <c r="X61" i="3"/>
  <c r="L61" i="3"/>
  <c r="Y60" i="3"/>
  <c r="X60" i="3"/>
  <c r="L60" i="3"/>
  <c r="Y59" i="3"/>
  <c r="X59" i="3"/>
  <c r="L59" i="3"/>
  <c r="M61" i="3" s="1"/>
  <c r="Y58" i="3"/>
  <c r="X58" i="3"/>
  <c r="L58" i="3"/>
  <c r="Y57" i="3"/>
  <c r="X57" i="3"/>
  <c r="L57" i="3"/>
  <c r="Y56" i="3"/>
  <c r="X56" i="3"/>
  <c r="L56" i="3"/>
  <c r="Y55" i="3"/>
  <c r="X55" i="3"/>
  <c r="L55" i="3"/>
  <c r="Y54" i="3"/>
  <c r="X54" i="3"/>
  <c r="L54" i="3"/>
  <c r="Y53" i="3"/>
  <c r="X53" i="3"/>
  <c r="L53" i="3"/>
  <c r="Y52" i="3"/>
  <c r="X52" i="3"/>
  <c r="L52" i="3"/>
  <c r="Y51" i="3"/>
  <c r="X51" i="3"/>
  <c r="L51" i="3"/>
  <c r="Y50" i="3"/>
  <c r="X50" i="3"/>
  <c r="L50" i="3"/>
  <c r="Y49" i="3"/>
  <c r="X49" i="3"/>
  <c r="L49" i="3"/>
  <c r="Y48" i="3"/>
  <c r="X48" i="3"/>
  <c r="L48" i="3"/>
  <c r="Y47" i="3"/>
  <c r="X47" i="3"/>
  <c r="L47" i="3"/>
  <c r="Y46" i="3"/>
  <c r="X46" i="3"/>
  <c r="L46" i="3"/>
  <c r="Y45" i="3"/>
  <c r="X45" i="3"/>
  <c r="L45" i="3"/>
  <c r="Y44" i="3"/>
  <c r="X44" i="3"/>
  <c r="L44" i="3"/>
  <c r="Y43" i="3"/>
  <c r="X43" i="3"/>
  <c r="L43" i="3"/>
  <c r="Y42" i="3"/>
  <c r="X42" i="3"/>
  <c r="L42" i="3"/>
  <c r="Y41" i="3"/>
  <c r="X41" i="3"/>
  <c r="L41" i="3"/>
  <c r="Y40" i="3"/>
  <c r="X40" i="3"/>
  <c r="L40" i="3"/>
  <c r="Y39" i="3"/>
  <c r="X39" i="3"/>
  <c r="L39" i="3"/>
  <c r="Y38" i="3"/>
  <c r="X38" i="3"/>
  <c r="L38" i="3"/>
  <c r="Y37" i="3"/>
  <c r="X37" i="3"/>
  <c r="L37" i="3"/>
  <c r="Y36" i="3"/>
  <c r="X36" i="3"/>
  <c r="M36" i="3"/>
  <c r="L36" i="3"/>
  <c r="Y35" i="3"/>
  <c r="X35" i="3"/>
  <c r="L35" i="3"/>
  <c r="Y34" i="3"/>
  <c r="X34" i="3"/>
  <c r="M34" i="3"/>
  <c r="U4" i="3" s="1"/>
  <c r="L34" i="3"/>
  <c r="Y33" i="3"/>
  <c r="X33" i="3"/>
  <c r="L33" i="3"/>
  <c r="Y32" i="3"/>
  <c r="X32" i="3"/>
  <c r="L32" i="3"/>
  <c r="Y31" i="3"/>
  <c r="X31" i="3"/>
  <c r="L31" i="3"/>
  <c r="Y30" i="3"/>
  <c r="X30" i="3"/>
  <c r="L30" i="3"/>
  <c r="Y29" i="3"/>
  <c r="X29" i="3"/>
  <c r="L29" i="3"/>
  <c r="Y28" i="3"/>
  <c r="X28" i="3"/>
  <c r="L28" i="3"/>
  <c r="Y27" i="3"/>
  <c r="X27" i="3"/>
  <c r="L27" i="3"/>
  <c r="Y26" i="3"/>
  <c r="X26" i="3"/>
  <c r="L26" i="3"/>
  <c r="Y25" i="3"/>
  <c r="X25" i="3"/>
  <c r="L25" i="3"/>
  <c r="Y24" i="3"/>
  <c r="X24" i="3"/>
  <c r="L24" i="3"/>
  <c r="Y23" i="3"/>
  <c r="X23" i="3"/>
  <c r="L23" i="3"/>
  <c r="Y22" i="3"/>
  <c r="X22" i="3"/>
  <c r="L22" i="3"/>
  <c r="Y21" i="3"/>
  <c r="X21" i="3"/>
  <c r="L21" i="3"/>
  <c r="Y20" i="3"/>
  <c r="X20" i="3"/>
  <c r="L20" i="3"/>
  <c r="Y19" i="3"/>
  <c r="X19" i="3"/>
  <c r="L19" i="3"/>
  <c r="Y18" i="3"/>
  <c r="X18" i="3"/>
  <c r="L18" i="3"/>
  <c r="Y17" i="3"/>
  <c r="X17" i="3"/>
  <c r="L17" i="3"/>
  <c r="Y16" i="3"/>
  <c r="X16" i="3"/>
  <c r="L16" i="3"/>
  <c r="Y15" i="3"/>
  <c r="X15" i="3"/>
  <c r="L15" i="3"/>
  <c r="Y14" i="3"/>
  <c r="X14" i="3"/>
  <c r="W14" i="3"/>
  <c r="L14" i="3"/>
  <c r="Y13" i="3"/>
  <c r="X13" i="3"/>
  <c r="W13" i="3"/>
  <c r="U13" i="3"/>
  <c r="L13" i="3"/>
  <c r="Y12" i="3"/>
  <c r="X12" i="3"/>
  <c r="W12" i="3"/>
  <c r="U12" i="3"/>
  <c r="L12" i="3"/>
  <c r="Y11" i="3"/>
  <c r="X11" i="3"/>
  <c r="W11" i="3"/>
  <c r="U11" i="3"/>
  <c r="L11" i="3"/>
  <c r="Y10" i="3"/>
  <c r="X10" i="3"/>
  <c r="W10" i="3"/>
  <c r="U10" i="3"/>
  <c r="L10" i="3"/>
  <c r="Y9" i="3"/>
  <c r="X9" i="3"/>
  <c r="W9" i="3"/>
  <c r="U9" i="3"/>
  <c r="M9" i="3"/>
  <c r="W3" i="3" s="1"/>
  <c r="L9" i="3"/>
  <c r="Y8" i="3"/>
  <c r="X8" i="3"/>
  <c r="U8" i="3"/>
  <c r="L8" i="3"/>
  <c r="Y7" i="3"/>
  <c r="X7" i="3"/>
  <c r="U7" i="3"/>
  <c r="M7" i="3"/>
  <c r="U3" i="3" s="1"/>
  <c r="L7" i="3"/>
  <c r="Y6" i="3"/>
  <c r="X6" i="3"/>
  <c r="U6" i="3"/>
  <c r="L6" i="3"/>
  <c r="Y5" i="3"/>
  <c r="X5" i="3"/>
  <c r="U5" i="3"/>
  <c r="L5" i="3"/>
  <c r="Y4" i="3"/>
  <c r="X4" i="3"/>
  <c r="W4" i="3"/>
  <c r="L4" i="3"/>
  <c r="Y3" i="3"/>
  <c r="X3" i="3"/>
  <c r="L3" i="3"/>
  <c r="S2" i="3"/>
  <c r="N2" i="3"/>
  <c r="J2" i="3"/>
  <c r="I2" i="3"/>
  <c r="N1" i="3"/>
  <c r="I26" i="2"/>
  <c r="D26" i="2"/>
  <c r="B26" i="2"/>
  <c r="B24" i="2"/>
  <c r="D18" i="2"/>
  <c r="B18" i="2"/>
  <c r="B17" i="2"/>
  <c r="D17" i="2" s="1"/>
  <c r="B12" i="2"/>
  <c r="B14" i="2" s="1"/>
  <c r="D11" i="2"/>
  <c r="B11" i="2"/>
  <c r="B10" i="2"/>
  <c r="D10" i="2" s="1"/>
  <c r="Q8" i="2"/>
  <c r="Q9" i="2" s="1"/>
  <c r="O7" i="2"/>
  <c r="O4" i="2"/>
  <c r="M4" i="2"/>
  <c r="L4" i="2"/>
  <c r="D4" i="2"/>
  <c r="B4" i="2"/>
  <c r="B5" i="2" s="1"/>
  <c r="B7" i="2" s="1"/>
  <c r="B3" i="2"/>
  <c r="D3" i="2" s="1"/>
  <c r="Y898" i="1"/>
  <c r="X898" i="1"/>
  <c r="Y897" i="1"/>
  <c r="X897" i="1"/>
  <c r="Y896" i="1"/>
  <c r="X896" i="1"/>
  <c r="Y895" i="1"/>
  <c r="X895" i="1"/>
  <c r="Y894" i="1"/>
  <c r="X894" i="1"/>
  <c r="Y893" i="1"/>
  <c r="X893" i="1"/>
  <c r="Y892" i="1"/>
  <c r="X892" i="1"/>
  <c r="Y891" i="1"/>
  <c r="X891" i="1"/>
  <c r="Y890" i="1"/>
  <c r="X890" i="1"/>
  <c r="Y889" i="1"/>
  <c r="X889" i="1"/>
  <c r="Y888" i="1"/>
  <c r="X888" i="1"/>
  <c r="Y887" i="1"/>
  <c r="X887" i="1"/>
  <c r="Y886" i="1"/>
  <c r="X886" i="1"/>
  <c r="Y885" i="1"/>
  <c r="X885" i="1"/>
  <c r="Y884" i="1"/>
  <c r="X884" i="1"/>
  <c r="Y883" i="1"/>
  <c r="X883" i="1"/>
  <c r="Y882" i="1"/>
  <c r="X882" i="1"/>
  <c r="Y881" i="1"/>
  <c r="X881" i="1"/>
  <c r="Y880" i="1"/>
  <c r="X880" i="1"/>
  <c r="Y879" i="1"/>
  <c r="X879" i="1"/>
  <c r="Y878" i="1"/>
  <c r="X878" i="1"/>
  <c r="Y877" i="1"/>
  <c r="X877" i="1"/>
  <c r="Y876" i="1"/>
  <c r="X876" i="1"/>
  <c r="Y875" i="1"/>
  <c r="X875" i="1"/>
  <c r="Y874" i="1"/>
  <c r="X874" i="1"/>
  <c r="Y873" i="1"/>
  <c r="X873" i="1"/>
  <c r="Y872" i="1"/>
  <c r="X872" i="1"/>
  <c r="Y871" i="1"/>
  <c r="X871" i="1"/>
  <c r="Y870" i="1"/>
  <c r="X870" i="1"/>
  <c r="Y869" i="1"/>
  <c r="X869" i="1"/>
  <c r="Y868" i="1"/>
  <c r="X868" i="1"/>
  <c r="Y867" i="1"/>
  <c r="X867" i="1"/>
  <c r="Y866" i="1"/>
  <c r="X866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L632" i="1"/>
  <c r="Y631" i="1"/>
  <c r="X631" i="1"/>
  <c r="L631" i="1"/>
  <c r="Y630" i="1"/>
  <c r="X630" i="1"/>
  <c r="L630" i="1"/>
  <c r="Y629" i="1"/>
  <c r="X629" i="1"/>
  <c r="L629" i="1"/>
  <c r="Y628" i="1"/>
  <c r="X628" i="1"/>
  <c r="L628" i="1"/>
  <c r="Y627" i="1"/>
  <c r="X627" i="1"/>
  <c r="L627" i="1"/>
  <c r="Y626" i="1"/>
  <c r="X626" i="1"/>
  <c r="L626" i="1"/>
  <c r="Y625" i="1"/>
  <c r="X625" i="1"/>
  <c r="L625" i="1"/>
  <c r="Y624" i="1"/>
  <c r="X624" i="1"/>
  <c r="L624" i="1"/>
  <c r="Y623" i="1"/>
  <c r="X623" i="1"/>
  <c r="L623" i="1"/>
  <c r="Y622" i="1"/>
  <c r="X622" i="1"/>
  <c r="L622" i="1"/>
  <c r="Y621" i="1"/>
  <c r="X621" i="1"/>
  <c r="L621" i="1"/>
  <c r="Y620" i="1"/>
  <c r="X620" i="1"/>
  <c r="L620" i="1"/>
  <c r="Y619" i="1"/>
  <c r="X619" i="1"/>
  <c r="L619" i="1"/>
  <c r="Y618" i="1"/>
  <c r="X618" i="1"/>
  <c r="L618" i="1"/>
  <c r="Y617" i="1"/>
  <c r="X617" i="1"/>
  <c r="L617" i="1"/>
  <c r="Y616" i="1"/>
  <c r="X616" i="1"/>
  <c r="L616" i="1"/>
  <c r="Y615" i="1"/>
  <c r="X615" i="1"/>
  <c r="L615" i="1"/>
  <c r="Y614" i="1"/>
  <c r="X614" i="1"/>
  <c r="L614" i="1"/>
  <c r="Y613" i="1"/>
  <c r="X613" i="1"/>
  <c r="L613" i="1"/>
  <c r="Y612" i="1"/>
  <c r="X612" i="1"/>
  <c r="L612" i="1"/>
  <c r="Y611" i="1"/>
  <c r="X611" i="1"/>
  <c r="L611" i="1"/>
  <c r="Y610" i="1"/>
  <c r="X610" i="1"/>
  <c r="L610" i="1"/>
  <c r="Y609" i="1"/>
  <c r="X609" i="1"/>
  <c r="L609" i="1"/>
  <c r="Y608" i="1"/>
  <c r="X608" i="1"/>
  <c r="L608" i="1"/>
  <c r="Y607" i="1"/>
  <c r="X607" i="1"/>
  <c r="L607" i="1"/>
  <c r="Y606" i="1"/>
  <c r="X606" i="1"/>
  <c r="L606" i="1"/>
  <c r="Y605" i="1"/>
  <c r="X605" i="1"/>
  <c r="L605" i="1"/>
  <c r="Y604" i="1"/>
  <c r="X604" i="1"/>
  <c r="L604" i="1"/>
  <c r="Y603" i="1"/>
  <c r="X603" i="1"/>
  <c r="L603" i="1"/>
  <c r="Y602" i="1"/>
  <c r="X602" i="1"/>
  <c r="L602" i="1"/>
  <c r="Y601" i="1"/>
  <c r="X601" i="1"/>
  <c r="L601" i="1"/>
  <c r="Y600" i="1"/>
  <c r="X600" i="1"/>
  <c r="L600" i="1"/>
  <c r="Y599" i="1"/>
  <c r="X599" i="1"/>
  <c r="L599" i="1"/>
  <c r="Y598" i="1"/>
  <c r="X598" i="1"/>
  <c r="L598" i="1"/>
  <c r="Y597" i="1"/>
  <c r="X597" i="1"/>
  <c r="L597" i="1"/>
  <c r="Y596" i="1"/>
  <c r="X596" i="1"/>
  <c r="L596" i="1"/>
  <c r="Y595" i="1"/>
  <c r="X595" i="1"/>
  <c r="L595" i="1"/>
  <c r="Y594" i="1"/>
  <c r="X594" i="1"/>
  <c r="L594" i="1"/>
  <c r="Y593" i="1"/>
  <c r="X593" i="1"/>
  <c r="L593" i="1"/>
  <c r="Y592" i="1"/>
  <c r="X592" i="1"/>
  <c r="L592" i="1"/>
  <c r="Y591" i="1"/>
  <c r="X591" i="1"/>
  <c r="L591" i="1"/>
  <c r="Y590" i="1"/>
  <c r="X590" i="1"/>
  <c r="L590" i="1"/>
  <c r="Y589" i="1"/>
  <c r="X589" i="1"/>
  <c r="L589" i="1"/>
  <c r="Y588" i="1"/>
  <c r="X588" i="1"/>
  <c r="L588" i="1"/>
  <c r="Y587" i="1"/>
  <c r="X587" i="1"/>
  <c r="L587" i="1"/>
  <c r="Y586" i="1"/>
  <c r="X586" i="1"/>
  <c r="L586" i="1"/>
  <c r="Y585" i="1"/>
  <c r="X585" i="1"/>
  <c r="L585" i="1"/>
  <c r="Y584" i="1"/>
  <c r="X584" i="1"/>
  <c r="L584" i="1"/>
  <c r="Y583" i="1"/>
  <c r="X583" i="1"/>
  <c r="L583" i="1"/>
  <c r="Y582" i="1"/>
  <c r="X582" i="1"/>
  <c r="L582" i="1"/>
  <c r="Y581" i="1"/>
  <c r="X581" i="1"/>
  <c r="L581" i="1"/>
  <c r="Y580" i="1"/>
  <c r="X580" i="1"/>
  <c r="L580" i="1"/>
  <c r="Y579" i="1"/>
  <c r="X579" i="1"/>
  <c r="L579" i="1"/>
  <c r="Y578" i="1"/>
  <c r="X578" i="1"/>
  <c r="L578" i="1"/>
  <c r="Y577" i="1"/>
  <c r="X577" i="1"/>
  <c r="L577" i="1"/>
  <c r="Y576" i="1"/>
  <c r="X576" i="1"/>
  <c r="L576" i="1"/>
  <c r="Y575" i="1"/>
  <c r="X575" i="1"/>
  <c r="L575" i="1"/>
  <c r="Y574" i="1"/>
  <c r="X574" i="1"/>
  <c r="L574" i="1"/>
  <c r="Y573" i="1"/>
  <c r="X573" i="1"/>
  <c r="L573" i="1"/>
  <c r="Y572" i="1"/>
  <c r="X572" i="1"/>
  <c r="L572" i="1"/>
  <c r="Y571" i="1"/>
  <c r="X571" i="1"/>
  <c r="L571" i="1"/>
  <c r="Y570" i="1"/>
  <c r="X570" i="1"/>
  <c r="L570" i="1"/>
  <c r="Y569" i="1"/>
  <c r="X569" i="1"/>
  <c r="L569" i="1"/>
  <c r="Y568" i="1"/>
  <c r="X568" i="1"/>
  <c r="L568" i="1"/>
  <c r="Y567" i="1"/>
  <c r="X567" i="1"/>
  <c r="L567" i="1"/>
  <c r="Y566" i="1"/>
  <c r="X566" i="1"/>
  <c r="L566" i="1"/>
  <c r="Y565" i="1"/>
  <c r="X565" i="1"/>
  <c r="L565" i="1"/>
  <c r="Y564" i="1"/>
  <c r="X564" i="1"/>
  <c r="L564" i="1"/>
  <c r="Y563" i="1"/>
  <c r="X563" i="1"/>
  <c r="L563" i="1"/>
  <c r="Y562" i="1"/>
  <c r="X562" i="1"/>
  <c r="L562" i="1"/>
  <c r="Y561" i="1"/>
  <c r="X561" i="1"/>
  <c r="L561" i="1"/>
  <c r="Y560" i="1"/>
  <c r="X560" i="1"/>
  <c r="L560" i="1"/>
  <c r="Y559" i="1"/>
  <c r="X559" i="1"/>
  <c r="L559" i="1"/>
  <c r="Y558" i="1"/>
  <c r="X558" i="1"/>
  <c r="L558" i="1"/>
  <c r="Y557" i="1"/>
  <c r="X557" i="1"/>
  <c r="L557" i="1"/>
  <c r="Y556" i="1"/>
  <c r="X556" i="1"/>
  <c r="L556" i="1"/>
  <c r="Y555" i="1"/>
  <c r="X555" i="1"/>
  <c r="L555" i="1"/>
  <c r="Y554" i="1"/>
  <c r="X554" i="1"/>
  <c r="L554" i="1"/>
  <c r="Y553" i="1"/>
  <c r="X553" i="1"/>
  <c r="L553" i="1"/>
  <c r="Y552" i="1"/>
  <c r="X552" i="1"/>
  <c r="L552" i="1"/>
  <c r="Y551" i="1"/>
  <c r="X551" i="1"/>
  <c r="L551" i="1"/>
  <c r="Y550" i="1"/>
  <c r="X550" i="1"/>
  <c r="L550" i="1"/>
  <c r="Y549" i="1"/>
  <c r="X549" i="1"/>
  <c r="L549" i="1"/>
  <c r="Y548" i="1"/>
  <c r="X548" i="1"/>
  <c r="L548" i="1"/>
  <c r="Y547" i="1"/>
  <c r="X547" i="1"/>
  <c r="L547" i="1"/>
  <c r="Y546" i="1"/>
  <c r="X546" i="1"/>
  <c r="L546" i="1"/>
  <c r="Y545" i="1"/>
  <c r="X545" i="1"/>
  <c r="L545" i="1"/>
  <c r="Y544" i="1"/>
  <c r="X544" i="1"/>
  <c r="L544" i="1"/>
  <c r="Y543" i="1"/>
  <c r="X543" i="1"/>
  <c r="L543" i="1"/>
  <c r="Y542" i="1"/>
  <c r="X542" i="1"/>
  <c r="L542" i="1"/>
  <c r="Y541" i="1"/>
  <c r="X541" i="1"/>
  <c r="L541" i="1"/>
  <c r="Y540" i="1"/>
  <c r="X540" i="1"/>
  <c r="L540" i="1"/>
  <c r="Y539" i="1"/>
  <c r="X539" i="1"/>
  <c r="L539" i="1"/>
  <c r="Y538" i="1"/>
  <c r="X538" i="1"/>
  <c r="L538" i="1"/>
  <c r="Y537" i="1"/>
  <c r="X537" i="1"/>
  <c r="L537" i="1"/>
  <c r="Y536" i="1"/>
  <c r="X536" i="1"/>
  <c r="L536" i="1"/>
  <c r="Y535" i="1"/>
  <c r="X535" i="1"/>
  <c r="L535" i="1"/>
  <c r="Y534" i="1"/>
  <c r="X534" i="1"/>
  <c r="L534" i="1"/>
  <c r="Y533" i="1"/>
  <c r="X533" i="1"/>
  <c r="L533" i="1"/>
  <c r="Y532" i="1"/>
  <c r="X532" i="1"/>
  <c r="L532" i="1"/>
  <c r="Y531" i="1"/>
  <c r="X531" i="1"/>
  <c r="L531" i="1"/>
  <c r="Y530" i="1"/>
  <c r="X530" i="1"/>
  <c r="L530" i="1"/>
  <c r="Y529" i="1"/>
  <c r="X529" i="1"/>
  <c r="L529" i="1"/>
  <c r="Y528" i="1"/>
  <c r="X528" i="1"/>
  <c r="L528" i="1"/>
  <c r="Y527" i="1"/>
  <c r="X527" i="1"/>
  <c r="L527" i="1"/>
  <c r="Y526" i="1"/>
  <c r="X526" i="1"/>
  <c r="L526" i="1"/>
  <c r="Y525" i="1"/>
  <c r="X525" i="1"/>
  <c r="L525" i="1"/>
  <c r="Y524" i="1"/>
  <c r="X524" i="1"/>
  <c r="L524" i="1"/>
  <c r="Y523" i="1"/>
  <c r="X523" i="1"/>
  <c r="L523" i="1"/>
  <c r="Y522" i="1"/>
  <c r="X522" i="1"/>
  <c r="L522" i="1"/>
  <c r="Y521" i="1"/>
  <c r="X521" i="1"/>
  <c r="L521" i="1"/>
  <c r="Y520" i="1"/>
  <c r="X520" i="1"/>
  <c r="L520" i="1"/>
  <c r="Y519" i="1"/>
  <c r="X519" i="1"/>
  <c r="L519" i="1"/>
  <c r="Y518" i="1"/>
  <c r="X518" i="1"/>
  <c r="L518" i="1"/>
  <c r="Y517" i="1"/>
  <c r="X517" i="1"/>
  <c r="L517" i="1"/>
  <c r="Y516" i="1"/>
  <c r="X516" i="1"/>
  <c r="L516" i="1"/>
  <c r="Y515" i="1"/>
  <c r="X515" i="1"/>
  <c r="L515" i="1"/>
  <c r="Y514" i="1"/>
  <c r="X514" i="1"/>
  <c r="L514" i="1"/>
  <c r="Y513" i="1"/>
  <c r="X513" i="1"/>
  <c r="L513" i="1"/>
  <c r="Y512" i="1"/>
  <c r="X512" i="1"/>
  <c r="L512" i="1"/>
  <c r="Y511" i="1"/>
  <c r="X511" i="1"/>
  <c r="L511" i="1"/>
  <c r="Y510" i="1"/>
  <c r="X510" i="1"/>
  <c r="L510" i="1"/>
  <c r="Y509" i="1"/>
  <c r="X509" i="1"/>
  <c r="L509" i="1"/>
  <c r="Y508" i="1"/>
  <c r="X508" i="1"/>
  <c r="L508" i="1"/>
  <c r="Y507" i="1"/>
  <c r="X507" i="1"/>
  <c r="L507" i="1"/>
  <c r="Y506" i="1"/>
  <c r="X506" i="1"/>
  <c r="L506" i="1"/>
  <c r="Y505" i="1"/>
  <c r="X505" i="1"/>
  <c r="L505" i="1"/>
  <c r="Y504" i="1"/>
  <c r="X504" i="1"/>
  <c r="L504" i="1"/>
  <c r="Y503" i="1"/>
  <c r="X503" i="1"/>
  <c r="L503" i="1"/>
  <c r="Y502" i="1"/>
  <c r="X502" i="1"/>
  <c r="L502" i="1"/>
  <c r="Y501" i="1"/>
  <c r="X501" i="1"/>
  <c r="L501" i="1"/>
  <c r="Y500" i="1"/>
  <c r="X500" i="1"/>
  <c r="L500" i="1"/>
  <c r="Y499" i="1"/>
  <c r="X499" i="1"/>
  <c r="L499" i="1"/>
  <c r="Y498" i="1"/>
  <c r="X498" i="1"/>
  <c r="L498" i="1"/>
  <c r="Y497" i="1"/>
  <c r="X497" i="1"/>
  <c r="L497" i="1"/>
  <c r="Y496" i="1"/>
  <c r="X496" i="1"/>
  <c r="L496" i="1"/>
  <c r="Y495" i="1"/>
  <c r="X495" i="1"/>
  <c r="L495" i="1"/>
  <c r="Y494" i="1"/>
  <c r="X494" i="1"/>
  <c r="L494" i="1"/>
  <c r="Y493" i="1"/>
  <c r="X493" i="1"/>
  <c r="L493" i="1"/>
  <c r="Y492" i="1"/>
  <c r="X492" i="1"/>
  <c r="L492" i="1"/>
  <c r="Y491" i="1"/>
  <c r="X491" i="1"/>
  <c r="L491" i="1"/>
  <c r="Y490" i="1"/>
  <c r="X490" i="1"/>
  <c r="L490" i="1"/>
  <c r="Y489" i="1"/>
  <c r="X489" i="1"/>
  <c r="L489" i="1"/>
  <c r="Y488" i="1"/>
  <c r="X488" i="1"/>
  <c r="L488" i="1"/>
  <c r="Y487" i="1"/>
  <c r="X487" i="1"/>
  <c r="L487" i="1"/>
  <c r="Y486" i="1"/>
  <c r="X486" i="1"/>
  <c r="L486" i="1"/>
  <c r="Y485" i="1"/>
  <c r="X485" i="1"/>
  <c r="L485" i="1"/>
  <c r="Y484" i="1"/>
  <c r="X484" i="1"/>
  <c r="L484" i="1"/>
  <c r="Y483" i="1"/>
  <c r="X483" i="1"/>
  <c r="L483" i="1"/>
  <c r="Y482" i="1"/>
  <c r="X482" i="1"/>
  <c r="L482" i="1"/>
  <c r="Y481" i="1"/>
  <c r="X481" i="1"/>
  <c r="L481" i="1"/>
  <c r="Y480" i="1"/>
  <c r="X480" i="1"/>
  <c r="L480" i="1"/>
  <c r="Y479" i="1"/>
  <c r="X479" i="1"/>
  <c r="L479" i="1"/>
  <c r="Y478" i="1"/>
  <c r="X478" i="1"/>
  <c r="L478" i="1"/>
  <c r="Y477" i="1"/>
  <c r="X477" i="1"/>
  <c r="L477" i="1"/>
  <c r="Y476" i="1"/>
  <c r="X476" i="1"/>
  <c r="L476" i="1"/>
  <c r="Y475" i="1"/>
  <c r="X475" i="1"/>
  <c r="L475" i="1"/>
  <c r="Y474" i="1"/>
  <c r="X474" i="1"/>
  <c r="L474" i="1"/>
  <c r="Y473" i="1"/>
  <c r="X473" i="1"/>
  <c r="L473" i="1"/>
  <c r="Y472" i="1"/>
  <c r="X472" i="1"/>
  <c r="L472" i="1"/>
  <c r="Y471" i="1"/>
  <c r="X471" i="1"/>
  <c r="L471" i="1"/>
  <c r="Y470" i="1"/>
  <c r="X470" i="1"/>
  <c r="L470" i="1"/>
  <c r="Y469" i="1"/>
  <c r="X469" i="1"/>
  <c r="L469" i="1"/>
  <c r="Y468" i="1"/>
  <c r="X468" i="1"/>
  <c r="L468" i="1"/>
  <c r="Y467" i="1"/>
  <c r="X467" i="1"/>
  <c r="L467" i="1"/>
  <c r="Y466" i="1"/>
  <c r="X466" i="1"/>
  <c r="L466" i="1"/>
  <c r="Y465" i="1"/>
  <c r="X465" i="1"/>
  <c r="L465" i="1"/>
  <c r="Y464" i="1"/>
  <c r="X464" i="1"/>
  <c r="L464" i="1"/>
  <c r="Y463" i="1"/>
  <c r="X463" i="1"/>
  <c r="L463" i="1"/>
  <c r="Y462" i="1"/>
  <c r="X462" i="1"/>
  <c r="L462" i="1"/>
  <c r="Y461" i="1"/>
  <c r="X461" i="1"/>
  <c r="L461" i="1"/>
  <c r="Y460" i="1"/>
  <c r="X460" i="1"/>
  <c r="L460" i="1"/>
  <c r="Y459" i="1"/>
  <c r="X459" i="1"/>
  <c r="L459" i="1"/>
  <c r="Y458" i="1"/>
  <c r="X458" i="1"/>
  <c r="L458" i="1"/>
  <c r="Y457" i="1"/>
  <c r="X457" i="1"/>
  <c r="L457" i="1"/>
  <c r="Y456" i="1"/>
  <c r="X456" i="1"/>
  <c r="L456" i="1"/>
  <c r="Y455" i="1"/>
  <c r="X455" i="1"/>
  <c r="L455" i="1"/>
  <c r="Y454" i="1"/>
  <c r="X454" i="1"/>
  <c r="L454" i="1"/>
  <c r="Y453" i="1"/>
  <c r="X453" i="1"/>
  <c r="L453" i="1"/>
  <c r="Y452" i="1"/>
  <c r="X452" i="1"/>
  <c r="L452" i="1"/>
  <c r="Y451" i="1"/>
  <c r="X451" i="1"/>
  <c r="L451" i="1"/>
  <c r="Y450" i="1"/>
  <c r="X450" i="1"/>
  <c r="L450" i="1"/>
  <c r="Y449" i="1"/>
  <c r="X449" i="1"/>
  <c r="L449" i="1"/>
  <c r="Y448" i="1"/>
  <c r="X448" i="1"/>
  <c r="L448" i="1"/>
  <c r="Y447" i="1"/>
  <c r="X447" i="1"/>
  <c r="L447" i="1"/>
  <c r="Y446" i="1"/>
  <c r="X446" i="1"/>
  <c r="L446" i="1"/>
  <c r="Y445" i="1"/>
  <c r="X445" i="1"/>
  <c r="L445" i="1"/>
  <c r="Y444" i="1"/>
  <c r="X444" i="1"/>
  <c r="L444" i="1"/>
  <c r="Y443" i="1"/>
  <c r="X443" i="1"/>
  <c r="L443" i="1"/>
  <c r="Y442" i="1"/>
  <c r="X442" i="1"/>
  <c r="L442" i="1"/>
  <c r="Y441" i="1"/>
  <c r="X441" i="1"/>
  <c r="L441" i="1"/>
  <c r="Y440" i="1"/>
  <c r="X440" i="1"/>
  <c r="L440" i="1"/>
  <c r="Y439" i="1"/>
  <c r="X439" i="1"/>
  <c r="L439" i="1"/>
  <c r="Y438" i="1"/>
  <c r="X438" i="1"/>
  <c r="L438" i="1"/>
  <c r="Y437" i="1"/>
  <c r="X437" i="1"/>
  <c r="L437" i="1"/>
  <c r="Y436" i="1"/>
  <c r="X436" i="1"/>
  <c r="L436" i="1"/>
  <c r="Y435" i="1"/>
  <c r="X435" i="1"/>
  <c r="L435" i="1"/>
  <c r="Y434" i="1"/>
  <c r="X434" i="1"/>
  <c r="L434" i="1"/>
  <c r="Y433" i="1"/>
  <c r="X433" i="1"/>
  <c r="L433" i="1"/>
  <c r="Y432" i="1"/>
  <c r="X432" i="1"/>
  <c r="L432" i="1"/>
  <c r="Y431" i="1"/>
  <c r="X431" i="1"/>
  <c r="L431" i="1"/>
  <c r="Y430" i="1"/>
  <c r="X430" i="1"/>
  <c r="L430" i="1"/>
  <c r="Y429" i="1"/>
  <c r="X429" i="1"/>
  <c r="L429" i="1"/>
  <c r="Y428" i="1"/>
  <c r="X428" i="1"/>
  <c r="L428" i="1"/>
  <c r="Y427" i="1"/>
  <c r="X427" i="1"/>
  <c r="L427" i="1"/>
  <c r="Y426" i="1"/>
  <c r="X426" i="1"/>
  <c r="L426" i="1"/>
  <c r="Y425" i="1"/>
  <c r="X425" i="1"/>
  <c r="L425" i="1"/>
  <c r="Y424" i="1"/>
  <c r="X424" i="1"/>
  <c r="L424" i="1"/>
  <c r="Y423" i="1"/>
  <c r="X423" i="1"/>
  <c r="L423" i="1"/>
  <c r="Y422" i="1"/>
  <c r="X422" i="1"/>
  <c r="L422" i="1"/>
  <c r="Y421" i="1"/>
  <c r="X421" i="1"/>
  <c r="L421" i="1"/>
  <c r="Y420" i="1"/>
  <c r="X420" i="1"/>
  <c r="L420" i="1"/>
  <c r="Y419" i="1"/>
  <c r="X419" i="1"/>
  <c r="L419" i="1"/>
  <c r="Y418" i="1"/>
  <c r="X418" i="1"/>
  <c r="L418" i="1"/>
  <c r="Y417" i="1"/>
  <c r="X417" i="1"/>
  <c r="L417" i="1"/>
  <c r="Y416" i="1"/>
  <c r="X416" i="1"/>
  <c r="L416" i="1"/>
  <c r="Y415" i="1"/>
  <c r="X415" i="1"/>
  <c r="L415" i="1"/>
  <c r="Y414" i="1"/>
  <c r="X414" i="1"/>
  <c r="L414" i="1"/>
  <c r="Y413" i="1"/>
  <c r="X413" i="1"/>
  <c r="L413" i="1"/>
  <c r="Y412" i="1"/>
  <c r="X412" i="1"/>
  <c r="L412" i="1"/>
  <c r="Y411" i="1"/>
  <c r="X411" i="1"/>
  <c r="L411" i="1"/>
  <c r="Y410" i="1"/>
  <c r="X410" i="1"/>
  <c r="L410" i="1"/>
  <c r="Y409" i="1"/>
  <c r="X409" i="1"/>
  <c r="L409" i="1"/>
  <c r="Y408" i="1"/>
  <c r="X408" i="1"/>
  <c r="L408" i="1"/>
  <c r="Y407" i="1"/>
  <c r="X407" i="1"/>
  <c r="L407" i="1"/>
  <c r="Y406" i="1"/>
  <c r="X406" i="1"/>
  <c r="L406" i="1"/>
  <c r="Y405" i="1"/>
  <c r="X405" i="1"/>
  <c r="L405" i="1"/>
  <c r="Y404" i="1"/>
  <c r="X404" i="1"/>
  <c r="L404" i="1"/>
  <c r="Y403" i="1"/>
  <c r="X403" i="1"/>
  <c r="L403" i="1"/>
  <c r="Y402" i="1"/>
  <c r="X402" i="1"/>
  <c r="L402" i="1"/>
  <c r="Y401" i="1"/>
  <c r="X401" i="1"/>
  <c r="L401" i="1"/>
  <c r="Y400" i="1"/>
  <c r="X400" i="1"/>
  <c r="L400" i="1"/>
  <c r="Y399" i="1"/>
  <c r="X399" i="1"/>
  <c r="L399" i="1"/>
  <c r="Y398" i="1"/>
  <c r="X398" i="1"/>
  <c r="L398" i="1"/>
  <c r="Y397" i="1"/>
  <c r="X397" i="1"/>
  <c r="L397" i="1"/>
  <c r="Y396" i="1"/>
  <c r="X396" i="1"/>
  <c r="L396" i="1"/>
  <c r="Y395" i="1"/>
  <c r="X395" i="1"/>
  <c r="L395" i="1"/>
  <c r="Y394" i="1"/>
  <c r="X394" i="1"/>
  <c r="L394" i="1"/>
  <c r="Y393" i="1"/>
  <c r="X393" i="1"/>
  <c r="L393" i="1"/>
  <c r="Y392" i="1"/>
  <c r="X392" i="1"/>
  <c r="L392" i="1"/>
  <c r="Y391" i="1"/>
  <c r="X391" i="1"/>
  <c r="L391" i="1"/>
  <c r="Y390" i="1"/>
  <c r="X390" i="1"/>
  <c r="L390" i="1"/>
  <c r="Y389" i="1"/>
  <c r="X389" i="1"/>
  <c r="L389" i="1"/>
  <c r="Y388" i="1"/>
  <c r="X388" i="1"/>
  <c r="L388" i="1"/>
  <c r="Y387" i="1"/>
  <c r="X387" i="1"/>
  <c r="L387" i="1"/>
  <c r="Y386" i="1"/>
  <c r="X386" i="1"/>
  <c r="L386" i="1"/>
  <c r="Y385" i="1"/>
  <c r="X385" i="1"/>
  <c r="L385" i="1"/>
  <c r="Y384" i="1"/>
  <c r="X384" i="1"/>
  <c r="M384" i="1"/>
  <c r="L384" i="1"/>
  <c r="Y383" i="1"/>
  <c r="X383" i="1"/>
  <c r="L383" i="1"/>
  <c r="Y382" i="1"/>
  <c r="X382" i="1"/>
  <c r="M382" i="1"/>
  <c r="L382" i="1"/>
  <c r="Y381" i="1"/>
  <c r="X381" i="1"/>
  <c r="L381" i="1"/>
  <c r="Y380" i="1"/>
  <c r="X380" i="1"/>
  <c r="L380" i="1"/>
  <c r="Y379" i="1"/>
  <c r="X379" i="1"/>
  <c r="L379" i="1"/>
  <c r="Y378" i="1"/>
  <c r="X378" i="1"/>
  <c r="L378" i="1"/>
  <c r="Y377" i="1"/>
  <c r="X377" i="1"/>
  <c r="L377" i="1"/>
  <c r="Y376" i="1"/>
  <c r="X376" i="1"/>
  <c r="L376" i="1"/>
  <c r="Y375" i="1"/>
  <c r="X375" i="1"/>
  <c r="L375" i="1"/>
  <c r="Y374" i="1"/>
  <c r="X374" i="1"/>
  <c r="L374" i="1"/>
  <c r="Y373" i="1"/>
  <c r="X373" i="1"/>
  <c r="L373" i="1"/>
  <c r="Y372" i="1"/>
  <c r="X372" i="1"/>
  <c r="L372" i="1"/>
  <c r="Y371" i="1"/>
  <c r="X371" i="1"/>
  <c r="L371" i="1"/>
  <c r="Y370" i="1"/>
  <c r="X370" i="1"/>
  <c r="L370" i="1"/>
  <c r="Y369" i="1"/>
  <c r="X369" i="1"/>
  <c r="L369" i="1"/>
  <c r="Y368" i="1"/>
  <c r="X368" i="1"/>
  <c r="L368" i="1"/>
  <c r="Y367" i="1"/>
  <c r="X367" i="1"/>
  <c r="L367" i="1"/>
  <c r="Y366" i="1"/>
  <c r="X366" i="1"/>
  <c r="L366" i="1"/>
  <c r="Y365" i="1"/>
  <c r="X365" i="1"/>
  <c r="L365" i="1"/>
  <c r="Y364" i="1"/>
  <c r="X364" i="1"/>
  <c r="L364" i="1"/>
  <c r="Y363" i="1"/>
  <c r="X363" i="1"/>
  <c r="L363" i="1"/>
  <c r="Y362" i="1"/>
  <c r="X362" i="1"/>
  <c r="L362" i="1"/>
  <c r="Y361" i="1"/>
  <c r="X361" i="1"/>
  <c r="L361" i="1"/>
  <c r="Y360" i="1"/>
  <c r="X360" i="1"/>
  <c r="L360" i="1"/>
  <c r="Y359" i="1"/>
  <c r="X359" i="1"/>
  <c r="L359" i="1"/>
  <c r="Y358" i="1"/>
  <c r="X358" i="1"/>
  <c r="L358" i="1"/>
  <c r="Y357" i="1"/>
  <c r="X357" i="1"/>
  <c r="L357" i="1"/>
  <c r="Y356" i="1"/>
  <c r="X356" i="1"/>
  <c r="L356" i="1"/>
  <c r="Y355" i="1"/>
  <c r="X355" i="1"/>
  <c r="L355" i="1"/>
  <c r="Y354" i="1"/>
  <c r="X354" i="1"/>
  <c r="L354" i="1"/>
  <c r="Y353" i="1"/>
  <c r="X353" i="1"/>
  <c r="L353" i="1"/>
  <c r="Y352" i="1"/>
  <c r="X352" i="1"/>
  <c r="L352" i="1"/>
  <c r="Y351" i="1"/>
  <c r="X351" i="1"/>
  <c r="L351" i="1"/>
  <c r="Y350" i="1"/>
  <c r="X350" i="1"/>
  <c r="L350" i="1"/>
  <c r="Y349" i="1"/>
  <c r="X349" i="1"/>
  <c r="L349" i="1"/>
  <c r="Y348" i="1"/>
  <c r="X348" i="1"/>
  <c r="L348" i="1"/>
  <c r="Y347" i="1"/>
  <c r="X347" i="1"/>
  <c r="M347" i="1"/>
  <c r="W13" i="1" s="1"/>
  <c r="L347" i="1"/>
  <c r="Y346" i="1"/>
  <c r="X346" i="1"/>
  <c r="L346" i="1"/>
  <c r="Y345" i="1"/>
  <c r="X345" i="1"/>
  <c r="M345" i="1"/>
  <c r="L345" i="1"/>
  <c r="Y344" i="1"/>
  <c r="X344" i="1"/>
  <c r="L344" i="1"/>
  <c r="Y343" i="1"/>
  <c r="X343" i="1"/>
  <c r="L343" i="1"/>
  <c r="Y342" i="1"/>
  <c r="X342" i="1"/>
  <c r="L342" i="1"/>
  <c r="Y341" i="1"/>
  <c r="X341" i="1"/>
  <c r="L341" i="1"/>
  <c r="Y340" i="1"/>
  <c r="X340" i="1"/>
  <c r="L340" i="1"/>
  <c r="Y339" i="1"/>
  <c r="X339" i="1"/>
  <c r="L339" i="1"/>
  <c r="Y338" i="1"/>
  <c r="X338" i="1"/>
  <c r="L338" i="1"/>
  <c r="Y337" i="1"/>
  <c r="X337" i="1"/>
  <c r="L337" i="1"/>
  <c r="Y336" i="1"/>
  <c r="X336" i="1"/>
  <c r="L336" i="1"/>
  <c r="Y335" i="1"/>
  <c r="X335" i="1"/>
  <c r="L335" i="1"/>
  <c r="Y334" i="1"/>
  <c r="X334" i="1"/>
  <c r="L334" i="1"/>
  <c r="Y333" i="1"/>
  <c r="X333" i="1"/>
  <c r="L333" i="1"/>
  <c r="Y332" i="1"/>
  <c r="X332" i="1"/>
  <c r="L332" i="1"/>
  <c r="Y331" i="1"/>
  <c r="X331" i="1"/>
  <c r="L331" i="1"/>
  <c r="Y330" i="1"/>
  <c r="X330" i="1"/>
  <c r="L330" i="1"/>
  <c r="Y329" i="1"/>
  <c r="X329" i="1"/>
  <c r="L329" i="1"/>
  <c r="Y328" i="1"/>
  <c r="X328" i="1"/>
  <c r="L328" i="1"/>
  <c r="Y327" i="1"/>
  <c r="X327" i="1"/>
  <c r="L327" i="1"/>
  <c r="Y326" i="1"/>
  <c r="X326" i="1"/>
  <c r="L326" i="1"/>
  <c r="Y325" i="1"/>
  <c r="X325" i="1"/>
  <c r="L325" i="1"/>
  <c r="Y324" i="1"/>
  <c r="X324" i="1"/>
  <c r="L324" i="1"/>
  <c r="Y323" i="1"/>
  <c r="X323" i="1"/>
  <c r="L323" i="1"/>
  <c r="Y322" i="1"/>
  <c r="X322" i="1"/>
  <c r="L322" i="1"/>
  <c r="Y321" i="1"/>
  <c r="X321" i="1"/>
  <c r="L321" i="1"/>
  <c r="Y320" i="1"/>
  <c r="X320" i="1"/>
  <c r="L320" i="1"/>
  <c r="Y319" i="1"/>
  <c r="X319" i="1"/>
  <c r="L319" i="1"/>
  <c r="Y318" i="1"/>
  <c r="X318" i="1"/>
  <c r="L318" i="1"/>
  <c r="Y317" i="1"/>
  <c r="X317" i="1"/>
  <c r="L317" i="1"/>
  <c r="Y316" i="1"/>
  <c r="X316" i="1"/>
  <c r="L316" i="1"/>
  <c r="Y315" i="1"/>
  <c r="X315" i="1"/>
  <c r="L315" i="1"/>
  <c r="Y314" i="1"/>
  <c r="X314" i="1"/>
  <c r="L314" i="1"/>
  <c r="Y313" i="1"/>
  <c r="X313" i="1"/>
  <c r="L313" i="1"/>
  <c r="Y312" i="1"/>
  <c r="X312" i="1"/>
  <c r="M312" i="1"/>
  <c r="L312" i="1"/>
  <c r="Y311" i="1"/>
  <c r="X311" i="1"/>
  <c r="L311" i="1"/>
  <c r="Y310" i="1"/>
  <c r="X310" i="1"/>
  <c r="M310" i="1"/>
  <c r="U12" i="1" s="1"/>
  <c r="L310" i="1"/>
  <c r="M308" i="1" s="1"/>
  <c r="Y309" i="1"/>
  <c r="X309" i="1"/>
  <c r="L309" i="1"/>
  <c r="Y308" i="1"/>
  <c r="X308" i="1"/>
  <c r="L308" i="1"/>
  <c r="Y307" i="1"/>
  <c r="X307" i="1"/>
  <c r="L307" i="1"/>
  <c r="Y306" i="1"/>
  <c r="X306" i="1"/>
  <c r="L306" i="1"/>
  <c r="Y305" i="1"/>
  <c r="X305" i="1"/>
  <c r="L305" i="1"/>
  <c r="Y304" i="1"/>
  <c r="X304" i="1"/>
  <c r="L304" i="1"/>
  <c r="Y303" i="1"/>
  <c r="X303" i="1"/>
  <c r="L303" i="1"/>
  <c r="Y302" i="1"/>
  <c r="X302" i="1"/>
  <c r="L302" i="1"/>
  <c r="Y301" i="1"/>
  <c r="X301" i="1"/>
  <c r="L301" i="1"/>
  <c r="Y300" i="1"/>
  <c r="X300" i="1"/>
  <c r="L300" i="1"/>
  <c r="Y299" i="1"/>
  <c r="X299" i="1"/>
  <c r="L299" i="1"/>
  <c r="Y298" i="1"/>
  <c r="X298" i="1"/>
  <c r="L298" i="1"/>
  <c r="Y297" i="1"/>
  <c r="X297" i="1"/>
  <c r="L297" i="1"/>
  <c r="Y296" i="1"/>
  <c r="X296" i="1"/>
  <c r="L296" i="1"/>
  <c r="Y295" i="1"/>
  <c r="X295" i="1"/>
  <c r="L295" i="1"/>
  <c r="Y294" i="1"/>
  <c r="X294" i="1"/>
  <c r="L294" i="1"/>
  <c r="Y293" i="1"/>
  <c r="X293" i="1"/>
  <c r="L293" i="1"/>
  <c r="Y292" i="1"/>
  <c r="X292" i="1"/>
  <c r="L292" i="1"/>
  <c r="Y291" i="1"/>
  <c r="X291" i="1"/>
  <c r="L291" i="1"/>
  <c r="Y290" i="1"/>
  <c r="X290" i="1"/>
  <c r="L290" i="1"/>
  <c r="Y289" i="1"/>
  <c r="X289" i="1"/>
  <c r="L289" i="1"/>
  <c r="Y288" i="1"/>
  <c r="X288" i="1"/>
  <c r="L288" i="1"/>
  <c r="Y287" i="1"/>
  <c r="X287" i="1"/>
  <c r="L287" i="1"/>
  <c r="Y286" i="1"/>
  <c r="X286" i="1"/>
  <c r="L286" i="1"/>
  <c r="Y285" i="1"/>
  <c r="X285" i="1"/>
  <c r="L285" i="1"/>
  <c r="Y284" i="1"/>
  <c r="X284" i="1"/>
  <c r="L284" i="1"/>
  <c r="Y283" i="1"/>
  <c r="X283" i="1"/>
  <c r="L283" i="1"/>
  <c r="Y282" i="1"/>
  <c r="X282" i="1"/>
  <c r="L282" i="1"/>
  <c r="Y281" i="1"/>
  <c r="X281" i="1"/>
  <c r="L281" i="1"/>
  <c r="Y280" i="1"/>
  <c r="X280" i="1"/>
  <c r="L280" i="1"/>
  <c r="Y279" i="1"/>
  <c r="X279" i="1"/>
  <c r="L279" i="1"/>
  <c r="Y278" i="1"/>
  <c r="X278" i="1"/>
  <c r="L278" i="1"/>
  <c r="Y277" i="1"/>
  <c r="X277" i="1"/>
  <c r="M277" i="1"/>
  <c r="L277" i="1"/>
  <c r="Y276" i="1"/>
  <c r="X276" i="1"/>
  <c r="L276" i="1"/>
  <c r="Y275" i="1"/>
  <c r="X275" i="1"/>
  <c r="M275" i="1"/>
  <c r="L275" i="1"/>
  <c r="Y274" i="1"/>
  <c r="X274" i="1"/>
  <c r="L274" i="1"/>
  <c r="Y273" i="1"/>
  <c r="X273" i="1"/>
  <c r="L273" i="1"/>
  <c r="Y272" i="1"/>
  <c r="X272" i="1"/>
  <c r="L272" i="1"/>
  <c r="Y271" i="1"/>
  <c r="X271" i="1"/>
  <c r="L271" i="1"/>
  <c r="Y270" i="1"/>
  <c r="X270" i="1"/>
  <c r="L270" i="1"/>
  <c r="Y269" i="1"/>
  <c r="X269" i="1"/>
  <c r="L269" i="1"/>
  <c r="Y268" i="1"/>
  <c r="X268" i="1"/>
  <c r="L268" i="1"/>
  <c r="Y267" i="1"/>
  <c r="X267" i="1"/>
  <c r="L267" i="1"/>
  <c r="Y266" i="1"/>
  <c r="X266" i="1"/>
  <c r="L266" i="1"/>
  <c r="Y265" i="1"/>
  <c r="X265" i="1"/>
  <c r="L265" i="1"/>
  <c r="Y264" i="1"/>
  <c r="X264" i="1"/>
  <c r="L264" i="1"/>
  <c r="Y263" i="1"/>
  <c r="X263" i="1"/>
  <c r="L263" i="1"/>
  <c r="Y262" i="1"/>
  <c r="X262" i="1"/>
  <c r="L262" i="1"/>
  <c r="Y261" i="1"/>
  <c r="X261" i="1"/>
  <c r="L261" i="1"/>
  <c r="Y260" i="1"/>
  <c r="X260" i="1"/>
  <c r="L260" i="1"/>
  <c r="Y259" i="1"/>
  <c r="X259" i="1"/>
  <c r="L259" i="1"/>
  <c r="Y258" i="1"/>
  <c r="X258" i="1"/>
  <c r="L258" i="1"/>
  <c r="Y257" i="1"/>
  <c r="X257" i="1"/>
  <c r="L257" i="1"/>
  <c r="Y256" i="1"/>
  <c r="X256" i="1"/>
  <c r="L256" i="1"/>
  <c r="Y255" i="1"/>
  <c r="X255" i="1"/>
  <c r="L255" i="1"/>
  <c r="Y254" i="1"/>
  <c r="X254" i="1"/>
  <c r="L254" i="1"/>
  <c r="Y253" i="1"/>
  <c r="X253" i="1"/>
  <c r="L253" i="1"/>
  <c r="Y252" i="1"/>
  <c r="X252" i="1"/>
  <c r="L252" i="1"/>
  <c r="Y251" i="1"/>
  <c r="X251" i="1"/>
  <c r="L251" i="1"/>
  <c r="Y250" i="1"/>
  <c r="X250" i="1"/>
  <c r="L250" i="1"/>
  <c r="Y249" i="1"/>
  <c r="X249" i="1"/>
  <c r="L249" i="1"/>
  <c r="Y248" i="1"/>
  <c r="X248" i="1"/>
  <c r="L248" i="1"/>
  <c r="Y247" i="1"/>
  <c r="X247" i="1"/>
  <c r="L247" i="1"/>
  <c r="Y246" i="1"/>
  <c r="X246" i="1"/>
  <c r="L246" i="1"/>
  <c r="Y245" i="1"/>
  <c r="X245" i="1"/>
  <c r="L245" i="1"/>
  <c r="Y244" i="1"/>
  <c r="X244" i="1"/>
  <c r="L244" i="1"/>
  <c r="Y243" i="1"/>
  <c r="X243" i="1"/>
  <c r="L243" i="1"/>
  <c r="Y242" i="1"/>
  <c r="X242" i="1"/>
  <c r="L242" i="1"/>
  <c r="Y241" i="1"/>
  <c r="X241" i="1"/>
  <c r="L241" i="1"/>
  <c r="Y240" i="1"/>
  <c r="X240" i="1"/>
  <c r="L240" i="1"/>
  <c r="Y239" i="1"/>
  <c r="X239" i="1"/>
  <c r="L239" i="1"/>
  <c r="Y238" i="1"/>
  <c r="X238" i="1"/>
  <c r="L238" i="1"/>
  <c r="Y237" i="1"/>
  <c r="X237" i="1"/>
  <c r="L237" i="1"/>
  <c r="Y236" i="1"/>
  <c r="X236" i="1"/>
  <c r="L236" i="1"/>
  <c r="Y235" i="1"/>
  <c r="X235" i="1"/>
  <c r="M235" i="1"/>
  <c r="W10" i="1" s="1"/>
  <c r="L235" i="1"/>
  <c r="Y234" i="1"/>
  <c r="X234" i="1"/>
  <c r="L234" i="1"/>
  <c r="Y233" i="1"/>
  <c r="X233" i="1"/>
  <c r="M233" i="1"/>
  <c r="L233" i="1"/>
  <c r="Y232" i="1"/>
  <c r="X232" i="1"/>
  <c r="L232" i="1"/>
  <c r="Y231" i="1"/>
  <c r="X231" i="1"/>
  <c r="L231" i="1"/>
  <c r="Y230" i="1"/>
  <c r="X230" i="1"/>
  <c r="L230" i="1"/>
  <c r="M231" i="1" s="1"/>
  <c r="Y229" i="1"/>
  <c r="X229" i="1"/>
  <c r="L229" i="1"/>
  <c r="Y228" i="1"/>
  <c r="X228" i="1"/>
  <c r="L228" i="1"/>
  <c r="Y227" i="1"/>
  <c r="X227" i="1"/>
  <c r="L227" i="1"/>
  <c r="Y226" i="1"/>
  <c r="X226" i="1"/>
  <c r="L226" i="1"/>
  <c r="Y225" i="1"/>
  <c r="X225" i="1"/>
  <c r="L225" i="1"/>
  <c r="Y224" i="1"/>
  <c r="X224" i="1"/>
  <c r="L224" i="1"/>
  <c r="Y223" i="1"/>
  <c r="X223" i="1"/>
  <c r="L223" i="1"/>
  <c r="Y222" i="1"/>
  <c r="X222" i="1"/>
  <c r="L222" i="1"/>
  <c r="Y221" i="1"/>
  <c r="X221" i="1"/>
  <c r="L221" i="1"/>
  <c r="Y220" i="1"/>
  <c r="X220" i="1"/>
  <c r="L220" i="1"/>
  <c r="Y219" i="1"/>
  <c r="X219" i="1"/>
  <c r="L219" i="1"/>
  <c r="Y218" i="1"/>
  <c r="X218" i="1"/>
  <c r="L218" i="1"/>
  <c r="Y217" i="1"/>
  <c r="X217" i="1"/>
  <c r="L217" i="1"/>
  <c r="Y216" i="1"/>
  <c r="X216" i="1"/>
  <c r="L216" i="1"/>
  <c r="Y215" i="1"/>
  <c r="X215" i="1"/>
  <c r="L215" i="1"/>
  <c r="Y214" i="1"/>
  <c r="X214" i="1"/>
  <c r="L214" i="1"/>
  <c r="Y213" i="1"/>
  <c r="X213" i="1"/>
  <c r="L213" i="1"/>
  <c r="Y212" i="1"/>
  <c r="X212" i="1"/>
  <c r="L212" i="1"/>
  <c r="Y211" i="1"/>
  <c r="X211" i="1"/>
  <c r="L211" i="1"/>
  <c r="Y210" i="1"/>
  <c r="X210" i="1"/>
  <c r="L210" i="1"/>
  <c r="Y209" i="1"/>
  <c r="X209" i="1"/>
  <c r="L209" i="1"/>
  <c r="Y208" i="1"/>
  <c r="X208" i="1"/>
  <c r="L208" i="1"/>
  <c r="Y207" i="1"/>
  <c r="X207" i="1"/>
  <c r="L207" i="1"/>
  <c r="Y206" i="1"/>
  <c r="X206" i="1"/>
  <c r="L206" i="1"/>
  <c r="Y205" i="1"/>
  <c r="X205" i="1"/>
  <c r="L205" i="1"/>
  <c r="Y204" i="1"/>
  <c r="X204" i="1"/>
  <c r="L204" i="1"/>
  <c r="Y203" i="1"/>
  <c r="X203" i="1"/>
  <c r="L203" i="1"/>
  <c r="Y202" i="1"/>
  <c r="X202" i="1"/>
  <c r="L202" i="1"/>
  <c r="Y201" i="1"/>
  <c r="X201" i="1"/>
  <c r="L201" i="1"/>
  <c r="Y200" i="1"/>
  <c r="X200" i="1"/>
  <c r="L200" i="1"/>
  <c r="Y199" i="1"/>
  <c r="X199" i="1"/>
  <c r="L199" i="1"/>
  <c r="Y198" i="1"/>
  <c r="X198" i="1"/>
  <c r="L198" i="1"/>
  <c r="Y197" i="1"/>
  <c r="X197" i="1"/>
  <c r="L197" i="1"/>
  <c r="Y196" i="1"/>
  <c r="X196" i="1"/>
  <c r="L196" i="1"/>
  <c r="Y195" i="1"/>
  <c r="X195" i="1"/>
  <c r="L195" i="1"/>
  <c r="Y194" i="1"/>
  <c r="X194" i="1"/>
  <c r="L194" i="1"/>
  <c r="Y193" i="1"/>
  <c r="X193" i="1"/>
  <c r="L193" i="1"/>
  <c r="Y192" i="1"/>
  <c r="X192" i="1"/>
  <c r="L192" i="1"/>
  <c r="Y191" i="1"/>
  <c r="X191" i="1"/>
  <c r="L191" i="1"/>
  <c r="Y190" i="1"/>
  <c r="X190" i="1"/>
  <c r="M190" i="1"/>
  <c r="L190" i="1"/>
  <c r="Y189" i="1"/>
  <c r="X189" i="1"/>
  <c r="L189" i="1"/>
  <c r="Y188" i="1"/>
  <c r="X188" i="1"/>
  <c r="M188" i="1"/>
  <c r="U9" i="1" s="1"/>
  <c r="L188" i="1"/>
  <c r="M186" i="1" s="1"/>
  <c r="Y187" i="1"/>
  <c r="X187" i="1"/>
  <c r="L187" i="1"/>
  <c r="Y186" i="1"/>
  <c r="X186" i="1"/>
  <c r="L186" i="1"/>
  <c r="Y185" i="1"/>
  <c r="X185" i="1"/>
  <c r="L185" i="1"/>
  <c r="Y184" i="1"/>
  <c r="X184" i="1"/>
  <c r="L184" i="1"/>
  <c r="Y183" i="1"/>
  <c r="X183" i="1"/>
  <c r="L183" i="1"/>
  <c r="Y182" i="1"/>
  <c r="X182" i="1"/>
  <c r="L182" i="1"/>
  <c r="Y181" i="1"/>
  <c r="X181" i="1"/>
  <c r="L181" i="1"/>
  <c r="Y180" i="1"/>
  <c r="X180" i="1"/>
  <c r="L180" i="1"/>
  <c r="Y179" i="1"/>
  <c r="X179" i="1"/>
  <c r="L179" i="1"/>
  <c r="Y178" i="1"/>
  <c r="X178" i="1"/>
  <c r="L178" i="1"/>
  <c r="Y177" i="1"/>
  <c r="X177" i="1"/>
  <c r="L177" i="1"/>
  <c r="Y176" i="1"/>
  <c r="X176" i="1"/>
  <c r="L176" i="1"/>
  <c r="Y175" i="1"/>
  <c r="X175" i="1"/>
  <c r="L175" i="1"/>
  <c r="Y174" i="1"/>
  <c r="X174" i="1"/>
  <c r="L174" i="1"/>
  <c r="Y173" i="1"/>
  <c r="X173" i="1"/>
  <c r="L173" i="1"/>
  <c r="Y172" i="1"/>
  <c r="X172" i="1"/>
  <c r="L172" i="1"/>
  <c r="Y171" i="1"/>
  <c r="X171" i="1"/>
  <c r="L171" i="1"/>
  <c r="Y170" i="1"/>
  <c r="X170" i="1"/>
  <c r="L170" i="1"/>
  <c r="Y169" i="1"/>
  <c r="X169" i="1"/>
  <c r="L169" i="1"/>
  <c r="Y168" i="1"/>
  <c r="X168" i="1"/>
  <c r="L168" i="1"/>
  <c r="Y167" i="1"/>
  <c r="X167" i="1"/>
  <c r="L167" i="1"/>
  <c r="Y166" i="1"/>
  <c r="X166" i="1"/>
  <c r="L166" i="1"/>
  <c r="Y165" i="1"/>
  <c r="X165" i="1"/>
  <c r="L165" i="1"/>
  <c r="Y164" i="1"/>
  <c r="X164" i="1"/>
  <c r="L164" i="1"/>
  <c r="Y163" i="1"/>
  <c r="X163" i="1"/>
  <c r="L163" i="1"/>
  <c r="Y162" i="1"/>
  <c r="X162" i="1"/>
  <c r="L162" i="1"/>
  <c r="Y161" i="1"/>
  <c r="X161" i="1"/>
  <c r="L161" i="1"/>
  <c r="Y160" i="1"/>
  <c r="X160" i="1"/>
  <c r="L160" i="1"/>
  <c r="Y159" i="1"/>
  <c r="X159" i="1"/>
  <c r="L159" i="1"/>
  <c r="Y158" i="1"/>
  <c r="X158" i="1"/>
  <c r="L158" i="1"/>
  <c r="Y157" i="1"/>
  <c r="X157" i="1"/>
  <c r="L157" i="1"/>
  <c r="Y156" i="1"/>
  <c r="X156" i="1"/>
  <c r="L156" i="1"/>
  <c r="Y155" i="1"/>
  <c r="X155" i="1"/>
  <c r="L155" i="1"/>
  <c r="Y154" i="1"/>
  <c r="X154" i="1"/>
  <c r="L154" i="1"/>
  <c r="Y153" i="1"/>
  <c r="X153" i="1"/>
  <c r="L153" i="1"/>
  <c r="Y152" i="1"/>
  <c r="X152" i="1"/>
  <c r="L152" i="1"/>
  <c r="Y151" i="1"/>
  <c r="X151" i="1"/>
  <c r="L151" i="1"/>
  <c r="Y150" i="1"/>
  <c r="X150" i="1"/>
  <c r="L150" i="1"/>
  <c r="Y149" i="1"/>
  <c r="X149" i="1"/>
  <c r="L149" i="1"/>
  <c r="Y148" i="1"/>
  <c r="X148" i="1"/>
  <c r="L148" i="1"/>
  <c r="Y147" i="1"/>
  <c r="X147" i="1"/>
  <c r="L147" i="1"/>
  <c r="Y146" i="1"/>
  <c r="X146" i="1"/>
  <c r="M146" i="1"/>
  <c r="L146" i="1"/>
  <c r="Y145" i="1"/>
  <c r="X145" i="1"/>
  <c r="L145" i="1"/>
  <c r="Y144" i="1"/>
  <c r="X144" i="1"/>
  <c r="M144" i="1"/>
  <c r="L144" i="1"/>
  <c r="Y143" i="1"/>
  <c r="X143" i="1"/>
  <c r="L143" i="1"/>
  <c r="Y142" i="1"/>
  <c r="X142" i="1"/>
  <c r="L142" i="1"/>
  <c r="Y141" i="1"/>
  <c r="X141" i="1"/>
  <c r="L141" i="1"/>
  <c r="Y140" i="1"/>
  <c r="X140" i="1"/>
  <c r="L140" i="1"/>
  <c r="Y139" i="1"/>
  <c r="X139" i="1"/>
  <c r="L139" i="1"/>
  <c r="Y138" i="1"/>
  <c r="X138" i="1"/>
  <c r="L138" i="1"/>
  <c r="Y137" i="1"/>
  <c r="X137" i="1"/>
  <c r="L137" i="1"/>
  <c r="Y136" i="1"/>
  <c r="X136" i="1"/>
  <c r="L136" i="1"/>
  <c r="Y135" i="1"/>
  <c r="X135" i="1"/>
  <c r="L135" i="1"/>
  <c r="Y134" i="1"/>
  <c r="X134" i="1"/>
  <c r="L134" i="1"/>
  <c r="Y133" i="1"/>
  <c r="X133" i="1"/>
  <c r="L133" i="1"/>
  <c r="Y132" i="1"/>
  <c r="X132" i="1"/>
  <c r="L132" i="1"/>
  <c r="Y131" i="1"/>
  <c r="X131" i="1"/>
  <c r="L131" i="1"/>
  <c r="Y130" i="1"/>
  <c r="X130" i="1"/>
  <c r="L130" i="1"/>
  <c r="Y129" i="1"/>
  <c r="X129" i="1"/>
  <c r="L129" i="1"/>
  <c r="Y128" i="1"/>
  <c r="X128" i="1"/>
  <c r="L128" i="1"/>
  <c r="Y127" i="1"/>
  <c r="X127" i="1"/>
  <c r="L127" i="1"/>
  <c r="Y126" i="1"/>
  <c r="X126" i="1"/>
  <c r="L126" i="1"/>
  <c r="Y125" i="1"/>
  <c r="X125" i="1"/>
  <c r="L125" i="1"/>
  <c r="Y124" i="1"/>
  <c r="X124" i="1"/>
  <c r="L124" i="1"/>
  <c r="Y123" i="1"/>
  <c r="X123" i="1"/>
  <c r="L123" i="1"/>
  <c r="Y122" i="1"/>
  <c r="X122" i="1"/>
  <c r="L122" i="1"/>
  <c r="Y121" i="1"/>
  <c r="X121" i="1"/>
  <c r="L121" i="1"/>
  <c r="Y120" i="1"/>
  <c r="X120" i="1"/>
  <c r="L120" i="1"/>
  <c r="Y119" i="1"/>
  <c r="X119" i="1"/>
  <c r="L119" i="1"/>
  <c r="Y118" i="1"/>
  <c r="X118" i="1"/>
  <c r="L118" i="1"/>
  <c r="Y117" i="1"/>
  <c r="X117" i="1"/>
  <c r="L117" i="1"/>
  <c r="Y116" i="1"/>
  <c r="X116" i="1"/>
  <c r="L116" i="1"/>
  <c r="Y115" i="1"/>
  <c r="X115" i="1"/>
  <c r="L115" i="1"/>
  <c r="Y114" i="1"/>
  <c r="X114" i="1"/>
  <c r="L114" i="1"/>
  <c r="Y113" i="1"/>
  <c r="X113" i="1"/>
  <c r="M113" i="1"/>
  <c r="L113" i="1"/>
  <c r="Y112" i="1"/>
  <c r="X112" i="1"/>
  <c r="L112" i="1"/>
  <c r="Y111" i="1"/>
  <c r="X111" i="1"/>
  <c r="M111" i="1"/>
  <c r="L111" i="1"/>
  <c r="Y110" i="1"/>
  <c r="X110" i="1"/>
  <c r="L110" i="1"/>
  <c r="Y109" i="1"/>
  <c r="X109" i="1"/>
  <c r="L109" i="1"/>
  <c r="Y108" i="1"/>
  <c r="X108" i="1"/>
  <c r="L108" i="1"/>
  <c r="M109" i="1" s="1"/>
  <c r="Y107" i="1"/>
  <c r="X107" i="1"/>
  <c r="L107" i="1"/>
  <c r="Y106" i="1"/>
  <c r="X106" i="1"/>
  <c r="L106" i="1"/>
  <c r="Y105" i="1"/>
  <c r="X105" i="1"/>
  <c r="L105" i="1"/>
  <c r="Y104" i="1"/>
  <c r="X104" i="1"/>
  <c r="L104" i="1"/>
  <c r="Y103" i="1"/>
  <c r="X103" i="1"/>
  <c r="L103" i="1"/>
  <c r="Y102" i="1"/>
  <c r="X102" i="1"/>
  <c r="L102" i="1"/>
  <c r="Y101" i="1"/>
  <c r="X101" i="1"/>
  <c r="L101" i="1"/>
  <c r="Y100" i="1"/>
  <c r="X100" i="1"/>
  <c r="L100" i="1"/>
  <c r="Y99" i="1"/>
  <c r="X99" i="1"/>
  <c r="L99" i="1"/>
  <c r="Y98" i="1"/>
  <c r="X98" i="1"/>
  <c r="L98" i="1"/>
  <c r="Y97" i="1"/>
  <c r="X97" i="1"/>
  <c r="L97" i="1"/>
  <c r="Y96" i="1"/>
  <c r="X96" i="1"/>
  <c r="L96" i="1"/>
  <c r="Y95" i="1"/>
  <c r="X95" i="1"/>
  <c r="L95" i="1"/>
  <c r="Y94" i="1"/>
  <c r="X94" i="1"/>
  <c r="L94" i="1"/>
  <c r="Y93" i="1"/>
  <c r="X93" i="1"/>
  <c r="L93" i="1"/>
  <c r="Y92" i="1"/>
  <c r="X92" i="1"/>
  <c r="L92" i="1"/>
  <c r="Y91" i="1"/>
  <c r="X91" i="1"/>
  <c r="L91" i="1"/>
  <c r="Y90" i="1"/>
  <c r="X90" i="1"/>
  <c r="L90" i="1"/>
  <c r="Y89" i="1"/>
  <c r="X89" i="1"/>
  <c r="L89" i="1"/>
  <c r="Y88" i="1"/>
  <c r="X88" i="1"/>
  <c r="L88" i="1"/>
  <c r="Y87" i="1"/>
  <c r="X87" i="1"/>
  <c r="L87" i="1"/>
  <c r="Y86" i="1"/>
  <c r="X86" i="1"/>
  <c r="L86" i="1"/>
  <c r="Y85" i="1"/>
  <c r="X85" i="1"/>
  <c r="L85" i="1"/>
  <c r="Y84" i="1"/>
  <c r="X84" i="1"/>
  <c r="L84" i="1"/>
  <c r="Y83" i="1"/>
  <c r="X83" i="1"/>
  <c r="L83" i="1"/>
  <c r="Y82" i="1"/>
  <c r="X82" i="1"/>
  <c r="M82" i="1"/>
  <c r="L82" i="1"/>
  <c r="Y81" i="1"/>
  <c r="X81" i="1"/>
  <c r="L81" i="1"/>
  <c r="Y80" i="1"/>
  <c r="X80" i="1"/>
  <c r="M80" i="1"/>
  <c r="L80" i="1"/>
  <c r="Y79" i="1"/>
  <c r="X79" i="1"/>
  <c r="L79" i="1"/>
  <c r="Y78" i="1"/>
  <c r="X78" i="1"/>
  <c r="L78" i="1"/>
  <c r="Y77" i="1"/>
  <c r="X77" i="1"/>
  <c r="L77" i="1"/>
  <c r="Y76" i="1"/>
  <c r="X76" i="1"/>
  <c r="L76" i="1"/>
  <c r="M78" i="1" s="1"/>
  <c r="Y75" i="1"/>
  <c r="X75" i="1"/>
  <c r="L75" i="1"/>
  <c r="Y74" i="1"/>
  <c r="X74" i="1"/>
  <c r="L74" i="1"/>
  <c r="Y73" i="1"/>
  <c r="X73" i="1"/>
  <c r="L73" i="1"/>
  <c r="Y72" i="1"/>
  <c r="X72" i="1"/>
  <c r="L72" i="1"/>
  <c r="Y71" i="1"/>
  <c r="X71" i="1"/>
  <c r="L71" i="1"/>
  <c r="Y70" i="1"/>
  <c r="X70" i="1"/>
  <c r="L70" i="1"/>
  <c r="Y69" i="1"/>
  <c r="X69" i="1"/>
  <c r="L69" i="1"/>
  <c r="Y68" i="1"/>
  <c r="X68" i="1"/>
  <c r="L68" i="1"/>
  <c r="Y67" i="1"/>
  <c r="X67" i="1"/>
  <c r="L67" i="1"/>
  <c r="Y66" i="1"/>
  <c r="X66" i="1"/>
  <c r="L66" i="1"/>
  <c r="Y65" i="1"/>
  <c r="X65" i="1"/>
  <c r="M65" i="1"/>
  <c r="L65" i="1"/>
  <c r="Y64" i="1"/>
  <c r="X64" i="1"/>
  <c r="L64" i="1"/>
  <c r="Y63" i="1"/>
  <c r="X63" i="1"/>
  <c r="M63" i="1"/>
  <c r="L63" i="1"/>
  <c r="Y62" i="1"/>
  <c r="X62" i="1"/>
  <c r="L62" i="1"/>
  <c r="Y61" i="1"/>
  <c r="X61" i="1"/>
  <c r="L61" i="1"/>
  <c r="Y60" i="1"/>
  <c r="X60" i="1"/>
  <c r="L60" i="1"/>
  <c r="Y59" i="1"/>
  <c r="X59" i="1"/>
  <c r="L59" i="1"/>
  <c r="M61" i="1" s="1"/>
  <c r="Y58" i="1"/>
  <c r="X58" i="1"/>
  <c r="L58" i="1"/>
  <c r="Y57" i="1"/>
  <c r="X57" i="1"/>
  <c r="L57" i="1"/>
  <c r="Y56" i="1"/>
  <c r="X56" i="1"/>
  <c r="L56" i="1"/>
  <c r="Y55" i="1"/>
  <c r="X55" i="1"/>
  <c r="L55" i="1"/>
  <c r="Y54" i="1"/>
  <c r="X54" i="1"/>
  <c r="L54" i="1"/>
  <c r="Y53" i="1"/>
  <c r="X53" i="1"/>
  <c r="L53" i="1"/>
  <c r="Y52" i="1"/>
  <c r="X52" i="1"/>
  <c r="L52" i="1"/>
  <c r="Y51" i="1"/>
  <c r="X51" i="1"/>
  <c r="L51" i="1"/>
  <c r="Y50" i="1"/>
  <c r="X50" i="1"/>
  <c r="L50" i="1"/>
  <c r="Y49" i="1"/>
  <c r="X49" i="1"/>
  <c r="L49" i="1"/>
  <c r="Y48" i="1"/>
  <c r="X48" i="1"/>
  <c r="L48" i="1"/>
  <c r="Y47" i="1"/>
  <c r="X47" i="1"/>
  <c r="L47" i="1"/>
  <c r="Y46" i="1"/>
  <c r="X46" i="1"/>
  <c r="L46" i="1"/>
  <c r="Y45" i="1"/>
  <c r="X45" i="1"/>
  <c r="L45" i="1"/>
  <c r="Y44" i="1"/>
  <c r="X44" i="1"/>
  <c r="L44" i="1"/>
  <c r="Y43" i="1"/>
  <c r="X43" i="1"/>
  <c r="L43" i="1"/>
  <c r="Y42" i="1"/>
  <c r="X42" i="1"/>
  <c r="L42" i="1"/>
  <c r="Y41" i="1"/>
  <c r="X41" i="1"/>
  <c r="L41" i="1"/>
  <c r="Y40" i="1"/>
  <c r="X40" i="1"/>
  <c r="L40" i="1"/>
  <c r="Y39" i="1"/>
  <c r="X39" i="1"/>
  <c r="L39" i="1"/>
  <c r="Y38" i="1"/>
  <c r="X38" i="1"/>
  <c r="L38" i="1"/>
  <c r="Y37" i="1"/>
  <c r="X37" i="1"/>
  <c r="L37" i="1"/>
  <c r="Y36" i="1"/>
  <c r="X36" i="1"/>
  <c r="M36" i="1"/>
  <c r="L36" i="1"/>
  <c r="Y35" i="1"/>
  <c r="X35" i="1"/>
  <c r="L35" i="1"/>
  <c r="Y34" i="1"/>
  <c r="X34" i="1"/>
  <c r="M34" i="1"/>
  <c r="L34" i="1"/>
  <c r="Y33" i="1"/>
  <c r="X33" i="1"/>
  <c r="L33" i="1"/>
  <c r="Y32" i="1"/>
  <c r="X32" i="1"/>
  <c r="L32" i="1"/>
  <c r="Y31" i="1"/>
  <c r="X31" i="1"/>
  <c r="L31" i="1"/>
  <c r="Y30" i="1"/>
  <c r="X30" i="1"/>
  <c r="L30" i="1"/>
  <c r="Y29" i="1"/>
  <c r="X29" i="1"/>
  <c r="L29" i="1"/>
  <c r="Y28" i="1"/>
  <c r="X28" i="1"/>
  <c r="L28" i="1"/>
  <c r="Y27" i="1"/>
  <c r="X27" i="1"/>
  <c r="L27" i="1"/>
  <c r="Y26" i="1"/>
  <c r="X26" i="1"/>
  <c r="L26" i="1"/>
  <c r="Y25" i="1"/>
  <c r="X25" i="1"/>
  <c r="L25" i="1"/>
  <c r="Y24" i="1"/>
  <c r="X24" i="1"/>
  <c r="L24" i="1"/>
  <c r="Y23" i="1"/>
  <c r="X23" i="1"/>
  <c r="L23" i="1"/>
  <c r="Y22" i="1"/>
  <c r="X22" i="1"/>
  <c r="L22" i="1"/>
  <c r="Y21" i="1"/>
  <c r="X21" i="1"/>
  <c r="L21" i="1"/>
  <c r="Y20" i="1"/>
  <c r="X20" i="1"/>
  <c r="L20" i="1"/>
  <c r="Y19" i="1"/>
  <c r="X19" i="1"/>
  <c r="L19" i="1"/>
  <c r="Y18" i="1"/>
  <c r="X18" i="1"/>
  <c r="L18" i="1"/>
  <c r="Y17" i="1"/>
  <c r="X17" i="1"/>
  <c r="L17" i="1"/>
  <c r="Y16" i="1"/>
  <c r="X16" i="1"/>
  <c r="L16" i="1"/>
  <c r="Y15" i="1"/>
  <c r="X15" i="1"/>
  <c r="L15" i="1"/>
  <c r="Y14" i="1"/>
  <c r="X14" i="1"/>
  <c r="W14" i="1"/>
  <c r="U14" i="1"/>
  <c r="L14" i="1"/>
  <c r="Y13" i="1"/>
  <c r="X13" i="1"/>
  <c r="U13" i="1"/>
  <c r="L13" i="1"/>
  <c r="Y12" i="1"/>
  <c r="X12" i="1"/>
  <c r="W12" i="1"/>
  <c r="L12" i="1"/>
  <c r="Y11" i="1"/>
  <c r="X11" i="1"/>
  <c r="W11" i="1"/>
  <c r="U11" i="1"/>
  <c r="L11" i="1"/>
  <c r="Y10" i="1"/>
  <c r="X10" i="1"/>
  <c r="U10" i="1"/>
  <c r="L10" i="1"/>
  <c r="Y9" i="1"/>
  <c r="X9" i="1"/>
  <c r="W9" i="1"/>
  <c r="M9" i="1"/>
  <c r="L9" i="1"/>
  <c r="Y8" i="1"/>
  <c r="X8" i="1"/>
  <c r="W8" i="1"/>
  <c r="U8" i="1"/>
  <c r="L8" i="1"/>
  <c r="Y7" i="1"/>
  <c r="X7" i="1"/>
  <c r="W7" i="1"/>
  <c r="U7" i="1"/>
  <c r="M7" i="1"/>
  <c r="L7" i="1"/>
  <c r="Y6" i="1"/>
  <c r="X6" i="1"/>
  <c r="W6" i="1"/>
  <c r="U6" i="1"/>
  <c r="L6" i="1"/>
  <c r="Y5" i="1"/>
  <c r="X5" i="1"/>
  <c r="W5" i="1"/>
  <c r="U5" i="1"/>
  <c r="L5" i="1"/>
  <c r="Y4" i="1"/>
  <c r="X4" i="1"/>
  <c r="W4" i="1"/>
  <c r="U4" i="1"/>
  <c r="L4" i="1"/>
  <c r="Y3" i="1"/>
  <c r="X3" i="1"/>
  <c r="W3" i="1"/>
  <c r="U3" i="1"/>
  <c r="L3" i="1"/>
  <c r="S2" i="1"/>
  <c r="N2" i="1"/>
  <c r="J2" i="1"/>
  <c r="I2" i="1"/>
  <c r="N1" i="1"/>
  <c r="B5" i="9" l="1"/>
  <c r="D7" i="9"/>
  <c r="N4" i="9"/>
  <c r="D19" i="9"/>
  <c r="D20" i="9" s="1"/>
  <c r="B19" i="9" s="1"/>
  <c r="D21" i="9" s="1"/>
  <c r="F20" i="9"/>
  <c r="D5" i="9"/>
  <c r="B12" i="9"/>
  <c r="D12" i="9"/>
  <c r="D14" i="9"/>
  <c r="D17" i="9"/>
  <c r="F23" i="8"/>
  <c r="F24" i="8" s="1"/>
  <c r="F21" i="8"/>
  <c r="F30" i="8"/>
  <c r="B5" i="8"/>
  <c r="B7" i="8" s="1"/>
  <c r="D12" i="8"/>
  <c r="N4" i="8"/>
  <c r="B12" i="8"/>
  <c r="B14" i="8" s="1"/>
  <c r="F33" i="8" s="1"/>
  <c r="D14" i="8"/>
  <c r="D7" i="8"/>
  <c r="D5" i="8"/>
  <c r="F27" i="8"/>
  <c r="D21" i="2"/>
  <c r="D19" i="2"/>
  <c r="B27" i="2"/>
  <c r="B25" i="2" s="1"/>
  <c r="B28" i="2" s="1"/>
  <c r="B19" i="2"/>
  <c r="B21" i="2" s="1"/>
  <c r="F27" i="2"/>
  <c r="N4" i="2"/>
  <c r="D27" i="2"/>
  <c r="D25" i="2" s="1"/>
  <c r="D28" i="2" s="1"/>
  <c r="M142" i="1"/>
  <c r="D12" i="2"/>
  <c r="D14" i="2"/>
  <c r="M273" i="1"/>
  <c r="M343" i="1"/>
  <c r="M32" i="1"/>
  <c r="M5" i="1"/>
  <c r="M32" i="3"/>
  <c r="M78" i="3"/>
  <c r="M109" i="3"/>
  <c r="D5" i="2"/>
  <c r="F5" i="2" s="1"/>
  <c r="D7" i="2"/>
  <c r="M5" i="3"/>
  <c r="F4" i="2"/>
  <c r="B6" i="2" s="1"/>
  <c r="F12" i="2"/>
  <c r="F11" i="2"/>
  <c r="B13" i="2" s="1"/>
  <c r="M380" i="1"/>
  <c r="M380" i="3"/>
  <c r="M142" i="3"/>
  <c r="N32" i="5"/>
  <c r="M343" i="3"/>
  <c r="N59" i="6"/>
  <c r="N24" i="5"/>
  <c r="S83" i="6"/>
  <c r="R84" i="6"/>
  <c r="N4" i="6"/>
  <c r="N9" i="6"/>
  <c r="O181" i="7"/>
  <c r="O183" i="7" s="1"/>
  <c r="O268" i="7"/>
  <c r="O270" i="7" s="1"/>
  <c r="N20" i="5"/>
  <c r="N36" i="5"/>
  <c r="N40" i="5"/>
  <c r="N48" i="5"/>
  <c r="N34" i="6"/>
  <c r="N24" i="6"/>
  <c r="N29" i="6"/>
  <c r="N49" i="6"/>
  <c r="J2" i="7"/>
  <c r="O46" i="7"/>
  <c r="O48" i="7"/>
  <c r="N14" i="6"/>
  <c r="N44" i="6"/>
  <c r="O14" i="7"/>
  <c r="O16" i="7" s="1"/>
  <c r="F16" i="8" l="1"/>
  <c r="F11" i="9"/>
  <c r="F17" i="9"/>
  <c r="B20" i="9" s="1"/>
  <c r="B18" i="9"/>
  <c r="D18" i="9" s="1"/>
  <c r="F4" i="9"/>
  <c r="F5" i="9"/>
  <c r="D6" i="9" s="1"/>
  <c r="F17" i="8"/>
  <c r="F25" i="8" s="1"/>
  <c r="F22" i="8"/>
  <c r="F4" i="8"/>
  <c r="F5" i="8"/>
  <c r="D6" i="8" s="1"/>
  <c r="F18" i="8"/>
  <c r="F28" i="8" s="1"/>
  <c r="F12" i="8"/>
  <c r="D13" i="8" s="1"/>
  <c r="F11" i="8"/>
  <c r="F19" i="2"/>
  <c r="D20" i="2" s="1"/>
  <c r="F18" i="2"/>
  <c r="B20" i="2" s="1"/>
  <c r="F26" i="2"/>
  <c r="F28" i="2" s="1"/>
  <c r="F6" i="2"/>
  <c r="F7" i="2" s="1"/>
  <c r="I6" i="2" s="1"/>
  <c r="D6" i="2"/>
  <c r="F13" i="2"/>
  <c r="F14" i="2" s="1"/>
  <c r="I13" i="2" s="1"/>
  <c r="D13" i="2"/>
  <c r="S84" i="6"/>
  <c r="R85" i="6"/>
  <c r="F12" i="9" l="1"/>
  <c r="D13" i="9" s="1"/>
  <c r="F19" i="9"/>
  <c r="F21" i="9" s="1"/>
  <c r="F18" i="9"/>
  <c r="B13" i="9"/>
  <c r="B6" i="9"/>
  <c r="F6" i="9"/>
  <c r="F29" i="8"/>
  <c r="F31" i="8" s="1"/>
  <c r="F13" i="8"/>
  <c r="B13" i="8"/>
  <c r="F6" i="8"/>
  <c r="B6" i="8"/>
  <c r="F20" i="2"/>
  <c r="F21" i="2" s="1"/>
  <c r="I20" i="2" s="1"/>
  <c r="R86" i="6"/>
  <c r="S85" i="6"/>
  <c r="F13" i="9" l="1"/>
  <c r="F14" i="9" s="1"/>
  <c r="I13" i="9" s="1"/>
  <c r="F7" i="9"/>
  <c r="I6" i="9" s="1"/>
  <c r="F7" i="8"/>
  <c r="I6" i="8" s="1"/>
  <c r="F14" i="8"/>
  <c r="I13" i="8" s="1"/>
  <c r="R87" i="6"/>
  <c r="S86" i="6"/>
  <c r="I18" i="9" l="1"/>
  <c r="R88" i="6"/>
  <c r="S87" i="6"/>
  <c r="S88" i="6" l="1"/>
  <c r="R89" i="6"/>
  <c r="R90" i="6" l="1"/>
  <c r="S89" i="6"/>
  <c r="R91" i="6" l="1"/>
  <c r="S90" i="6"/>
  <c r="S91" i="6" l="1"/>
  <c r="R92" i="6"/>
  <c r="S92" i="6" l="1"/>
  <c r="R93" i="6"/>
  <c r="R94" i="6" l="1"/>
  <c r="S93" i="6"/>
  <c r="R95" i="6" l="1"/>
  <c r="S94" i="6"/>
  <c r="R96" i="6" l="1"/>
  <c r="S95" i="6"/>
  <c r="R97" i="6" l="1"/>
  <c r="S96" i="6"/>
  <c r="R98" i="6" l="1"/>
  <c r="S97" i="6"/>
  <c r="S103" i="6"/>
  <c r="S98" i="6" l="1"/>
  <c r="R99" i="6"/>
  <c r="S99" i="6" l="1"/>
  <c r="R100" i="6"/>
  <c r="S100" i="6" l="1"/>
  <c r="R101" i="6"/>
  <c r="R102" i="6" l="1"/>
  <c r="S101" i="6"/>
  <c r="R103" i="6" l="1"/>
  <c r="R104" i="6" s="1"/>
  <c r="S102" i="6"/>
  <c r="R3" i="5" l="1"/>
  <c r="R105" i="6"/>
  <c r="S104" i="6"/>
  <c r="R106" i="6" l="1"/>
  <c r="S105" i="6"/>
  <c r="S3" i="5"/>
  <c r="R4" i="5"/>
  <c r="R5" i="5" l="1"/>
  <c r="S4" i="5"/>
  <c r="S106" i="6"/>
  <c r="R107" i="6"/>
  <c r="S107" i="6" l="1"/>
  <c r="R108" i="6"/>
  <c r="S5" i="5"/>
  <c r="R6" i="5"/>
  <c r="R7" i="5" l="1"/>
  <c r="S6" i="5"/>
  <c r="S108" i="6"/>
  <c r="R109" i="6"/>
  <c r="R110" i="6" l="1"/>
  <c r="S109" i="6"/>
  <c r="S7" i="5"/>
  <c r="R8" i="5"/>
  <c r="R9" i="5" l="1"/>
  <c r="S8" i="5"/>
  <c r="R111" i="6"/>
  <c r="S110" i="6"/>
  <c r="R112" i="6" l="1"/>
  <c r="S111" i="6"/>
  <c r="R10" i="5"/>
  <c r="S9" i="5"/>
  <c r="R11" i="5" l="1"/>
  <c r="S10" i="5"/>
  <c r="R113" i="6"/>
  <c r="S112" i="6"/>
  <c r="S113" i="6" l="1"/>
  <c r="R114" i="6"/>
  <c r="S11" i="5"/>
  <c r="R12" i="5"/>
  <c r="S12" i="5" l="1"/>
  <c r="R13" i="5"/>
  <c r="S114" i="6"/>
  <c r="R115" i="6"/>
  <c r="S115" i="6" l="1"/>
  <c r="R116" i="6"/>
  <c r="S13" i="5"/>
  <c r="R14" i="5"/>
  <c r="S14" i="5" l="1"/>
  <c r="R15" i="5"/>
  <c r="S116" i="6"/>
  <c r="R117" i="6"/>
  <c r="R118" i="6" l="1"/>
  <c r="S117" i="6"/>
  <c r="S15" i="5"/>
  <c r="R16" i="5"/>
  <c r="R17" i="5" l="1"/>
  <c r="S16" i="5"/>
  <c r="R119" i="6"/>
  <c r="S118" i="6"/>
  <c r="S17" i="5" l="1"/>
  <c r="R18" i="5"/>
  <c r="R120" i="6"/>
  <c r="S119" i="6"/>
  <c r="S120" i="6" l="1"/>
  <c r="R121" i="6"/>
  <c r="R19" i="5"/>
  <c r="S18" i="5"/>
  <c r="R20" i="5" l="1"/>
  <c r="S19" i="5"/>
  <c r="R122" i="6"/>
  <c r="S121" i="6"/>
  <c r="R123" i="6" l="1"/>
  <c r="S122" i="6"/>
  <c r="R21" i="5"/>
  <c r="S20" i="5"/>
  <c r="S123" i="6" l="1"/>
  <c r="R124" i="6"/>
  <c r="S21" i="5"/>
  <c r="R22" i="5"/>
  <c r="S124" i="6" l="1"/>
  <c r="R125" i="6"/>
  <c r="R23" i="5"/>
  <c r="S22" i="5"/>
  <c r="R24" i="5" l="1"/>
  <c r="S23" i="5"/>
  <c r="R126" i="6"/>
  <c r="S125" i="6"/>
  <c r="R127" i="6" l="1"/>
  <c r="S126" i="6"/>
  <c r="S24" i="5"/>
  <c r="R25" i="5"/>
  <c r="R128" i="6" l="1"/>
  <c r="S127" i="6"/>
  <c r="R26" i="5"/>
  <c r="S25" i="5"/>
  <c r="R27" i="5" l="1"/>
  <c r="S26" i="5"/>
  <c r="R129" i="6"/>
  <c r="S128" i="6"/>
  <c r="R130" i="6" l="1"/>
  <c r="S129" i="6"/>
  <c r="R28" i="5"/>
  <c r="S27" i="5"/>
  <c r="S28" i="5" l="1"/>
  <c r="R29" i="5"/>
  <c r="S130" i="6"/>
  <c r="R131" i="6"/>
  <c r="S131" i="6" l="1"/>
  <c r="R132" i="6"/>
  <c r="R30" i="5"/>
  <c r="R31" i="5" s="1"/>
  <c r="S29" i="5"/>
  <c r="S132" i="6" l="1"/>
  <c r="R133" i="6"/>
  <c r="S31" i="5"/>
  <c r="R32" i="5"/>
  <c r="R134" i="6" l="1"/>
  <c r="S133" i="6"/>
  <c r="R33" i="5"/>
  <c r="S32" i="5"/>
  <c r="S33" i="5" l="1"/>
  <c r="R34" i="5"/>
  <c r="R135" i="6"/>
  <c r="S134" i="6"/>
  <c r="R136" i="6" l="1"/>
  <c r="S135" i="6"/>
  <c r="R35" i="5"/>
  <c r="S34" i="5"/>
  <c r="S35" i="5" l="1"/>
  <c r="R36" i="5"/>
  <c r="S136" i="6"/>
  <c r="R137" i="6"/>
  <c r="R138" i="6" l="1"/>
  <c r="S137" i="6"/>
  <c r="S36" i="5"/>
  <c r="R37" i="5"/>
  <c r="S37" i="5" l="1"/>
  <c r="R38" i="5"/>
  <c r="R139" i="6"/>
  <c r="S138" i="6"/>
  <c r="R39" i="5" l="1"/>
  <c r="S38" i="5"/>
  <c r="S139" i="6"/>
  <c r="R140" i="6"/>
  <c r="S140" i="6" l="1"/>
  <c r="R141" i="6"/>
  <c r="S39" i="5"/>
  <c r="R40" i="5"/>
  <c r="S40" i="5" l="1"/>
  <c r="R41" i="5"/>
  <c r="R142" i="6"/>
  <c r="S141" i="6"/>
  <c r="R143" i="6" l="1"/>
  <c r="S142" i="6"/>
  <c r="R42" i="5"/>
  <c r="S41" i="5"/>
  <c r="S42" i="5" l="1"/>
  <c r="R43" i="5"/>
  <c r="R144" i="6"/>
  <c r="S143" i="6"/>
  <c r="R145" i="6" l="1"/>
  <c r="S144" i="6"/>
  <c r="R44" i="5"/>
  <c r="S43" i="5"/>
  <c r="S44" i="5" l="1"/>
  <c r="R45" i="5"/>
  <c r="S145" i="6"/>
  <c r="R146" i="6"/>
  <c r="R46" i="5" l="1"/>
  <c r="S45" i="5"/>
  <c r="R147" i="6"/>
  <c r="S146" i="6"/>
  <c r="S147" i="6" l="1"/>
  <c r="R148" i="6"/>
  <c r="R47" i="5"/>
  <c r="S46" i="5"/>
  <c r="R48" i="5" l="1"/>
  <c r="S47" i="5"/>
  <c r="S148" i="6"/>
  <c r="R149" i="6"/>
  <c r="R150" i="6" l="1"/>
  <c r="S149" i="6"/>
  <c r="S48" i="5"/>
  <c r="R49" i="5"/>
  <c r="R50" i="5" l="1"/>
  <c r="S49" i="5"/>
  <c r="R151" i="6"/>
  <c r="S150" i="6"/>
  <c r="R152" i="6" l="1"/>
  <c r="S151" i="6"/>
  <c r="S50" i="5"/>
  <c r="R51" i="5"/>
  <c r="S51" i="5" l="1"/>
  <c r="R52" i="5"/>
  <c r="S152" i="6"/>
  <c r="R153" i="6"/>
  <c r="S153" i="6" l="1"/>
  <c r="R154" i="6"/>
  <c r="R53" i="5"/>
  <c r="S52" i="5"/>
  <c r="R155" i="6" l="1"/>
  <c r="S154" i="6"/>
  <c r="S53" i="5"/>
  <c r="R54" i="5"/>
  <c r="S54" i="5" l="1"/>
  <c r="R55" i="5"/>
  <c r="S155" i="6"/>
  <c r="R156" i="6"/>
  <c r="S156" i="6" l="1"/>
  <c r="R157" i="6"/>
  <c r="R56" i="5"/>
  <c r="S55" i="5"/>
  <c r="S56" i="5" l="1"/>
  <c r="R57" i="5"/>
  <c r="R158" i="6"/>
  <c r="S157" i="6"/>
  <c r="S57" i="5" l="1"/>
  <c r="R58" i="5"/>
  <c r="R159" i="6"/>
  <c r="S158" i="6"/>
  <c r="R160" i="6" l="1"/>
  <c r="S159" i="6"/>
  <c r="S58" i="5"/>
  <c r="R59" i="5"/>
  <c r="S59" i="5" l="1"/>
  <c r="R60" i="5"/>
  <c r="S160" i="6"/>
  <c r="R161" i="6"/>
  <c r="R61" i="5" l="1"/>
  <c r="S60" i="5"/>
  <c r="R162" i="6"/>
  <c r="S161" i="6"/>
  <c r="S162" i="6" l="1"/>
  <c r="R163" i="6"/>
  <c r="R62" i="5"/>
  <c r="S61" i="5"/>
  <c r="S163" i="6" l="1"/>
  <c r="R164" i="6"/>
  <c r="R63" i="5"/>
  <c r="S62" i="5"/>
  <c r="S63" i="5" l="1"/>
  <c r="R64" i="5"/>
  <c r="S164" i="6"/>
  <c r="R165" i="6"/>
  <c r="R166" i="6" l="1"/>
  <c r="S165" i="6"/>
  <c r="S64" i="5"/>
  <c r="R65" i="5"/>
  <c r="R66" i="5" l="1"/>
  <c r="S65" i="5"/>
  <c r="R167" i="6"/>
  <c r="S166" i="6"/>
  <c r="R168" i="6" l="1"/>
  <c r="S167" i="6"/>
  <c r="S66" i="5"/>
  <c r="R67" i="5"/>
  <c r="R68" i="5" l="1"/>
  <c r="S67" i="5"/>
  <c r="S168" i="6"/>
  <c r="R169" i="6"/>
  <c r="R170" i="6" l="1"/>
  <c r="S169" i="6"/>
  <c r="R69" i="5"/>
  <c r="S68" i="5"/>
  <c r="S69" i="5" l="1"/>
  <c r="R70" i="5"/>
  <c r="R171" i="6"/>
  <c r="S170" i="6"/>
  <c r="S171" i="6" l="1"/>
  <c r="R172" i="6"/>
  <c r="R71" i="5"/>
  <c r="S70" i="5"/>
  <c r="R72" i="5" l="1"/>
  <c r="S71" i="5"/>
  <c r="S172" i="6"/>
  <c r="R173" i="6"/>
  <c r="R174" i="6" l="1"/>
  <c r="S173" i="6"/>
  <c r="R73" i="5"/>
  <c r="S72" i="5"/>
  <c r="S73" i="5" l="1"/>
  <c r="R74" i="5"/>
  <c r="R175" i="6"/>
  <c r="S174" i="6"/>
  <c r="S74" i="5" l="1"/>
  <c r="R75" i="5"/>
  <c r="R176" i="6"/>
  <c r="S175" i="6"/>
  <c r="R177" i="6" l="1"/>
  <c r="S176" i="6"/>
  <c r="R76" i="5"/>
  <c r="S75" i="5"/>
  <c r="R77" i="5" l="1"/>
  <c r="S76" i="5"/>
  <c r="S177" i="6"/>
  <c r="R178" i="6"/>
  <c r="S178" i="6" l="1"/>
  <c r="R179" i="6"/>
  <c r="R78" i="5"/>
  <c r="S77" i="5"/>
  <c r="S78" i="5" l="1"/>
  <c r="R79" i="5"/>
  <c r="S179" i="6"/>
  <c r="R180" i="6"/>
  <c r="S180" i="6" l="1"/>
  <c r="R181" i="6"/>
  <c r="S79" i="5"/>
  <c r="R80" i="5"/>
  <c r="R81" i="5" l="1"/>
  <c r="S80" i="5"/>
  <c r="R182" i="6"/>
  <c r="S181" i="6"/>
  <c r="R183" i="6" l="1"/>
  <c r="S182" i="6"/>
  <c r="R82" i="5"/>
  <c r="S81" i="5"/>
  <c r="S82" i="5" l="1"/>
  <c r="R83" i="5"/>
  <c r="R184" i="6"/>
  <c r="S183" i="6"/>
  <c r="S184" i="6" l="1"/>
  <c r="R185" i="6"/>
  <c r="S83" i="5"/>
  <c r="R84" i="5"/>
  <c r="S185" i="6" l="1"/>
  <c r="R186" i="6"/>
  <c r="R85" i="5"/>
  <c r="S84" i="5"/>
  <c r="R86" i="5" l="1"/>
  <c r="S85" i="5"/>
  <c r="R187" i="6"/>
  <c r="S186" i="6"/>
  <c r="S187" i="6" l="1"/>
  <c r="R188" i="6"/>
  <c r="R87" i="5"/>
  <c r="S86" i="5"/>
  <c r="S87" i="5" l="1"/>
  <c r="R88" i="5"/>
  <c r="S188" i="6"/>
  <c r="R189" i="6"/>
  <c r="R190" i="6" l="1"/>
  <c r="S189" i="6"/>
  <c r="R89" i="5"/>
  <c r="S88" i="5"/>
  <c r="R90" i="5" l="1"/>
  <c r="S89" i="5"/>
  <c r="R191" i="6"/>
  <c r="S190" i="6"/>
  <c r="R192" i="6" l="1"/>
  <c r="S191" i="6"/>
  <c r="R91" i="5"/>
  <c r="S90" i="5"/>
  <c r="R92" i="5" l="1"/>
  <c r="S91" i="5"/>
  <c r="R193" i="6"/>
  <c r="S192" i="6"/>
  <c r="S193" i="6" l="1"/>
  <c r="R194" i="6"/>
  <c r="S92" i="5"/>
  <c r="R93" i="5"/>
  <c r="R94" i="5" l="1"/>
  <c r="S93" i="5"/>
  <c r="S194" i="6"/>
  <c r="R195" i="6"/>
  <c r="S195" i="6" s="1"/>
  <c r="R95" i="5" l="1"/>
  <c r="S94" i="5"/>
  <c r="S95" i="5" l="1"/>
  <c r="R96" i="5"/>
  <c r="R97" i="5" l="1"/>
  <c r="S96" i="5"/>
  <c r="R98" i="5" l="1"/>
  <c r="S97" i="5"/>
  <c r="S98" i="5" l="1"/>
  <c r="R99" i="5"/>
  <c r="S99" i="5" l="1"/>
  <c r="R100" i="5"/>
  <c r="R101" i="5" l="1"/>
  <c r="S100" i="5"/>
  <c r="R102" i="5" l="1"/>
  <c r="S101" i="5"/>
  <c r="S102" i="5" l="1"/>
  <c r="R103" i="5"/>
  <c r="R104" i="5" l="1"/>
  <c r="S103" i="5"/>
  <c r="S104" i="5" l="1"/>
  <c r="R105" i="5"/>
  <c r="R106" i="5" l="1"/>
  <c r="S105" i="5"/>
  <c r="R107" i="5" l="1"/>
  <c r="S106" i="5"/>
  <c r="S107" i="5" l="1"/>
  <c r="R108" i="5"/>
  <c r="R109" i="5" l="1"/>
  <c r="S108" i="5"/>
  <c r="R110" i="5" l="1"/>
  <c r="S109" i="5"/>
  <c r="R111" i="5" l="1"/>
  <c r="S110" i="5"/>
  <c r="S111" i="5" l="1"/>
  <c r="R112" i="5"/>
  <c r="S112" i="5" l="1"/>
  <c r="R113" i="5"/>
  <c r="S113" i="5" l="1"/>
  <c r="R114" i="5"/>
  <c r="R115" i="5" l="1"/>
  <c r="S114" i="5"/>
  <c r="S115" i="5" l="1"/>
  <c r="R116" i="5"/>
  <c r="S116" i="5" l="1"/>
  <c r="R117" i="5"/>
  <c r="R118" i="5" l="1"/>
  <c r="S117" i="5"/>
  <c r="S118" i="5" l="1"/>
  <c r="R119" i="5"/>
  <c r="R120" i="5" l="1"/>
  <c r="S119" i="5"/>
  <c r="R121" i="5" l="1"/>
  <c r="S120" i="5"/>
  <c r="S121" i="5" l="1"/>
  <c r="R122" i="5"/>
  <c r="R123" i="5" l="1"/>
  <c r="S122" i="5"/>
  <c r="S123" i="5" l="1"/>
  <c r="R124" i="5"/>
  <c r="R125" i="5" l="1"/>
  <c r="S124" i="5"/>
  <c r="R126" i="5" l="1"/>
  <c r="S125" i="5"/>
  <c r="S126" i="5" l="1"/>
  <c r="R127" i="5"/>
  <c r="R128" i="5" l="1"/>
  <c r="S127" i="5"/>
  <c r="R129" i="5" l="1"/>
  <c r="S128" i="5"/>
  <c r="S129" i="5" l="1"/>
  <c r="R130" i="5"/>
  <c r="R131" i="5" l="1"/>
  <c r="S130" i="5"/>
  <c r="R132" i="5" l="1"/>
  <c r="S131" i="5"/>
  <c r="S132" i="5" l="1"/>
  <c r="R133" i="5"/>
  <c r="R134" i="5" l="1"/>
  <c r="S133" i="5"/>
  <c r="R135" i="5" l="1"/>
  <c r="S134" i="5"/>
  <c r="R136" i="5" l="1"/>
  <c r="S135" i="5"/>
  <c r="S136" i="5" l="1"/>
  <c r="R137" i="5"/>
  <c r="S137" i="5" l="1"/>
  <c r="R138" i="5"/>
  <c r="R139" i="5" l="1"/>
  <c r="S138" i="5"/>
  <c r="S139" i="5" l="1"/>
  <c r="R140" i="5"/>
  <c r="R141" i="5" l="1"/>
  <c r="S140" i="5"/>
  <c r="R142" i="5" l="1"/>
  <c r="S141" i="5"/>
  <c r="R143" i="5" l="1"/>
  <c r="S142" i="5"/>
  <c r="S143" i="5" l="1"/>
  <c r="R144" i="5"/>
  <c r="R145" i="5" l="1"/>
  <c r="S144" i="5"/>
  <c r="S145" i="5" l="1"/>
  <c r="R146" i="5"/>
  <c r="S146" i="5" l="1"/>
  <c r="R147" i="5"/>
  <c r="R3" i="3"/>
  <c r="S3" i="3" l="1"/>
  <c r="R4" i="3"/>
  <c r="R148" i="5"/>
  <c r="S147" i="5"/>
  <c r="R149" i="5" l="1"/>
  <c r="S148" i="5"/>
  <c r="R5" i="3"/>
  <c r="S4" i="3"/>
  <c r="R6" i="3" l="1"/>
  <c r="S5" i="3"/>
  <c r="S149" i="5"/>
  <c r="R150" i="5"/>
  <c r="R151" i="5" l="1"/>
  <c r="S150" i="5"/>
  <c r="S6" i="3"/>
  <c r="R7" i="3"/>
  <c r="R152" i="5" l="1"/>
  <c r="S151" i="5"/>
  <c r="S7" i="3"/>
  <c r="R8" i="3"/>
  <c r="R9" i="3" l="1"/>
  <c r="S8" i="3"/>
  <c r="S152" i="5"/>
  <c r="R153" i="5"/>
  <c r="S153" i="5" l="1"/>
  <c r="R154" i="5"/>
  <c r="S9" i="3"/>
  <c r="R10" i="3"/>
  <c r="R11" i="3" l="1"/>
  <c r="S10" i="3"/>
  <c r="R155" i="5"/>
  <c r="S154" i="5"/>
  <c r="R156" i="5" l="1"/>
  <c r="S155" i="5"/>
  <c r="R12" i="3"/>
  <c r="S11" i="3"/>
  <c r="S12" i="3" l="1"/>
  <c r="R13" i="3"/>
  <c r="R157" i="5"/>
  <c r="S156" i="5"/>
  <c r="R158" i="5" l="1"/>
  <c r="S157" i="5"/>
  <c r="S13" i="3"/>
  <c r="R14" i="3"/>
  <c r="S14" i="3" l="1"/>
  <c r="R15" i="3"/>
  <c r="S158" i="5"/>
  <c r="R159" i="5"/>
  <c r="R160" i="5" l="1"/>
  <c r="S159" i="5"/>
  <c r="S15" i="3"/>
  <c r="R16" i="3"/>
  <c r="R17" i="3" l="1"/>
  <c r="S16" i="3"/>
  <c r="R161" i="5"/>
  <c r="S160" i="5"/>
  <c r="S161" i="5" l="1"/>
  <c r="R162" i="5"/>
  <c r="S17" i="3"/>
  <c r="R18" i="3"/>
  <c r="R19" i="3" l="1"/>
  <c r="S18" i="3"/>
  <c r="S162" i="5"/>
  <c r="R163" i="5"/>
  <c r="R164" i="5" l="1"/>
  <c r="S163" i="5"/>
  <c r="S19" i="3"/>
  <c r="R20" i="3"/>
  <c r="S20" i="3" l="1"/>
  <c r="R21" i="3"/>
  <c r="S164" i="5"/>
  <c r="R165" i="5"/>
  <c r="S165" i="5" l="1"/>
  <c r="R166" i="5"/>
  <c r="R22" i="3"/>
  <c r="S21" i="3"/>
  <c r="R167" i="5" l="1"/>
  <c r="S166" i="5"/>
  <c r="S22" i="3"/>
  <c r="R23" i="3"/>
  <c r="R24" i="3" l="1"/>
  <c r="S23" i="3"/>
  <c r="S167" i="5"/>
  <c r="R168" i="5"/>
  <c r="S168" i="5" l="1"/>
  <c r="R169" i="5"/>
  <c r="R25" i="3"/>
  <c r="S24" i="3"/>
  <c r="S25" i="3" l="1"/>
  <c r="R26" i="3"/>
  <c r="S169" i="5"/>
  <c r="R170" i="5"/>
  <c r="R171" i="5" l="1"/>
  <c r="S170" i="5"/>
  <c r="R27" i="3"/>
  <c r="S26" i="3"/>
  <c r="R28" i="3" l="1"/>
  <c r="S27" i="3"/>
  <c r="R172" i="5"/>
  <c r="S171" i="5"/>
  <c r="R173" i="5" l="1"/>
  <c r="S172" i="5"/>
  <c r="S28" i="3"/>
  <c r="R29" i="3"/>
  <c r="R30" i="3" l="1"/>
  <c r="S29" i="3"/>
  <c r="S173" i="5"/>
  <c r="R174" i="5"/>
  <c r="R175" i="5" l="1"/>
  <c r="S174" i="5"/>
  <c r="S30" i="3"/>
  <c r="R31" i="3"/>
  <c r="R32" i="3" l="1"/>
  <c r="S31" i="3"/>
  <c r="S175" i="5"/>
  <c r="R176" i="5"/>
  <c r="R177" i="5" l="1"/>
  <c r="S176" i="5"/>
  <c r="R33" i="3"/>
  <c r="S32" i="3"/>
  <c r="S33" i="3" l="1"/>
  <c r="R34" i="3"/>
  <c r="S177" i="5"/>
  <c r="R178" i="5"/>
  <c r="S178" i="5" l="1"/>
  <c r="R179" i="5"/>
  <c r="S34" i="3"/>
  <c r="R35" i="3"/>
  <c r="R36" i="3" l="1"/>
  <c r="S35" i="3"/>
  <c r="R180" i="5"/>
  <c r="S179" i="5"/>
  <c r="R181" i="5" l="1"/>
  <c r="S180" i="5"/>
  <c r="R37" i="3"/>
  <c r="S36" i="3"/>
  <c r="S37" i="3" l="1"/>
  <c r="R38" i="3"/>
  <c r="S181" i="5"/>
  <c r="R182" i="5"/>
  <c r="S182" i="5" l="1"/>
  <c r="R183" i="5"/>
  <c r="R39" i="3"/>
  <c r="S38" i="3"/>
  <c r="S39" i="3" l="1"/>
  <c r="R40" i="3"/>
  <c r="R184" i="5"/>
  <c r="S183" i="5"/>
  <c r="S184" i="5" l="1"/>
  <c r="R185" i="5"/>
  <c r="R41" i="3"/>
  <c r="S40" i="3"/>
  <c r="R42" i="3" l="1"/>
  <c r="S41" i="3"/>
  <c r="S185" i="5"/>
  <c r="R186" i="5"/>
  <c r="R187" i="5" l="1"/>
  <c r="S186" i="5"/>
  <c r="S42" i="3"/>
  <c r="R43" i="3"/>
  <c r="R44" i="3" l="1"/>
  <c r="S43" i="3"/>
  <c r="R188" i="5"/>
  <c r="S187" i="5"/>
  <c r="S188" i="5" l="1"/>
  <c r="R189" i="5"/>
  <c r="R45" i="3"/>
  <c r="S44" i="3"/>
  <c r="R190" i="5" l="1"/>
  <c r="S189" i="5"/>
  <c r="S45" i="3"/>
  <c r="R46" i="3"/>
  <c r="R47" i="3" l="1"/>
  <c r="S46" i="3"/>
  <c r="S190" i="5"/>
  <c r="R191" i="5"/>
  <c r="R192" i="5" l="1"/>
  <c r="S191" i="5"/>
  <c r="S47" i="3"/>
  <c r="R48" i="3"/>
  <c r="R49" i="3" l="1"/>
  <c r="S48" i="3"/>
  <c r="R193" i="5"/>
  <c r="S192" i="5"/>
  <c r="S193" i="5" l="1"/>
  <c r="R194" i="5"/>
  <c r="R50" i="3"/>
  <c r="S49" i="3"/>
  <c r="S50" i="3" l="1"/>
  <c r="R51" i="3"/>
  <c r="R195" i="5"/>
  <c r="S195" i="5" s="1"/>
  <c r="S194" i="5"/>
  <c r="R52" i="3" l="1"/>
  <c r="S51" i="3"/>
  <c r="R53" i="3" l="1"/>
  <c r="S52" i="3"/>
  <c r="S53" i="3" l="1"/>
  <c r="R54" i="3"/>
  <c r="R55" i="3" l="1"/>
  <c r="S54" i="3"/>
  <c r="S55" i="3" l="1"/>
  <c r="R56" i="3"/>
  <c r="R57" i="3" l="1"/>
  <c r="S56" i="3"/>
  <c r="R58" i="3" l="1"/>
  <c r="S57" i="3"/>
  <c r="S58" i="3" l="1"/>
  <c r="R59" i="3"/>
  <c r="R60" i="3" l="1"/>
  <c r="S59" i="3"/>
  <c r="R61" i="3" l="1"/>
  <c r="S60" i="3"/>
  <c r="S61" i="3" l="1"/>
  <c r="R62" i="3"/>
  <c r="S62" i="3" l="1"/>
  <c r="R63" i="3"/>
  <c r="R64" i="3" l="1"/>
  <c r="S63" i="3"/>
  <c r="S64" i="3" l="1"/>
  <c r="R65" i="3"/>
  <c r="S65" i="3" l="1"/>
  <c r="R66" i="3"/>
  <c r="R67" i="3" l="1"/>
  <c r="S66" i="3"/>
  <c r="S67" i="3" l="1"/>
  <c r="R68" i="3"/>
  <c r="R69" i="3" l="1"/>
  <c r="S68" i="3"/>
  <c r="R70" i="3" l="1"/>
  <c r="S69" i="3"/>
  <c r="S70" i="3" l="1"/>
  <c r="R71" i="3"/>
  <c r="R72" i="3" l="1"/>
  <c r="S71" i="3"/>
  <c r="S72" i="3" l="1"/>
  <c r="R73" i="3"/>
  <c r="R74" i="3" l="1"/>
  <c r="S73" i="3"/>
  <c r="R75" i="3" l="1"/>
  <c r="S74" i="3"/>
  <c r="S75" i="3" l="1"/>
  <c r="R76" i="3"/>
  <c r="R77" i="3" l="1"/>
  <c r="S76" i="3"/>
  <c r="R78" i="3" l="1"/>
  <c r="S77" i="3"/>
  <c r="S78" i="3" l="1"/>
  <c r="R79" i="3"/>
  <c r="S79" i="3" l="1"/>
  <c r="R80" i="3"/>
  <c r="R81" i="3" l="1"/>
  <c r="S80" i="3"/>
  <c r="S81" i="3" l="1"/>
  <c r="R82" i="3"/>
  <c r="S82" i="3" l="1"/>
  <c r="R83" i="3"/>
  <c r="R84" i="3" l="1"/>
  <c r="S83" i="3"/>
  <c r="S84" i="3" l="1"/>
  <c r="R85" i="3"/>
  <c r="R86" i="3" l="1"/>
  <c r="S85" i="3"/>
  <c r="S86" i="3" l="1"/>
  <c r="R87" i="3"/>
  <c r="S87" i="3" l="1"/>
  <c r="R88" i="3"/>
  <c r="R89" i="3" l="1"/>
  <c r="S88" i="3"/>
  <c r="S89" i="3" l="1"/>
  <c r="R90" i="3"/>
  <c r="S90" i="3" l="1"/>
  <c r="R91" i="3"/>
  <c r="R92" i="3" l="1"/>
  <c r="S91" i="3"/>
  <c r="S92" i="3" l="1"/>
  <c r="R93" i="3"/>
  <c r="R94" i="3" l="1"/>
  <c r="S93" i="3"/>
  <c r="R95" i="3" l="1"/>
  <c r="S94" i="3"/>
  <c r="S95" i="3" l="1"/>
  <c r="R96" i="3"/>
  <c r="R97" i="3" l="1"/>
  <c r="S96" i="3"/>
  <c r="S97" i="3" l="1"/>
  <c r="R98" i="3"/>
  <c r="R99" i="3" l="1"/>
  <c r="S98" i="3"/>
  <c r="R100" i="3" l="1"/>
  <c r="S99" i="3"/>
  <c r="S100" i="3" l="1"/>
  <c r="R101" i="3"/>
  <c r="R102" i="3" l="1"/>
  <c r="S101" i="3"/>
  <c r="R103" i="3" l="1"/>
  <c r="S102" i="3"/>
  <c r="S103" i="3" l="1"/>
  <c r="R104" i="3"/>
  <c r="R105" i="3" l="1"/>
  <c r="S104" i="3"/>
  <c r="S105" i="3" l="1"/>
  <c r="R106" i="3"/>
  <c r="R107" i="3" l="1"/>
  <c r="S106" i="3"/>
  <c r="R108" i="3" l="1"/>
  <c r="S107" i="3"/>
  <c r="S108" i="3" l="1"/>
  <c r="R109" i="3"/>
  <c r="S109" i="3" l="1"/>
  <c r="R110" i="3"/>
  <c r="R111" i="3" l="1"/>
  <c r="S110" i="3"/>
  <c r="S111" i="3" l="1"/>
  <c r="R112" i="3"/>
  <c r="R113" i="3" l="1"/>
  <c r="S112" i="3"/>
  <c r="R114" i="3" l="1"/>
  <c r="S113" i="3"/>
  <c r="S114" i="3" l="1"/>
  <c r="R115" i="3"/>
  <c r="S115" i="3" l="1"/>
  <c r="R116" i="3"/>
  <c r="R117" i="3" l="1"/>
  <c r="S116" i="3"/>
  <c r="S117" i="3" l="1"/>
  <c r="R118" i="3"/>
  <c r="R119" i="3" l="1"/>
  <c r="S118" i="3"/>
  <c r="S119" i="3" l="1"/>
  <c r="R120" i="3"/>
  <c r="S120" i="3" l="1"/>
  <c r="R121" i="3"/>
  <c r="R122" i="3" l="1"/>
  <c r="S121" i="3"/>
  <c r="S122" i="3" l="1"/>
  <c r="R123" i="3"/>
  <c r="R124" i="3" l="1"/>
  <c r="S123" i="3"/>
  <c r="R125" i="3" l="1"/>
  <c r="S124" i="3"/>
  <c r="S125" i="3" l="1"/>
  <c r="R126" i="3"/>
  <c r="R127" i="3" l="1"/>
  <c r="S126" i="3"/>
  <c r="R128" i="3" l="1"/>
  <c r="S127" i="3"/>
  <c r="S128" i="3" l="1"/>
  <c r="R129" i="3"/>
  <c r="R130" i="3" l="1"/>
  <c r="S129" i="3"/>
  <c r="S130" i="3" l="1"/>
  <c r="R131" i="3"/>
  <c r="R132" i="3" l="1"/>
  <c r="S131" i="3"/>
  <c r="R133" i="3" l="1"/>
  <c r="S132" i="3"/>
  <c r="S133" i="3" l="1"/>
  <c r="R134" i="3"/>
  <c r="R135" i="3" l="1"/>
  <c r="S134" i="3"/>
  <c r="R136" i="3" l="1"/>
  <c r="S135" i="3"/>
  <c r="S136" i="3" l="1"/>
  <c r="R137" i="3"/>
  <c r="R138" i="3" l="1"/>
  <c r="S137" i="3"/>
  <c r="S138" i="3" l="1"/>
  <c r="R139" i="3"/>
  <c r="S139" i="3" l="1"/>
  <c r="R140" i="3"/>
  <c r="R141" i="3" l="1"/>
  <c r="S140" i="3"/>
  <c r="S141" i="3" l="1"/>
  <c r="R142" i="3"/>
  <c r="R143" i="3" l="1"/>
  <c r="S142" i="3"/>
  <c r="R144" i="3" l="1"/>
  <c r="S143" i="3"/>
  <c r="S144" i="3" l="1"/>
  <c r="R145" i="3"/>
  <c r="R146" i="3" l="1"/>
  <c r="S145" i="3"/>
  <c r="R147" i="3" l="1"/>
  <c r="S146" i="3"/>
  <c r="S147" i="3" l="1"/>
  <c r="R148" i="3"/>
  <c r="S148" i="3" l="1"/>
  <c r="R149" i="3"/>
  <c r="R150" i="3" l="1"/>
  <c r="S149" i="3"/>
  <c r="S150" i="3" l="1"/>
  <c r="R151" i="3"/>
  <c r="R152" i="3" l="1"/>
  <c r="S151" i="3"/>
  <c r="R153" i="3" l="1"/>
  <c r="S152" i="3"/>
  <c r="S153" i="3" l="1"/>
  <c r="R154" i="3"/>
  <c r="R155" i="3" l="1"/>
  <c r="S154" i="3"/>
  <c r="S155" i="3" l="1"/>
  <c r="R156" i="3"/>
  <c r="R157" i="3" l="1"/>
  <c r="S156" i="3"/>
  <c r="R158" i="3" l="1"/>
  <c r="S157" i="3"/>
  <c r="S158" i="3" l="1"/>
  <c r="R159" i="3"/>
  <c r="R160" i="3" l="1"/>
  <c r="S159" i="3"/>
  <c r="R161" i="3" l="1"/>
  <c r="S160" i="3"/>
  <c r="S161" i="3" l="1"/>
  <c r="R162" i="3"/>
  <c r="R163" i="3" l="1"/>
  <c r="S162" i="3"/>
  <c r="S163" i="3" l="1"/>
  <c r="R164" i="3"/>
  <c r="R165" i="3" l="1"/>
  <c r="S164" i="3"/>
  <c r="R166" i="3" l="1"/>
  <c r="S165" i="3"/>
  <c r="S166" i="3" l="1"/>
  <c r="R167" i="3"/>
  <c r="R168" i="3" l="1"/>
  <c r="S167" i="3"/>
  <c r="S168" i="3" l="1"/>
  <c r="R169" i="3"/>
  <c r="S169" i="3" l="1"/>
  <c r="R170" i="3"/>
  <c r="R171" i="3" l="1"/>
  <c r="S170" i="3"/>
  <c r="S171" i="3" l="1"/>
  <c r="R172" i="3"/>
  <c r="S172" i="3" l="1"/>
  <c r="R173" i="3"/>
  <c r="R174" i="3" l="1"/>
  <c r="S173" i="3"/>
  <c r="S174" i="3" l="1"/>
  <c r="R175" i="3"/>
  <c r="R176" i="3" l="1"/>
  <c r="S175" i="3"/>
  <c r="S176" i="3" l="1"/>
  <c r="R177" i="3"/>
  <c r="S177" i="3" l="1"/>
  <c r="R178" i="3"/>
  <c r="R179" i="3" l="1"/>
  <c r="S178" i="3"/>
  <c r="S179" i="3" l="1"/>
  <c r="R180" i="3"/>
  <c r="S180" i="3" l="1"/>
  <c r="R181" i="3"/>
  <c r="R182" i="3" l="1"/>
  <c r="S181" i="3"/>
  <c r="S182" i="3" l="1"/>
  <c r="R183" i="3"/>
  <c r="S183" i="3" l="1"/>
  <c r="T183" i="3" s="1"/>
  <c r="S219" i="3" s="1"/>
  <c r="R184" i="3"/>
  <c r="R185" i="3" l="1"/>
  <c r="S184" i="3"/>
  <c r="S185" i="3" l="1"/>
  <c r="R186" i="3"/>
  <c r="S186" i="3" l="1"/>
  <c r="R187" i="3"/>
  <c r="R188" i="3" l="1"/>
  <c r="S187" i="3"/>
  <c r="S188" i="3" l="1"/>
  <c r="R189" i="3"/>
  <c r="R190" i="3" l="1"/>
  <c r="S189" i="3"/>
  <c r="R191" i="3" l="1"/>
  <c r="S190" i="3"/>
  <c r="S191" i="3" l="1"/>
  <c r="R192" i="3"/>
  <c r="S192" i="3" l="1"/>
  <c r="R193" i="3"/>
  <c r="R194" i="3" l="1"/>
  <c r="S193" i="3"/>
  <c r="S194" i="3" l="1"/>
  <c r="R195" i="3"/>
  <c r="R196" i="3" l="1"/>
  <c r="S195" i="3"/>
  <c r="S196" i="3" l="1"/>
  <c r="R197" i="3"/>
  <c r="S197" i="3" l="1"/>
  <c r="R198" i="3"/>
  <c r="S198" i="3" l="1"/>
  <c r="R199" i="3"/>
  <c r="S199" i="3" l="1"/>
  <c r="R200" i="3"/>
  <c r="R201" i="3" l="1"/>
  <c r="S200" i="3"/>
  <c r="S201" i="3" l="1"/>
  <c r="R202" i="3"/>
  <c r="R203" i="3" l="1"/>
  <c r="S202" i="3"/>
  <c r="R204" i="3" l="1"/>
  <c r="S203" i="3"/>
  <c r="R205" i="3" l="1"/>
  <c r="S204" i="3"/>
  <c r="R206" i="3" l="1"/>
  <c r="S205" i="3"/>
  <c r="S206" i="3" l="1"/>
  <c r="R207" i="3"/>
  <c r="S207" i="3" l="1"/>
  <c r="R208" i="3"/>
  <c r="S208" i="3" l="1"/>
  <c r="R209" i="3"/>
  <c r="R210" i="3" l="1"/>
  <c r="S209" i="3"/>
  <c r="R211" i="3" l="1"/>
  <c r="S210" i="3"/>
  <c r="R212" i="3" l="1"/>
  <c r="S211" i="3"/>
  <c r="R213" i="3" l="1"/>
  <c r="S212" i="3"/>
  <c r="S213" i="3" l="1"/>
  <c r="R214" i="3"/>
  <c r="S214" i="3" l="1"/>
  <c r="R215" i="3"/>
  <c r="S215" i="3" l="1"/>
  <c r="R216" i="3"/>
  <c r="R217" i="3" l="1"/>
  <c r="S216" i="3"/>
  <c r="S217" i="3" l="1"/>
  <c r="R218" i="3"/>
  <c r="R219" i="3" l="1"/>
  <c r="R220" i="3" s="1"/>
  <c r="S218" i="3"/>
  <c r="S220" i="3" l="1"/>
  <c r="R221" i="3"/>
  <c r="R222" i="3" l="1"/>
  <c r="S221" i="3"/>
  <c r="S222" i="3" l="1"/>
  <c r="R223" i="3"/>
  <c r="S223" i="3" l="1"/>
  <c r="R224" i="3"/>
  <c r="S224" i="3" l="1"/>
  <c r="R225" i="3"/>
  <c r="R226" i="3" l="1"/>
  <c r="S225" i="3"/>
  <c r="R227" i="3" l="1"/>
  <c r="S226" i="3"/>
  <c r="R228" i="3" l="1"/>
  <c r="S227" i="3"/>
  <c r="R229" i="3" l="1"/>
  <c r="S228" i="3"/>
  <c r="T228" i="3" s="1"/>
  <c r="R230" i="3" l="1"/>
  <c r="S229" i="3"/>
  <c r="R231" i="3" l="1"/>
  <c r="S230" i="3"/>
  <c r="S231" i="3" l="1"/>
  <c r="R232" i="3"/>
  <c r="R233" i="3" l="1"/>
  <c r="S232" i="3"/>
  <c r="R234" i="3" l="1"/>
  <c r="S233" i="3"/>
  <c r="S234" i="3" l="1"/>
  <c r="R235" i="3"/>
  <c r="S235" i="3" l="1"/>
  <c r="R236" i="3"/>
  <c r="R237" i="3" l="1"/>
  <c r="S236" i="3"/>
  <c r="S237" i="3" l="1"/>
  <c r="R238" i="3"/>
  <c r="R239" i="3" l="1"/>
  <c r="S238" i="3"/>
  <c r="R240" i="3" l="1"/>
  <c r="S239" i="3"/>
  <c r="R241" i="3" l="1"/>
  <c r="S240" i="3"/>
  <c r="S241" i="3" l="1"/>
  <c r="R242" i="3"/>
  <c r="S242" i="3" l="1"/>
  <c r="R243" i="3"/>
  <c r="S243" i="3" l="1"/>
  <c r="R244" i="3"/>
  <c r="S244" i="3" l="1"/>
  <c r="R245" i="3"/>
  <c r="R246" i="3" l="1"/>
  <c r="S245" i="3"/>
  <c r="R247" i="3" l="1"/>
  <c r="S246" i="3"/>
  <c r="R248" i="3" l="1"/>
  <c r="S247" i="3"/>
  <c r="S248" i="3" l="1"/>
  <c r="R249" i="3"/>
  <c r="R250" i="3" l="1"/>
  <c r="S249" i="3"/>
  <c r="S250" i="3" l="1"/>
  <c r="R251" i="3"/>
  <c r="S251" i="3" l="1"/>
  <c r="R252" i="3"/>
  <c r="R253" i="3" l="1"/>
  <c r="S252" i="3"/>
  <c r="S253" i="3" l="1"/>
  <c r="R254" i="3"/>
  <c r="R255" i="3" l="1"/>
  <c r="S254" i="3"/>
  <c r="R256" i="3" l="1"/>
  <c r="S255" i="3"/>
  <c r="R257" i="3" l="1"/>
  <c r="S256" i="3"/>
  <c r="S257" i="3" l="1"/>
  <c r="R258" i="3"/>
  <c r="S258" i="3" l="1"/>
  <c r="R259" i="3"/>
  <c r="S259" i="3" l="1"/>
  <c r="R260" i="3"/>
  <c r="S260" i="3" l="1"/>
  <c r="R261" i="3"/>
  <c r="R262" i="3" l="1"/>
  <c r="S261" i="3"/>
  <c r="R263" i="3" l="1"/>
  <c r="S262" i="3"/>
  <c r="R264" i="3" l="1"/>
  <c r="S263" i="3"/>
  <c r="S264" i="3" l="1"/>
  <c r="R265" i="3"/>
  <c r="R266" i="3" l="1"/>
  <c r="S265" i="3"/>
  <c r="S266" i="3" l="1"/>
  <c r="R267" i="3"/>
  <c r="S267" i="3" l="1"/>
  <c r="R268" i="3"/>
  <c r="R269" i="3" l="1"/>
  <c r="S268" i="3"/>
  <c r="S269" i="3" l="1"/>
  <c r="R270" i="3"/>
  <c r="R271" i="3" l="1"/>
  <c r="S270" i="3"/>
  <c r="R272" i="3" l="1"/>
  <c r="S271" i="3"/>
  <c r="S272" i="3" l="1"/>
  <c r="R273" i="3"/>
  <c r="R274" i="3" l="1"/>
  <c r="S273" i="3"/>
  <c r="S274" i="3" l="1"/>
  <c r="R275" i="3"/>
  <c r="R276" i="3" l="1"/>
  <c r="S275" i="3"/>
  <c r="R277" i="3" l="1"/>
  <c r="S276" i="3"/>
  <c r="S277" i="3" l="1"/>
  <c r="R278" i="3"/>
  <c r="R279" i="3" l="1"/>
  <c r="S278" i="3"/>
  <c r="R280" i="3" l="1"/>
  <c r="S279" i="3"/>
  <c r="R281" i="3" l="1"/>
  <c r="S280" i="3"/>
  <c r="S281" i="3" l="1"/>
  <c r="R282" i="3"/>
  <c r="S282" i="3" l="1"/>
  <c r="R283" i="3"/>
  <c r="S283" i="3" l="1"/>
  <c r="R284" i="3"/>
  <c r="S284" i="3" l="1"/>
  <c r="R285" i="3"/>
  <c r="R286" i="3" l="1"/>
  <c r="S285" i="3"/>
  <c r="S286" i="3" l="1"/>
  <c r="R287" i="3"/>
  <c r="R288" i="3" l="1"/>
  <c r="S287" i="3"/>
  <c r="R289" i="3" l="1"/>
  <c r="S288" i="3"/>
  <c r="S289" i="3" l="1"/>
  <c r="R290" i="3"/>
  <c r="R291" i="3" l="1"/>
  <c r="S290" i="3"/>
  <c r="S291" i="3" l="1"/>
  <c r="R292" i="3"/>
  <c r="S292" i="3" l="1"/>
  <c r="R293" i="3"/>
  <c r="S293" i="3" l="1"/>
  <c r="R294" i="3"/>
  <c r="S294" i="3" l="1"/>
  <c r="R295" i="3"/>
  <c r="R296" i="3" l="1"/>
  <c r="S295" i="3"/>
  <c r="R297" i="3" l="1"/>
  <c r="S296" i="3"/>
  <c r="S297" i="3" l="1"/>
  <c r="R298" i="3"/>
  <c r="R299" i="3" l="1"/>
  <c r="S298" i="3"/>
  <c r="S299" i="3" l="1"/>
  <c r="R300" i="3"/>
  <c r="S300" i="3" l="1"/>
  <c r="R301" i="3"/>
  <c r="R302" i="3" l="1"/>
  <c r="S301" i="3"/>
  <c r="S302" i="3" l="1"/>
  <c r="R303" i="3"/>
  <c r="R304" i="3" l="1"/>
  <c r="S303" i="3"/>
  <c r="R305" i="3" l="1"/>
  <c r="S304" i="3"/>
  <c r="S305" i="3" l="1"/>
  <c r="R306" i="3"/>
  <c r="R307" i="3" l="1"/>
  <c r="S306" i="3"/>
  <c r="S307" i="3" l="1"/>
  <c r="R308" i="3"/>
  <c r="S308" i="3" l="1"/>
  <c r="R309" i="3"/>
  <c r="R310" i="3" l="1"/>
  <c r="S309" i="3"/>
  <c r="R311" i="3" l="1"/>
  <c r="S310" i="3"/>
  <c r="S311" i="3" l="1"/>
  <c r="R312" i="3"/>
  <c r="R313" i="3" l="1"/>
  <c r="S312" i="3"/>
  <c r="R314" i="3" l="1"/>
  <c r="S313" i="3"/>
  <c r="S314" i="3" l="1"/>
  <c r="R315" i="3"/>
  <c r="R316" i="3" l="1"/>
  <c r="S315" i="3"/>
  <c r="S316" i="3" l="1"/>
  <c r="R317" i="3"/>
  <c r="S317" i="3" l="1"/>
  <c r="R318" i="3"/>
  <c r="R319" i="3" l="1"/>
  <c r="S318" i="3"/>
  <c r="S319" i="3" l="1"/>
  <c r="R320" i="3"/>
  <c r="R321" i="3" l="1"/>
  <c r="S320" i="3"/>
  <c r="R322" i="3" l="1"/>
  <c r="S321" i="3"/>
  <c r="S322" i="3" l="1"/>
  <c r="R323" i="3"/>
  <c r="R324" i="3" l="1"/>
  <c r="S323" i="3"/>
  <c r="S324" i="3" l="1"/>
  <c r="R325" i="3"/>
  <c r="S325" i="3" l="1"/>
  <c r="R326" i="3"/>
  <c r="R327" i="3" l="1"/>
  <c r="S326" i="3"/>
  <c r="S327" i="3" l="1"/>
  <c r="R328" i="3"/>
  <c r="R329" i="3" l="1"/>
  <c r="S328" i="3"/>
  <c r="R330" i="3" l="1"/>
  <c r="S329" i="3"/>
  <c r="S330" i="3" l="1"/>
  <c r="R331" i="3"/>
  <c r="R332" i="3" l="1"/>
  <c r="S331" i="3"/>
  <c r="S332" i="3" l="1"/>
  <c r="R333" i="3"/>
  <c r="S333" i="3" l="1"/>
  <c r="R334" i="3"/>
  <c r="R335" i="3" l="1"/>
  <c r="S334" i="3"/>
  <c r="S335" i="3" l="1"/>
  <c r="R336" i="3"/>
  <c r="R337" i="3" l="1"/>
  <c r="S336" i="3"/>
  <c r="R338" i="3" l="1"/>
  <c r="S337" i="3"/>
  <c r="S338" i="3" l="1"/>
  <c r="R339" i="3"/>
  <c r="R340" i="3" l="1"/>
  <c r="S339" i="3"/>
  <c r="S340" i="3" l="1"/>
  <c r="R341" i="3"/>
  <c r="S341" i="3" l="1"/>
  <c r="R342" i="3"/>
  <c r="R343" i="3" l="1"/>
  <c r="S342" i="3"/>
  <c r="S343" i="3" l="1"/>
  <c r="R344" i="3"/>
  <c r="S344" i="3" l="1"/>
  <c r="R345" i="3"/>
  <c r="R346" i="3" l="1"/>
  <c r="S345" i="3"/>
  <c r="S346" i="3" l="1"/>
  <c r="R347" i="3"/>
  <c r="S347" i="3" l="1"/>
  <c r="R348" i="3"/>
  <c r="S348" i="3" l="1"/>
  <c r="R349" i="3"/>
  <c r="S349" i="3" l="1"/>
  <c r="R350" i="3"/>
  <c r="R351" i="3" l="1"/>
  <c r="S350" i="3"/>
  <c r="R352" i="3" l="1"/>
  <c r="S351" i="3"/>
  <c r="R353" i="3" l="1"/>
  <c r="S352" i="3"/>
  <c r="R354" i="3" l="1"/>
  <c r="S353" i="3"/>
  <c r="S354" i="3" l="1"/>
  <c r="R355" i="3"/>
  <c r="R356" i="3" l="1"/>
  <c r="S355" i="3"/>
  <c r="S356" i="3" l="1"/>
  <c r="R357" i="3"/>
  <c r="S357" i="3" l="1"/>
  <c r="R358" i="3"/>
  <c r="R359" i="3" l="1"/>
  <c r="S358" i="3"/>
  <c r="S359" i="3" l="1"/>
  <c r="R360" i="3"/>
  <c r="R361" i="3" l="1"/>
  <c r="S360" i="3"/>
  <c r="S361" i="3" l="1"/>
  <c r="R362" i="3"/>
  <c r="S362" i="3" l="1"/>
  <c r="R363" i="3"/>
  <c r="R364" i="3" l="1"/>
  <c r="S363" i="3"/>
  <c r="S364" i="3" l="1"/>
  <c r="R365" i="3"/>
  <c r="R366" i="3" l="1"/>
  <c r="S365" i="3"/>
  <c r="S366" i="3" l="1"/>
  <c r="R367" i="3"/>
  <c r="S367" i="3" l="1"/>
  <c r="R368" i="3"/>
  <c r="R369" i="3" l="1"/>
  <c r="S368" i="3"/>
  <c r="S369" i="3" l="1"/>
  <c r="R370" i="3"/>
  <c r="R371" i="3" l="1"/>
  <c r="S370" i="3"/>
  <c r="S371" i="3" l="1"/>
  <c r="R372" i="3"/>
  <c r="S372" i="3" l="1"/>
  <c r="R373" i="3"/>
  <c r="R374" i="3" l="1"/>
  <c r="S373" i="3"/>
  <c r="S374" i="3" l="1"/>
  <c r="R375" i="3"/>
  <c r="R376" i="3" l="1"/>
  <c r="S375" i="3"/>
  <c r="R377" i="3" l="1"/>
  <c r="S376" i="3"/>
  <c r="R378" i="3" l="1"/>
  <c r="S377" i="3"/>
  <c r="R379" i="3" l="1"/>
  <c r="S378" i="3"/>
  <c r="R380" i="3" l="1"/>
  <c r="S379" i="3"/>
  <c r="R381" i="3" l="1"/>
  <c r="S380" i="3"/>
  <c r="S381" i="3" l="1"/>
  <c r="R382" i="3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l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R882" i="3" s="1"/>
  <c r="R883" i="3" s="1"/>
  <c r="R884" i="3" s="1"/>
  <c r="R885" i="3" s="1"/>
  <c r="R886" i="3" s="1"/>
  <c r="R887" i="3" s="1"/>
  <c r="R888" i="3" s="1"/>
  <c r="R889" i="3" s="1"/>
  <c r="R890" i="3" s="1"/>
  <c r="R891" i="3" s="1"/>
  <c r="R892" i="3" s="1"/>
  <c r="R893" i="3" s="1"/>
  <c r="R894" i="3" s="1"/>
  <c r="R895" i="3" s="1"/>
  <c r="R896" i="3" s="1"/>
  <c r="R897" i="3" s="1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909" i="3" s="1"/>
  <c r="R910" i="3" s="1"/>
  <c r="R911" i="3" s="1"/>
  <c r="R912" i="3" s="1"/>
  <c r="R913" i="3" s="1"/>
  <c r="R914" i="3" s="1"/>
  <c r="R915" i="3" s="1"/>
  <c r="R916" i="3" s="1"/>
  <c r="R917" i="3" s="1"/>
  <c r="R918" i="3" s="1"/>
  <c r="R919" i="3" s="1"/>
  <c r="R920" i="3" s="1"/>
  <c r="R921" i="3" s="1"/>
  <c r="R922" i="3" s="1"/>
  <c r="R923" i="3" s="1"/>
  <c r="R924" i="3" s="1"/>
  <c r="R925" i="3" s="1"/>
  <c r="R926" i="3" s="1"/>
  <c r="R927" i="3" s="1"/>
  <c r="R928" i="3" s="1"/>
  <c r="R929" i="3" s="1"/>
  <c r="R930" i="3" s="1"/>
  <c r="R931" i="3" s="1"/>
  <c r="R932" i="3" s="1"/>
  <c r="R933" i="3" s="1"/>
  <c r="R934" i="3" s="1"/>
  <c r="R935" i="3" s="1"/>
  <c r="R936" i="3" s="1"/>
  <c r="R937" i="3" s="1"/>
  <c r="R938" i="3" s="1"/>
  <c r="R939" i="3" s="1"/>
  <c r="R940" i="3" s="1"/>
  <c r="R941" i="3" s="1"/>
  <c r="R942" i="3" s="1"/>
  <c r="R943" i="3" s="1"/>
  <c r="R944" i="3" s="1"/>
  <c r="R945" i="3" s="1"/>
  <c r="R946" i="3" s="1"/>
  <c r="R947" i="3" s="1"/>
  <c r="R948" i="3" s="1"/>
  <c r="R949" i="3" s="1"/>
  <c r="R950" i="3" s="1"/>
  <c r="R951" i="3" s="1"/>
  <c r="R952" i="3" s="1"/>
  <c r="R953" i="3" s="1"/>
  <c r="R954" i="3" s="1"/>
  <c r="R955" i="3" s="1"/>
  <c r="R956" i="3" s="1"/>
  <c r="R957" i="3" s="1"/>
  <c r="R958" i="3" s="1"/>
  <c r="R959" i="3" s="1"/>
  <c r="R960" i="3" s="1"/>
  <c r="R961" i="3" s="1"/>
  <c r="R962" i="3" s="1"/>
  <c r="R963" i="3" s="1"/>
  <c r="R964" i="3" s="1"/>
  <c r="R965" i="3" s="1"/>
  <c r="R966" i="3" s="1"/>
  <c r="R967" i="3" s="1"/>
  <c r="R968" i="3" s="1"/>
  <c r="R969" i="3" s="1"/>
  <c r="R970" i="3" s="1"/>
  <c r="R971" i="3" s="1"/>
  <c r="R972" i="3" s="1"/>
  <c r="R973" i="3" s="1"/>
  <c r="R974" i="3" s="1"/>
  <c r="R975" i="3" s="1"/>
  <c r="R976" i="3" s="1"/>
  <c r="R977" i="3" s="1"/>
  <c r="R978" i="3" s="1"/>
  <c r="R979" i="3" s="1"/>
  <c r="R980" i="3" s="1"/>
  <c r="R981" i="3" s="1"/>
  <c r="R982" i="3" s="1"/>
  <c r="R983" i="3" s="1"/>
  <c r="R984" i="3" s="1"/>
  <c r="R985" i="3" s="1"/>
  <c r="R986" i="3" s="1"/>
  <c r="R987" i="3" s="1"/>
  <c r="R988" i="3" s="1"/>
  <c r="R989" i="3" s="1"/>
  <c r="R990" i="3" s="1"/>
  <c r="R991" i="3" s="1"/>
  <c r="R992" i="3" s="1"/>
  <c r="R993" i="3" s="1"/>
  <c r="R994" i="3" s="1"/>
  <c r="R995" i="3" s="1"/>
  <c r="R996" i="3" s="1"/>
  <c r="R997" i="3" s="1"/>
  <c r="R998" i="3" s="1"/>
  <c r="R999" i="3" s="1"/>
  <c r="R1000" i="3" s="1"/>
  <c r="R3" i="1"/>
  <c r="R4" i="1" l="1"/>
  <c r="S3" i="1"/>
  <c r="R1001" i="3"/>
  <c r="R1002" i="3" s="1"/>
  <c r="R1003" i="3" s="1"/>
  <c r="R1004" i="3" s="1"/>
  <c r="R1005" i="3" s="1"/>
  <c r="R1006" i="3" s="1"/>
  <c r="R1007" i="3" s="1"/>
  <c r="R1008" i="3" s="1"/>
  <c r="R1009" i="3" s="1"/>
  <c r="R1010" i="3" s="1"/>
  <c r="R1011" i="3" s="1"/>
  <c r="R1012" i="3" s="1"/>
  <c r="R1013" i="3" s="1"/>
  <c r="R1014" i="3" s="1"/>
  <c r="R1015" i="3" s="1"/>
  <c r="R1016" i="3" s="1"/>
  <c r="R1017" i="3" s="1"/>
  <c r="R1018" i="3" s="1"/>
  <c r="R1019" i="3" s="1"/>
  <c r="R1020" i="3" s="1"/>
  <c r="R1021" i="3" s="1"/>
  <c r="R1022" i="3" s="1"/>
  <c r="R1023" i="3" s="1"/>
  <c r="R1024" i="3" s="1"/>
  <c r="R1025" i="3" s="1"/>
  <c r="R1026" i="3" s="1"/>
  <c r="R1027" i="3" s="1"/>
  <c r="R1028" i="3" s="1"/>
  <c r="R1029" i="3" s="1"/>
  <c r="R1030" i="3" s="1"/>
  <c r="R1031" i="3" s="1"/>
  <c r="R1032" i="3" s="1"/>
  <c r="R1033" i="3" s="1"/>
  <c r="R1034" i="3" s="1"/>
  <c r="R1035" i="3" s="1"/>
  <c r="R1036" i="3" s="1"/>
  <c r="R1037" i="3" s="1"/>
  <c r="R1038" i="3" s="1"/>
  <c r="R1039" i="3" s="1"/>
  <c r="R1040" i="3" s="1"/>
  <c r="R1041" i="3" s="1"/>
  <c r="R1042" i="3" s="1"/>
  <c r="R1043" i="3" s="1"/>
  <c r="R1044" i="3" s="1"/>
  <c r="R1045" i="3" s="1"/>
  <c r="R1046" i="3" s="1"/>
  <c r="R1047" i="3" s="1"/>
  <c r="R1048" i="3" s="1"/>
  <c r="R1049" i="3" s="1"/>
  <c r="R1050" i="3" s="1"/>
  <c r="R1051" i="3" s="1"/>
  <c r="R1052" i="3" s="1"/>
  <c r="R1053" i="3" s="1"/>
  <c r="R1054" i="3" s="1"/>
  <c r="R1055" i="3" s="1"/>
  <c r="R1056" i="3" s="1"/>
  <c r="R1057" i="3" s="1"/>
  <c r="R1058" i="3" s="1"/>
  <c r="R1059" i="3" s="1"/>
  <c r="R1060" i="3" s="1"/>
  <c r="R1061" i="3" s="1"/>
  <c r="R1062" i="3" s="1"/>
  <c r="R1063" i="3" s="1"/>
  <c r="R1064" i="3" s="1"/>
  <c r="R1065" i="3" s="1"/>
  <c r="R1066" i="3" s="1"/>
  <c r="R1067" i="3" s="1"/>
  <c r="R1068" i="3" s="1"/>
  <c r="R1069" i="3" s="1"/>
  <c r="R1070" i="3" s="1"/>
  <c r="R1071" i="3" s="1"/>
  <c r="R1072" i="3" s="1"/>
  <c r="R1073" i="3" s="1"/>
  <c r="R1074" i="3" s="1"/>
  <c r="R1075" i="3" s="1"/>
  <c r="R1076" i="3" s="1"/>
  <c r="R1077" i="3" s="1"/>
  <c r="R1078" i="3" s="1"/>
  <c r="R1079" i="3" s="1"/>
  <c r="R1080" i="3" s="1"/>
  <c r="R1081" i="3" s="1"/>
  <c r="T2" i="3"/>
  <c r="R5" i="1" l="1"/>
  <c r="S4" i="1"/>
  <c r="R6" i="1" l="1"/>
  <c r="S5" i="1"/>
  <c r="S6" i="1" l="1"/>
  <c r="R7" i="1"/>
  <c r="S7" i="1" l="1"/>
  <c r="R8" i="1"/>
  <c r="S8" i="1" l="1"/>
  <c r="R9" i="1"/>
  <c r="S9" i="1" l="1"/>
  <c r="R10" i="1"/>
  <c r="S10" i="1" l="1"/>
  <c r="R11" i="1"/>
  <c r="S11" i="1" l="1"/>
  <c r="R12" i="1"/>
  <c r="R13" i="1" l="1"/>
  <c r="S12" i="1"/>
  <c r="R14" i="1" l="1"/>
  <c r="S13" i="1"/>
  <c r="R15" i="1" l="1"/>
  <c r="S14" i="1"/>
  <c r="R16" i="1" l="1"/>
  <c r="S15" i="1"/>
  <c r="S16" i="1" l="1"/>
  <c r="R17" i="1"/>
  <c r="R18" i="1" l="1"/>
  <c r="S17" i="1"/>
  <c r="S18" i="1" l="1"/>
  <c r="R19" i="1"/>
  <c r="S19" i="1" l="1"/>
  <c r="R20" i="1"/>
  <c r="R21" i="1" l="1"/>
  <c r="S20" i="1"/>
  <c r="S21" i="1" l="1"/>
  <c r="R22" i="1"/>
  <c r="R23" i="1" l="1"/>
  <c r="S22" i="1"/>
  <c r="S23" i="1" l="1"/>
  <c r="R24" i="1"/>
  <c r="S24" i="1" l="1"/>
  <c r="R25" i="1"/>
  <c r="S25" i="1" l="1"/>
  <c r="R26" i="1"/>
  <c r="S26" i="1" l="1"/>
  <c r="R27" i="1"/>
  <c r="R28" i="1" l="1"/>
  <c r="S27" i="1"/>
  <c r="S28" i="1" l="1"/>
  <c r="R29" i="1"/>
  <c r="R30" i="1" l="1"/>
  <c r="S29" i="1"/>
  <c r="S30" i="1" l="1"/>
  <c r="R31" i="1"/>
  <c r="S31" i="1" l="1"/>
  <c r="R32" i="1"/>
  <c r="R33" i="1" l="1"/>
  <c r="S32" i="1"/>
  <c r="R34" i="1" l="1"/>
  <c r="S33" i="1"/>
  <c r="R35" i="1" l="1"/>
  <c r="S34" i="1"/>
  <c r="S35" i="1" l="1"/>
  <c r="R36" i="1"/>
  <c r="R37" i="1" l="1"/>
  <c r="S36" i="1"/>
  <c r="R38" i="1" l="1"/>
  <c r="S37" i="1"/>
  <c r="R39" i="1" l="1"/>
  <c r="S38" i="1"/>
  <c r="R40" i="1" l="1"/>
  <c r="S39" i="1"/>
  <c r="S40" i="1" l="1"/>
  <c r="R41" i="1"/>
  <c r="S41" i="1" l="1"/>
  <c r="R42" i="1"/>
  <c r="S42" i="1" l="1"/>
  <c r="R43" i="1"/>
  <c r="R44" i="1" l="1"/>
  <c r="S43" i="1"/>
  <c r="R45" i="1" l="1"/>
  <c r="S44" i="1"/>
  <c r="R46" i="1" l="1"/>
  <c r="S45" i="1"/>
  <c r="R47" i="1" l="1"/>
  <c r="S46" i="1"/>
  <c r="S47" i="1" l="1"/>
  <c r="R48" i="1"/>
  <c r="S48" i="1" l="1"/>
  <c r="R49" i="1"/>
  <c r="S49" i="1" l="1"/>
  <c r="R50" i="1"/>
  <c r="S50" i="1" l="1"/>
  <c r="R51" i="1"/>
  <c r="S51" i="1" l="1"/>
  <c r="R52" i="1"/>
  <c r="R53" i="1" l="1"/>
  <c r="S52" i="1"/>
  <c r="R54" i="1" l="1"/>
  <c r="S53" i="1"/>
  <c r="R55" i="1" l="1"/>
  <c r="S54" i="1"/>
  <c r="S55" i="1" l="1"/>
  <c r="R56" i="1"/>
  <c r="R57" i="1" s="1"/>
  <c r="R58" i="1" l="1"/>
  <c r="S57" i="1"/>
  <c r="R59" i="1" l="1"/>
  <c r="S58" i="1"/>
  <c r="R60" i="1" l="1"/>
  <c r="S59" i="1"/>
  <c r="R61" i="1" l="1"/>
  <c r="S60" i="1"/>
  <c r="R62" i="1" l="1"/>
  <c r="S61" i="1"/>
  <c r="S62" i="1" l="1"/>
  <c r="R63" i="1"/>
  <c r="R64" i="1" l="1"/>
  <c r="S63" i="1"/>
  <c r="S64" i="1" l="1"/>
  <c r="R65" i="1"/>
  <c r="S65" i="1" l="1"/>
  <c r="R66" i="1"/>
  <c r="R67" i="1" l="1"/>
  <c r="S66" i="1"/>
  <c r="R68" i="1" l="1"/>
  <c r="S67" i="1"/>
  <c r="R69" i="1" l="1"/>
  <c r="S68" i="1"/>
  <c r="S69" i="1" l="1"/>
  <c r="R70" i="1"/>
  <c r="S70" i="1" l="1"/>
  <c r="R71" i="1"/>
  <c r="S71" i="1" l="1"/>
  <c r="R72" i="1"/>
  <c r="S72" i="1" l="1"/>
  <c r="R73" i="1"/>
  <c r="S73" i="1" l="1"/>
  <c r="R74" i="1"/>
  <c r="R75" i="1" l="1"/>
  <c r="S74" i="1"/>
  <c r="R76" i="1" l="1"/>
  <c r="S75" i="1"/>
  <c r="R77" i="1" l="1"/>
  <c r="S76" i="1"/>
  <c r="R78" i="1" l="1"/>
  <c r="S77" i="1"/>
  <c r="R79" i="1" l="1"/>
  <c r="S78" i="1"/>
  <c r="R80" i="1" l="1"/>
  <c r="S79" i="1"/>
  <c r="R81" i="1" l="1"/>
  <c r="R82" i="1" s="1"/>
  <c r="S80" i="1"/>
  <c r="R83" i="1" l="1"/>
  <c r="S82" i="1"/>
  <c r="R84" i="1" l="1"/>
  <c r="S83" i="1"/>
  <c r="S84" i="1" l="1"/>
  <c r="R85" i="1"/>
  <c r="S85" i="1" l="1"/>
  <c r="R86" i="1"/>
  <c r="S86" i="1" l="1"/>
  <c r="R87" i="1"/>
  <c r="R88" i="1" l="1"/>
  <c r="S87" i="1"/>
  <c r="R89" i="1" l="1"/>
  <c r="S88" i="1"/>
  <c r="R90" i="1" l="1"/>
  <c r="S89" i="1"/>
  <c r="R91" i="1" l="1"/>
  <c r="S90" i="1"/>
  <c r="S91" i="1" l="1"/>
  <c r="R92" i="1"/>
  <c r="S92" i="1" l="1"/>
  <c r="R93" i="1"/>
  <c r="S93" i="1" l="1"/>
  <c r="R94" i="1"/>
  <c r="S94" i="1" l="1"/>
  <c r="R95" i="1"/>
  <c r="S95" i="1" l="1"/>
  <c r="R96" i="1"/>
  <c r="R97" i="1" l="1"/>
  <c r="S96" i="1"/>
  <c r="R98" i="1" l="1"/>
  <c r="S97" i="1"/>
  <c r="R99" i="1" l="1"/>
  <c r="S98" i="1"/>
  <c r="S99" i="1" l="1"/>
  <c r="R100" i="1"/>
  <c r="S100" i="1" l="1"/>
  <c r="R101" i="1"/>
  <c r="S101" i="1" l="1"/>
  <c r="R102" i="1"/>
  <c r="S102" i="1" l="1"/>
  <c r="R103" i="1"/>
  <c r="S103" i="1" l="1"/>
  <c r="R104" i="1"/>
  <c r="R105" i="1" l="1"/>
  <c r="S104" i="1"/>
  <c r="R106" i="1" l="1"/>
  <c r="S105" i="1"/>
  <c r="R107" i="1" l="1"/>
  <c r="S106" i="1"/>
  <c r="R108" i="1" l="1"/>
  <c r="S107" i="1"/>
  <c r="S108" i="1" l="1"/>
  <c r="R109" i="1"/>
  <c r="R110" i="1" l="1"/>
  <c r="S109" i="1"/>
  <c r="R111" i="1" l="1"/>
  <c r="S110" i="1"/>
  <c r="R112" i="1" l="1"/>
  <c r="S111" i="1"/>
  <c r="S112" i="1" l="1"/>
  <c r="R113" i="1"/>
  <c r="R114" i="1" l="1"/>
  <c r="S113" i="1"/>
  <c r="R115" i="1" l="1"/>
  <c r="S114" i="1"/>
  <c r="R116" i="1" l="1"/>
  <c r="S115" i="1"/>
  <c r="R117" i="1" l="1"/>
  <c r="S116" i="1"/>
  <c r="S117" i="1" l="1"/>
  <c r="R118" i="1"/>
  <c r="S118" i="1" l="1"/>
  <c r="R119" i="1"/>
  <c r="S119" i="1" l="1"/>
  <c r="R120" i="1"/>
  <c r="R121" i="1" l="1"/>
  <c r="S120" i="1"/>
  <c r="R122" i="1" l="1"/>
  <c r="S121" i="1"/>
  <c r="R123" i="1" l="1"/>
  <c r="S122" i="1"/>
  <c r="R124" i="1" l="1"/>
  <c r="S123" i="1"/>
  <c r="R125" i="1" l="1"/>
  <c r="S124" i="1"/>
  <c r="S125" i="1" l="1"/>
  <c r="R126" i="1"/>
  <c r="S126" i="1" l="1"/>
  <c r="R127" i="1"/>
  <c r="S127" i="1" l="1"/>
  <c r="R128" i="1"/>
  <c r="R129" i="1" l="1"/>
  <c r="S128" i="1"/>
  <c r="R130" i="1" l="1"/>
  <c r="S129" i="1"/>
  <c r="R131" i="1" l="1"/>
  <c r="S130" i="1"/>
  <c r="R132" i="1" l="1"/>
  <c r="S131" i="1"/>
  <c r="S132" i="1" l="1"/>
  <c r="R133" i="1"/>
  <c r="S133" i="1" l="1"/>
  <c r="R134" i="1"/>
  <c r="S134" i="1" l="1"/>
  <c r="R135" i="1"/>
  <c r="S135" i="1" l="1"/>
  <c r="R136" i="1"/>
  <c r="S136" i="1" l="1"/>
  <c r="R137" i="1"/>
  <c r="R138" i="1" l="1"/>
  <c r="S137" i="1"/>
  <c r="R139" i="1" l="1"/>
  <c r="S138" i="1"/>
  <c r="R140" i="1" l="1"/>
  <c r="S139" i="1"/>
  <c r="S140" i="1" l="1"/>
  <c r="R141" i="1"/>
  <c r="S141" i="1" l="1"/>
  <c r="R142" i="1"/>
  <c r="R143" i="1" l="1"/>
  <c r="S142" i="1"/>
  <c r="R144" i="1" l="1"/>
  <c r="S143" i="1"/>
  <c r="R145" i="1" l="1"/>
  <c r="S144" i="1"/>
  <c r="S145" i="1" l="1"/>
  <c r="R146" i="1"/>
  <c r="R147" i="1" l="1"/>
  <c r="S146" i="1"/>
  <c r="R148" i="1" l="1"/>
  <c r="S147" i="1"/>
  <c r="R149" i="1" l="1"/>
  <c r="S148" i="1"/>
  <c r="S149" i="1" l="1"/>
  <c r="R150" i="1"/>
  <c r="S150" i="1" l="1"/>
  <c r="R151" i="1"/>
  <c r="S151" i="1" l="1"/>
  <c r="R152" i="1"/>
  <c r="S152" i="1" l="1"/>
  <c r="R153" i="1"/>
  <c r="S153" i="1" l="1"/>
  <c r="R154" i="1"/>
  <c r="R155" i="1" l="1"/>
  <c r="S154" i="1"/>
  <c r="R156" i="1" l="1"/>
  <c r="S155" i="1"/>
  <c r="R157" i="1" l="1"/>
  <c r="S156" i="1"/>
  <c r="R158" i="1" l="1"/>
  <c r="S157" i="1"/>
  <c r="S158" i="1" l="1"/>
  <c r="R159" i="1"/>
  <c r="S159" i="1" l="1"/>
  <c r="R160" i="1"/>
  <c r="S160" i="1" l="1"/>
  <c r="R161" i="1"/>
  <c r="R162" i="1" l="1"/>
  <c r="S161" i="1"/>
  <c r="R163" i="1" l="1"/>
  <c r="S162" i="1"/>
  <c r="R164" i="1" l="1"/>
  <c r="S163" i="1"/>
  <c r="R165" i="1" l="1"/>
  <c r="S164" i="1"/>
  <c r="R166" i="1" l="1"/>
  <c r="S165" i="1"/>
  <c r="S166" i="1" l="1"/>
  <c r="R167" i="1"/>
  <c r="S167" i="1" l="1"/>
  <c r="R168" i="1"/>
  <c r="S168" i="1" l="1"/>
  <c r="R169" i="1"/>
  <c r="R170" i="1" l="1"/>
  <c r="S169" i="1"/>
  <c r="R171" i="1" l="1"/>
  <c r="S170" i="1"/>
  <c r="S171" i="1" l="1"/>
  <c r="R172" i="1"/>
  <c r="R173" i="1" l="1"/>
  <c r="S172" i="1"/>
  <c r="R174" i="1" l="1"/>
  <c r="S173" i="1"/>
  <c r="S174" i="1" l="1"/>
  <c r="R175" i="1"/>
  <c r="R176" i="1" l="1"/>
  <c r="S175" i="1"/>
  <c r="S176" i="1" l="1"/>
  <c r="R177" i="1"/>
  <c r="R178" i="1" l="1"/>
  <c r="S177" i="1"/>
  <c r="R179" i="1" l="1"/>
  <c r="S178" i="1"/>
  <c r="S179" i="1" l="1"/>
  <c r="R180" i="1"/>
  <c r="R181" i="1" l="1"/>
  <c r="S180" i="1"/>
  <c r="R182" i="1" l="1"/>
  <c r="S181" i="1"/>
  <c r="S182" i="1" l="1"/>
  <c r="R183" i="1"/>
  <c r="R184" i="1" l="1"/>
  <c r="S183" i="1"/>
  <c r="T183" i="1" s="1"/>
  <c r="R185" i="1" l="1"/>
  <c r="S184" i="1"/>
  <c r="S185" i="1" l="1"/>
  <c r="R186" i="1"/>
  <c r="R187" i="1" l="1"/>
  <c r="S186" i="1"/>
  <c r="R188" i="1" l="1"/>
  <c r="S187" i="1"/>
  <c r="S188" i="1" l="1"/>
  <c r="R189" i="1"/>
  <c r="S189" i="1" l="1"/>
  <c r="R190" i="1"/>
  <c r="R191" i="1" l="1"/>
  <c r="S190" i="1"/>
  <c r="S191" i="1" l="1"/>
  <c r="R192" i="1"/>
  <c r="R193" i="1" l="1"/>
  <c r="S192" i="1"/>
  <c r="S193" i="1" l="1"/>
  <c r="R194" i="1"/>
  <c r="S194" i="1" l="1"/>
  <c r="R195" i="1"/>
  <c r="R196" i="1" l="1"/>
  <c r="S195" i="1"/>
  <c r="S196" i="1" l="1"/>
  <c r="R197" i="1"/>
  <c r="S197" i="1" l="1"/>
  <c r="R198" i="1"/>
  <c r="R199" i="1" l="1"/>
  <c r="S198" i="1"/>
  <c r="S199" i="1" l="1"/>
  <c r="R200" i="1"/>
  <c r="R201" i="1" l="1"/>
  <c r="S200" i="1"/>
  <c r="S201" i="1" l="1"/>
  <c r="R202" i="1"/>
  <c r="S202" i="1" l="1"/>
  <c r="R203" i="1"/>
  <c r="R204" i="1" l="1"/>
  <c r="S203" i="1"/>
  <c r="S204" i="1" l="1"/>
  <c r="R205" i="1"/>
  <c r="S205" i="1" l="1"/>
  <c r="R206" i="1"/>
  <c r="R207" i="1" l="1"/>
  <c r="S206" i="1"/>
  <c r="S207" i="1" l="1"/>
  <c r="R208" i="1"/>
  <c r="R209" i="1" l="1"/>
  <c r="S208" i="1"/>
  <c r="S209" i="1" l="1"/>
  <c r="R210" i="1"/>
  <c r="S210" i="1" l="1"/>
  <c r="R211" i="1"/>
  <c r="R212" i="1" l="1"/>
  <c r="S211" i="1"/>
  <c r="S212" i="1" l="1"/>
  <c r="R213" i="1"/>
  <c r="S213" i="1" l="1"/>
  <c r="R214" i="1"/>
  <c r="R215" i="1" l="1"/>
  <c r="S214" i="1"/>
  <c r="S215" i="1" l="1"/>
  <c r="R216" i="1"/>
  <c r="R217" i="1" l="1"/>
  <c r="S216" i="1"/>
  <c r="S217" i="1" l="1"/>
  <c r="R218" i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l="1"/>
  <c r="S229" i="1"/>
  <c r="S230" i="1" l="1"/>
  <c r="R231" i="1"/>
  <c r="S231" i="1" l="1"/>
  <c r="R232" i="1"/>
  <c r="R233" i="1" l="1"/>
  <c r="S232" i="1"/>
  <c r="S233" i="1" l="1"/>
  <c r="R234" i="1"/>
  <c r="S234" i="1" l="1"/>
  <c r="R235" i="1"/>
  <c r="R236" i="1" l="1"/>
  <c r="S235" i="1"/>
  <c r="S236" i="1" l="1"/>
  <c r="R237" i="1"/>
  <c r="R238" i="1" l="1"/>
  <c r="S237" i="1"/>
  <c r="R239" i="1" l="1"/>
  <c r="S238" i="1"/>
  <c r="S239" i="1" l="1"/>
  <c r="R240" i="1"/>
  <c r="R241" i="1" l="1"/>
  <c r="S240" i="1"/>
  <c r="R242" i="1" l="1"/>
  <c r="S241" i="1"/>
  <c r="S242" i="1" l="1"/>
  <c r="R243" i="1"/>
  <c r="R244" i="1" l="1"/>
  <c r="S243" i="1"/>
  <c r="S244" i="1" l="1"/>
  <c r="R245" i="1"/>
  <c r="R246" i="1" l="1"/>
  <c r="S245" i="1"/>
  <c r="R247" i="1" l="1"/>
  <c r="S246" i="1"/>
  <c r="S247" i="1" l="1"/>
  <c r="R248" i="1"/>
  <c r="R249" i="1" l="1"/>
  <c r="S248" i="1"/>
  <c r="R250" i="1" l="1"/>
  <c r="S249" i="1"/>
  <c r="S250" i="1" l="1"/>
  <c r="R251" i="1"/>
  <c r="R252" i="1" l="1"/>
  <c r="S251" i="1"/>
  <c r="S252" i="1" l="1"/>
  <c r="R253" i="1"/>
  <c r="R254" i="1" l="1"/>
  <c r="S253" i="1"/>
  <c r="R255" i="1" l="1"/>
  <c r="S254" i="1"/>
  <c r="S255" i="1" l="1"/>
  <c r="R256" i="1"/>
  <c r="R257" i="1" l="1"/>
  <c r="S256" i="1"/>
  <c r="R258" i="1" l="1"/>
  <c r="S257" i="1"/>
  <c r="S258" i="1" l="1"/>
  <c r="R259" i="1"/>
  <c r="R260" i="1" l="1"/>
  <c r="S259" i="1"/>
  <c r="S260" i="1" l="1"/>
  <c r="R261" i="1"/>
  <c r="R262" i="1" l="1"/>
  <c r="S261" i="1"/>
  <c r="R263" i="1" l="1"/>
  <c r="S262" i="1"/>
  <c r="S263" i="1" l="1"/>
  <c r="R264" i="1"/>
  <c r="R265" i="1" l="1"/>
  <c r="S264" i="1"/>
  <c r="R266" i="1" l="1"/>
  <c r="S265" i="1"/>
  <c r="S266" i="1" l="1"/>
  <c r="R267" i="1"/>
  <c r="R268" i="1" l="1"/>
  <c r="S267" i="1"/>
  <c r="S268" i="1" l="1"/>
  <c r="R269" i="1"/>
  <c r="R270" i="1" l="1"/>
  <c r="S269" i="1"/>
  <c r="R271" i="1" l="1"/>
  <c r="S270" i="1"/>
  <c r="S271" i="1" l="1"/>
  <c r="R272" i="1"/>
  <c r="S272" i="1" l="1"/>
  <c r="R273" i="1"/>
  <c r="R274" i="1" l="1"/>
  <c r="S273" i="1"/>
  <c r="S274" i="1" l="1"/>
  <c r="R275" i="1"/>
  <c r="S275" i="1" l="1"/>
  <c r="R276" i="1"/>
  <c r="R277" i="1" l="1"/>
  <c r="S276" i="1"/>
  <c r="S277" i="1" l="1"/>
  <c r="R278" i="1"/>
  <c r="R279" i="1" l="1"/>
  <c r="S278" i="1"/>
  <c r="R280" i="1" l="1"/>
  <c r="S279" i="1"/>
  <c r="S280" i="1" l="1"/>
  <c r="R281" i="1"/>
  <c r="R282" i="1" l="1"/>
  <c r="S281" i="1"/>
  <c r="R283" i="1" l="1"/>
  <c r="S282" i="1"/>
  <c r="S283" i="1" l="1"/>
  <c r="R284" i="1"/>
  <c r="R285" i="1" l="1"/>
  <c r="S284" i="1"/>
  <c r="S285" i="1" l="1"/>
  <c r="R286" i="1"/>
  <c r="R287" i="1" l="1"/>
  <c r="S286" i="1"/>
  <c r="R288" i="1" l="1"/>
  <c r="S287" i="1"/>
  <c r="S288" i="1" l="1"/>
  <c r="R289" i="1"/>
  <c r="R290" i="1" l="1"/>
  <c r="S289" i="1"/>
  <c r="R291" i="1" l="1"/>
  <c r="S290" i="1"/>
  <c r="S291" i="1" l="1"/>
  <c r="R292" i="1"/>
  <c r="R293" i="1" l="1"/>
  <c r="S292" i="1"/>
  <c r="S293" i="1" l="1"/>
  <c r="R294" i="1"/>
  <c r="R295" i="1" l="1"/>
  <c r="S294" i="1"/>
  <c r="R296" i="1" l="1"/>
  <c r="S295" i="1"/>
  <c r="S296" i="1" l="1"/>
  <c r="R297" i="1"/>
  <c r="R298" i="1" l="1"/>
  <c r="S297" i="1"/>
  <c r="R299" i="1" l="1"/>
  <c r="S298" i="1"/>
  <c r="S299" i="1" l="1"/>
  <c r="R300" i="1"/>
  <c r="R301" i="1" l="1"/>
  <c r="S300" i="1"/>
  <c r="S301" i="1" l="1"/>
  <c r="R302" i="1"/>
  <c r="R303" i="1" l="1"/>
  <c r="S302" i="1"/>
  <c r="R304" i="1" l="1"/>
  <c r="S303" i="1"/>
  <c r="S304" i="1" l="1"/>
  <c r="R305" i="1"/>
  <c r="R306" i="1" l="1"/>
  <c r="S305" i="1"/>
  <c r="R307" i="1" l="1"/>
  <c r="S306" i="1"/>
  <c r="S307" i="1" l="1"/>
  <c r="R308" i="1"/>
  <c r="R309" i="1" l="1"/>
  <c r="S308" i="1"/>
  <c r="R310" i="1" l="1"/>
  <c r="S309" i="1"/>
  <c r="S310" i="1" l="1"/>
  <c r="R311" i="1"/>
  <c r="S311" i="1" l="1"/>
  <c r="R312" i="1"/>
  <c r="R313" i="1" l="1"/>
  <c r="S312" i="1"/>
  <c r="S313" i="1" l="1"/>
  <c r="R314" i="1"/>
  <c r="R315" i="1" l="1"/>
  <c r="S314" i="1"/>
  <c r="R316" i="1" l="1"/>
  <c r="S315" i="1"/>
  <c r="S316" i="1" l="1"/>
  <c r="R317" i="1"/>
  <c r="R318" i="1" l="1"/>
  <c r="S317" i="1"/>
  <c r="S318" i="1" l="1"/>
  <c r="R319" i="1"/>
  <c r="R320" i="1" l="1"/>
  <c r="S319" i="1"/>
  <c r="R321" i="1" l="1"/>
  <c r="S320" i="1"/>
  <c r="S321" i="1" l="1"/>
  <c r="R322" i="1"/>
  <c r="R323" i="1" l="1"/>
  <c r="S322" i="1"/>
  <c r="R324" i="1" l="1"/>
  <c r="S323" i="1"/>
  <c r="S324" i="1" l="1"/>
  <c r="R325" i="1"/>
  <c r="R326" i="1" l="1"/>
  <c r="S325" i="1"/>
  <c r="S326" i="1" l="1"/>
  <c r="R327" i="1"/>
  <c r="R328" i="1" l="1"/>
  <c r="S327" i="1"/>
  <c r="R329" i="1" l="1"/>
  <c r="S328" i="1"/>
  <c r="S329" i="1" l="1"/>
  <c r="R330" i="1"/>
  <c r="R331" i="1" l="1"/>
  <c r="S330" i="1"/>
  <c r="R332" i="1" l="1"/>
  <c r="S331" i="1"/>
  <c r="S332" i="1" l="1"/>
  <c r="R333" i="1"/>
  <c r="R334" i="1" l="1"/>
  <c r="S333" i="1"/>
  <c r="S334" i="1" l="1"/>
  <c r="R335" i="1"/>
  <c r="R336" i="1" l="1"/>
  <c r="S335" i="1"/>
  <c r="R337" i="1" l="1"/>
  <c r="S336" i="1"/>
  <c r="S337" i="1" l="1"/>
  <c r="R338" i="1"/>
  <c r="R339" i="1" l="1"/>
  <c r="S338" i="1"/>
  <c r="R340" i="1" l="1"/>
  <c r="S339" i="1"/>
  <c r="S340" i="1" l="1"/>
  <c r="R341" i="1"/>
  <c r="R342" i="1" l="1"/>
  <c r="S341" i="1"/>
  <c r="S342" i="1" l="1"/>
  <c r="R343" i="1"/>
  <c r="S343" i="1" l="1"/>
  <c r="R344" i="1"/>
  <c r="R345" i="1" l="1"/>
  <c r="S344" i="1"/>
  <c r="R346" i="1" l="1"/>
  <c r="S345" i="1"/>
  <c r="S346" i="1" l="1"/>
  <c r="R347" i="1"/>
  <c r="R348" i="1" l="1"/>
  <c r="S347" i="1"/>
  <c r="S348" i="1" l="1"/>
  <c r="R349" i="1"/>
  <c r="S349" i="1" l="1"/>
  <c r="R350" i="1"/>
  <c r="R351" i="1" l="1"/>
  <c r="S350" i="1"/>
  <c r="S351" i="1" l="1"/>
  <c r="R352" i="1"/>
  <c r="S352" i="1" l="1"/>
  <c r="R353" i="1"/>
  <c r="R354" i="1" l="1"/>
  <c r="S353" i="1"/>
  <c r="S354" i="1" l="1"/>
  <c r="R355" i="1"/>
  <c r="R356" i="1" l="1"/>
  <c r="S355" i="1"/>
  <c r="S356" i="1" l="1"/>
  <c r="R357" i="1"/>
  <c r="S357" i="1" l="1"/>
  <c r="R358" i="1"/>
  <c r="R359" i="1" l="1"/>
  <c r="S358" i="1"/>
  <c r="S359" i="1" l="1"/>
  <c r="R360" i="1"/>
  <c r="S360" i="1" l="1"/>
  <c r="R361" i="1"/>
  <c r="R362" i="1" l="1"/>
  <c r="S361" i="1"/>
  <c r="S362" i="1" l="1"/>
  <c r="R363" i="1"/>
  <c r="R364" i="1" l="1"/>
  <c r="S363" i="1"/>
  <c r="S364" i="1" l="1"/>
  <c r="R365" i="1"/>
  <c r="S365" i="1" l="1"/>
  <c r="R366" i="1"/>
  <c r="R367" i="1" l="1"/>
  <c r="S366" i="1"/>
  <c r="S367" i="1" l="1"/>
  <c r="R368" i="1"/>
  <c r="S368" i="1" l="1"/>
  <c r="R369" i="1"/>
  <c r="R370" i="1" l="1"/>
  <c r="S369" i="1"/>
  <c r="S370" i="1" l="1"/>
  <c r="R371" i="1"/>
  <c r="R372" i="1" l="1"/>
  <c r="S371" i="1"/>
  <c r="S372" i="1" l="1"/>
  <c r="R373" i="1"/>
  <c r="S373" i="1" l="1"/>
  <c r="R374" i="1"/>
  <c r="R375" i="1" l="1"/>
  <c r="S374" i="1"/>
  <c r="S375" i="1" l="1"/>
  <c r="R376" i="1"/>
  <c r="S376" i="1" l="1"/>
  <c r="R377" i="1"/>
  <c r="R378" i="1" l="1"/>
  <c r="S377" i="1"/>
  <c r="S378" i="1" l="1"/>
  <c r="R379" i="1"/>
  <c r="R380" i="1" l="1"/>
  <c r="S379" i="1"/>
  <c r="R381" i="1" l="1"/>
  <c r="S380" i="1"/>
  <c r="S381" i="1" l="1"/>
  <c r="R382" i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T2" i="1" l="1"/>
  <c r="R1001" i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</calcChain>
</file>

<file path=xl/sharedStrings.xml><?xml version="1.0" encoding="utf-8"?>
<sst xmlns="http://schemas.openxmlformats.org/spreadsheetml/2006/main" count="5270" uniqueCount="166">
  <si>
    <t>Data</t>
  </si>
  <si>
    <t>Tipo Operação</t>
  </si>
  <si>
    <t>Característica</t>
  </si>
  <si>
    <t>Ativo</t>
  </si>
  <si>
    <t>Corretora</t>
  </si>
  <si>
    <t>Qtde</t>
  </si>
  <si>
    <t>Preço</t>
  </si>
  <si>
    <t>Custo Médio</t>
  </si>
  <si>
    <t>Lucro/Perda</t>
  </si>
  <si>
    <t>%</t>
  </si>
  <si>
    <t>Valor Compra</t>
  </si>
  <si>
    <t>Qtde Positivo</t>
  </si>
  <si>
    <t>C:\Users\esmer\Desktop\Alexandre\Investimentos</t>
  </si>
  <si>
    <t>Valor Vanessa</t>
  </si>
  <si>
    <t>Meta</t>
  </si>
  <si>
    <t>Falta</t>
  </si>
  <si>
    <t>Total Ano</t>
  </si>
  <si>
    <r>
      <rPr>
        <b/>
        <sz val="11"/>
        <color rgb="FF00FFFF"/>
        <rFont val="Calibri"/>
        <family val="2"/>
      </rPr>
      <t>&lt;</t>
    </r>
    <r>
      <rPr>
        <b/>
        <u/>
        <sz val="11"/>
        <color rgb="FF00FFFF"/>
        <rFont val="Calibri"/>
        <family val="2"/>
      </rPr>
      <t xml:space="preserve"> pdf </t>
    </r>
    <r>
      <rPr>
        <b/>
        <sz val="11"/>
        <color rgb="FF00FFFF"/>
        <rFont val="Calibri"/>
        <family val="2"/>
      </rPr>
      <t>&gt;</t>
    </r>
  </si>
  <si>
    <t>Qtde Negativo</t>
  </si>
  <si>
    <t>Janeiro</t>
  </si>
  <si>
    <t>Jan</t>
  </si>
  <si>
    <t>Média de Compra</t>
  </si>
  <si>
    <t>Fev</t>
  </si>
  <si>
    <t>Mar</t>
  </si>
  <si>
    <t>Resultado Mensal</t>
  </si>
  <si>
    <t>Abr</t>
  </si>
  <si>
    <t>Mai</t>
  </si>
  <si>
    <t>Lucro/Prejuízo</t>
  </si>
  <si>
    <t>Jun</t>
  </si>
  <si>
    <t>Jul</t>
  </si>
  <si>
    <t>Ago</t>
  </si>
  <si>
    <t>Set</t>
  </si>
  <si>
    <t>Out</t>
  </si>
  <si>
    <t>Nov</t>
  </si>
  <si>
    <t>Dez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</si>
  <si>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</si>
  <si>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</si>
  <si>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</si>
  <si>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</si>
  <si>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</si>
  <si>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</si>
  <si>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</si>
  <si>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</si>
  <si>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</si>
  <si>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</si>
  <si>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</si>
  <si>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Normal BIDI4</t>
  </si>
  <si>
    <t>Compra</t>
  </si>
  <si>
    <t>Venda</t>
  </si>
  <si>
    <t>Resultado</t>
  </si>
  <si>
    <t>Quantidade</t>
  </si>
  <si>
    <t>Emolumentos</t>
  </si>
  <si>
    <t>Valor</t>
  </si>
  <si>
    <t>Corretagem Compra</t>
  </si>
  <si>
    <t xml:space="preserve"> </t>
  </si>
  <si>
    <t>Total</t>
  </si>
  <si>
    <t>Corretagem Venda</t>
  </si>
  <si>
    <t>Total Líquido</t>
  </si>
  <si>
    <t>Resultado Final</t>
  </si>
  <si>
    <t>Corretagem</t>
  </si>
  <si>
    <t>Porcentagem</t>
  </si>
  <si>
    <t>x</t>
  </si>
  <si>
    <t>Normal TRAD3</t>
  </si>
  <si>
    <t>Normal BIDI11</t>
  </si>
  <si>
    <t>Normal LIGT3</t>
  </si>
  <si>
    <t>Porcentagem Líquida</t>
  </si>
  <si>
    <t>Normal TAEE11</t>
  </si>
  <si>
    <t>Venda 1.0%</t>
  </si>
  <si>
    <t>Venda1.5%</t>
  </si>
  <si>
    <t>Normal</t>
  </si>
  <si>
    <t>JHSF3</t>
  </si>
  <si>
    <t>BB-BI_S.A.</t>
  </si>
  <si>
    <t>HBOR3</t>
  </si>
  <si>
    <t>TASA4</t>
  </si>
  <si>
    <t>PRIO3</t>
  </si>
  <si>
    <t>GFSA3</t>
  </si>
  <si>
    <t>RCSL4</t>
  </si>
  <si>
    <t>SQIA3</t>
  </si>
  <si>
    <t>VVAR3</t>
  </si>
  <si>
    <t>BRKM5</t>
  </si>
  <si>
    <t>ITSA4</t>
  </si>
  <si>
    <t>CRFB3</t>
  </si>
  <si>
    <t>SUZB3</t>
  </si>
  <si>
    <t>BEEF3</t>
  </si>
  <si>
    <t>JSLG3</t>
  </si>
  <si>
    <t>MRFG3</t>
  </si>
  <si>
    <t>KLBN3</t>
  </si>
  <si>
    <t>KLBN4</t>
  </si>
  <si>
    <t>CPLE6</t>
  </si>
  <si>
    <t>MGLU3</t>
  </si>
  <si>
    <t>POSI3</t>
  </si>
  <si>
    <t>ELET3</t>
  </si>
  <si>
    <t>PMAM3</t>
  </si>
  <si>
    <t>CCPR3</t>
  </si>
  <si>
    <t>EMBR3</t>
  </si>
  <si>
    <t>AALR3</t>
  </si>
  <si>
    <t>CAMB3</t>
  </si>
  <si>
    <t>SAPR11</t>
  </si>
  <si>
    <t>COGN3</t>
  </si>
  <si>
    <t>BPAC11</t>
  </si>
  <si>
    <t>BIDI4</t>
  </si>
  <si>
    <t>BIDI11</t>
  </si>
  <si>
    <t>Imposto</t>
  </si>
  <si>
    <t>LWSA3</t>
  </si>
  <si>
    <t>CEAB3</t>
  </si>
  <si>
    <t>HGTX3</t>
  </si>
  <si>
    <t>TCSA3</t>
  </si>
  <si>
    <t>AZUL4</t>
  </si>
  <si>
    <t>RAPT4</t>
  </si>
  <si>
    <t>DMVF3</t>
  </si>
  <si>
    <t>LCAM3</t>
  </si>
  <si>
    <t>GGBR4</t>
  </si>
  <si>
    <t>WEGE3</t>
  </si>
  <si>
    <t>RADL3</t>
  </si>
  <si>
    <t>PETZ3</t>
  </si>
  <si>
    <t>GOLL4</t>
  </si>
  <si>
    <t>CVCB3</t>
  </si>
  <si>
    <t>BB-B_x001F__IS.A.</t>
  </si>
  <si>
    <t>BB-B_IS.A.</t>
  </si>
  <si>
    <t>Analise calmamente a tendência</t>
  </si>
  <si>
    <t>- Tendência de queda geralmente é boa para a SUZB3</t>
  </si>
  <si>
    <t>- Tendência de alta é mais fácil, espere uma correção para entrar</t>
  </si>
  <si>
    <t>- Tendência de queda tem correção positiva</t>
  </si>
  <si>
    <t>- Parece que CSN reage atrasada às notícias</t>
  </si>
  <si>
    <t>- Cuidado se a ação estiver muito esticada</t>
  </si>
  <si>
    <t>FJTA4</t>
  </si>
  <si>
    <t>Porcentagem de Lucro</t>
  </si>
  <si>
    <t>BPAN4</t>
  </si>
  <si>
    <t>INEP4</t>
  </si>
  <si>
    <t>CSNA3</t>
  </si>
  <si>
    <t>OIBR3</t>
  </si>
  <si>
    <t>PDGR3</t>
  </si>
  <si>
    <t>USIM5</t>
  </si>
  <si>
    <t>GOAU4</t>
  </si>
  <si>
    <t>BB-BI S.A.</t>
  </si>
  <si>
    <t>Imposto de renda nov/2018</t>
  </si>
  <si>
    <t>Qtde Positiva</t>
  </si>
  <si>
    <t>Qtde Negativa</t>
  </si>
  <si>
    <t>Zeramento Posicao</t>
  </si>
  <si>
    <t>OIBR4</t>
  </si>
  <si>
    <t>Evento Societário (Atualização)</t>
  </si>
  <si>
    <t>RSID3</t>
  </si>
  <si>
    <t>OGSA3</t>
  </si>
  <si>
    <t>BBTG12</t>
  </si>
  <si>
    <t>PPLA11</t>
  </si>
  <si>
    <t>Valor para Leilão</t>
  </si>
  <si>
    <t>Total Compra</t>
  </si>
  <si>
    <t>Total Líquido Compra</t>
  </si>
  <si>
    <t>Total Leilão</t>
  </si>
  <si>
    <t>Total Líquido Leilão</t>
  </si>
  <si>
    <t>Corretagem Leilão</t>
  </si>
  <si>
    <t>Normal RECV3</t>
  </si>
  <si>
    <t>Total Líq Compra</t>
  </si>
  <si>
    <t>Valor p/ Leilão</t>
  </si>
  <si>
    <t>Normal AZUL4</t>
  </si>
  <si>
    <t>Papel</t>
  </si>
  <si>
    <t>Cotação</t>
  </si>
  <si>
    <t>Var. %</t>
  </si>
  <si>
    <t>Fech.</t>
  </si>
  <si>
    <t>Máx.</t>
  </si>
  <si>
    <t>Mín.</t>
  </si>
  <si>
    <t>Nº Neg.</t>
  </si>
  <si>
    <t>Qtd. Neg. Dia</t>
  </si>
  <si>
    <t>Vol. Neg. Dia</t>
  </si>
  <si>
    <t>H. Últ. Neg.</t>
  </si>
  <si>
    <t>Max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</si>
</sst>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R$-416]\ #,##0.00"/>
    <numFmt numFmtId="165" formatCode="&quot;R$ &quot;#,##0.00"/>
    <numFmt numFmtId="166" formatCode="0.##;[Red]\-0.##"/>
    <numFmt numFmtId="167" formatCode="_R_$\ #,##0.00;[Red]\-_R_$\ #,##0.00"/>
    <numFmt numFmtId="168" formatCode="[$-416]d/m/yyyy"/>
    <numFmt numFmtId="169" formatCode="&quot;R$ &quot;#,##0.00;[Red]&quot;R$ &quot;#,##0.00"/>
    <numFmt numFmtId="170" formatCode="[$-416]#,##0.00_);[Red]\(#,##0.00\)"/>
    <numFmt numFmtId="171" formatCode="d/m/yyyy"/>
    <numFmt numFmtId="172" formatCode="&quot;R$&quot;\ #,##0.00;[Red]&quot;R$&quot;\ #,##0.00"/>
    <numFmt numFmtId="173" formatCode="&quot;R$ &quot;#,##0.00;[Red]&quot;-R$ &quot;#,##0.00"/>
  </numFmts>
  <fonts count="50">
    <font>
      <sz val="11"/>
      <color rgb="FF000000"/>
      <name val="Calibri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rgb="FF00FF00"/>
      <name val="Calibri"/>
      <family val="2"/>
    </font>
    <font>
      <sz val="11"/>
      <color rgb="FF434343"/>
      <name val="Calibri"/>
      <family val="2"/>
    </font>
    <font>
      <b/>
      <sz val="11"/>
      <color rgb="FFFFFFFF"/>
      <name val="Calibri"/>
      <family val="2"/>
    </font>
    <font>
      <b/>
      <sz val="11"/>
      <color rgb="FF00FFFF"/>
      <name val="Calibri"/>
      <family val="2"/>
    </font>
    <font>
      <sz val="11"/>
      <color rgb="FFFF0000"/>
      <name val="Calibri"/>
      <family val="2"/>
    </font>
    <font>
      <sz val="11"/>
      <color rgb="FF404040"/>
      <name val="Calibri"/>
      <family val="2"/>
    </font>
    <font>
      <sz val="11"/>
      <color rgb="FF9BBB59"/>
      <name val="Calibri"/>
      <family val="2"/>
    </font>
    <font>
      <sz val="11"/>
      <color rgb="FF953735"/>
      <name val="Calibri"/>
      <family val="2"/>
    </font>
    <font>
      <sz val="11"/>
      <color rgb="FFF05AC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00"/>
      <name val="Calibri"/>
      <family val="2"/>
    </font>
    <font>
      <sz val="11"/>
      <color rgb="FF666666"/>
      <name val="Calibri"/>
      <family val="2"/>
    </font>
    <font>
      <sz val="11"/>
      <color rgb="FF92D050"/>
      <name val="Calibri"/>
      <family val="2"/>
    </font>
    <font>
      <sz val="11"/>
      <color rgb="FFF2F2F2"/>
      <name val="Calibri"/>
      <family val="2"/>
    </font>
    <font>
      <sz val="11"/>
      <color rgb="FFF79646"/>
      <name val="Calibri"/>
      <family val="2"/>
    </font>
    <font>
      <sz val="11"/>
      <color rgb="FF00CC66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0000FF"/>
      <name val="Calibri"/>
      <family val="2"/>
    </font>
    <font>
      <sz val="11"/>
      <color rgb="FF558ED5"/>
      <name val="Calibri"/>
      <family val="2"/>
    </font>
    <font>
      <sz val="11"/>
      <color rgb="FF00B050"/>
      <name val="Calibri"/>
      <family val="2"/>
    </font>
    <font>
      <sz val="11"/>
      <color rgb="FFFFEB9C"/>
      <name val="Calibri"/>
      <family val="2"/>
    </font>
    <font>
      <sz val="11"/>
      <color rgb="FFFF5A00"/>
      <name val="Calibri"/>
      <family val="2"/>
    </font>
    <font>
      <sz val="11"/>
      <color rgb="FFB3B3B3"/>
      <name val="Calibri"/>
      <family val="2"/>
    </font>
    <font>
      <sz val="11"/>
      <color rgb="FF8064A2"/>
      <name val="Calibri"/>
      <family val="2"/>
    </font>
    <font>
      <sz val="11"/>
      <color rgb="FF4A86E8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Helvetica Neue&quot;"/>
    </font>
    <font>
      <sz val="11"/>
      <color rgb="FFD9D9D9"/>
      <name val="Calibri"/>
      <family val="2"/>
    </font>
    <font>
      <sz val="11"/>
      <color rgb="FF93CDDD"/>
      <name val="Calibri"/>
      <family val="2"/>
    </font>
    <font>
      <sz val="11"/>
      <color rgb="FF808080"/>
      <name val="Calibri"/>
      <family val="2"/>
    </font>
    <font>
      <sz val="11"/>
      <color rgb="FF948A54"/>
      <name val="Calibri"/>
      <family val="2"/>
    </font>
    <font>
      <sz val="11"/>
      <color rgb="FFEDDB37"/>
      <name val="Calibri"/>
      <family val="2"/>
    </font>
    <font>
      <b/>
      <sz val="11"/>
      <color rgb="FF93CDDD"/>
      <name val="Calibri"/>
      <family val="2"/>
    </font>
    <font>
      <sz val="11"/>
      <color rgb="FF604A7B"/>
      <name val="Calibri"/>
      <family val="2"/>
    </font>
    <font>
      <sz val="11"/>
      <color rgb="FFFAC090"/>
      <name val="Calibri"/>
      <family val="2"/>
    </font>
    <font>
      <sz val="12"/>
      <color rgb="FFFFFFFF"/>
      <name val="Calibri"/>
      <family val="2"/>
    </font>
    <font>
      <sz val="11"/>
      <color rgb="FF7030A0"/>
      <name val="Calibri"/>
      <family val="2"/>
    </font>
    <font>
      <b/>
      <u/>
      <sz val="11"/>
      <color rgb="FF00FFFF"/>
      <name val="Calibri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42424"/>
        <bgColor rgb="FF242424"/>
      </patternFill>
    </fill>
    <fill>
      <patternFill patternType="solid">
        <fgColor rgb="FF262626"/>
        <bgColor rgb="FF262626"/>
      </patternFill>
    </fill>
    <fill>
      <patternFill patternType="solid">
        <fgColor rgb="FF141414"/>
        <bgColor rgb="FF141414"/>
      </patternFill>
    </fill>
    <fill>
      <patternFill patternType="solid">
        <fgColor rgb="FF050505"/>
        <bgColor rgb="FF050505"/>
      </patternFill>
    </fill>
    <fill>
      <patternFill patternType="solid">
        <fgColor rgb="FF376092"/>
        <bgColor rgb="FF376092"/>
      </patternFill>
    </fill>
    <fill>
      <patternFill patternType="solid">
        <fgColor rgb="FF17375E"/>
        <bgColor rgb="FF17375E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595959"/>
        <bgColor rgb="FF595959"/>
      </patternFill>
    </fill>
    <fill>
      <patternFill patternType="solid">
        <fgColor rgb="FF404040"/>
        <bgColor rgb="FF404040"/>
      </patternFill>
    </fill>
    <fill>
      <patternFill patternType="solid">
        <fgColor rgb="FF0D0D0D"/>
        <bgColor rgb="FF0D0D0D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/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4D4D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FFFFFF"/>
      </bottom>
      <diagonal/>
    </border>
    <border>
      <left style="thin">
        <color rgb="FF000000"/>
      </left>
      <right/>
      <top style="thin">
        <color rgb="FF000000"/>
      </top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4D4D4D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D4D4D"/>
      </right>
      <top/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tted">
        <color rgb="FFFFFFFF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0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3" fillId="3" borderId="1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8" fillId="2" borderId="1" xfId="0" applyNumberFormat="1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3" fontId="8" fillId="2" borderId="1" xfId="0" applyNumberFormat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vertical="center" wrapText="1"/>
    </xf>
    <xf numFmtId="2" fontId="8" fillId="2" borderId="5" xfId="0" applyNumberFormat="1" applyFont="1" applyFill="1" applyBorder="1" applyAlignment="1">
      <alignment vertical="center" wrapText="1"/>
    </xf>
    <xf numFmtId="164" fontId="8" fillId="2" borderId="5" xfId="0" applyNumberFormat="1" applyFont="1" applyFill="1" applyBorder="1" applyAlignment="1">
      <alignment vertical="center" wrapText="1"/>
    </xf>
    <xf numFmtId="166" fontId="8" fillId="2" borderId="5" xfId="0" applyNumberFormat="1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167" fontId="8" fillId="2" borderId="3" xfId="0" applyNumberFormat="1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/>
    </xf>
    <xf numFmtId="0" fontId="9" fillId="2" borderId="8" xfId="0" applyFont="1" applyFill="1" applyBorder="1"/>
    <xf numFmtId="0" fontId="10" fillId="2" borderId="1" xfId="0" applyFont="1" applyFill="1" applyBorder="1"/>
    <xf numFmtId="165" fontId="11" fillId="2" borderId="1" xfId="0" applyNumberFormat="1" applyFont="1" applyFill="1" applyBorder="1"/>
    <xf numFmtId="165" fontId="12" fillId="2" borderId="1" xfId="0" applyNumberFormat="1" applyFont="1" applyFill="1" applyBorder="1"/>
    <xf numFmtId="165" fontId="10" fillId="0" borderId="0" xfId="0" applyNumberFormat="1" applyFont="1"/>
    <xf numFmtId="0" fontId="13" fillId="0" borderId="0" xfId="0" applyFont="1"/>
    <xf numFmtId="10" fontId="10" fillId="0" borderId="0" xfId="0" applyNumberFormat="1" applyFont="1"/>
    <xf numFmtId="167" fontId="0" fillId="0" borderId="0" xfId="0" applyNumberFormat="1"/>
    <xf numFmtId="14" fontId="0" fillId="0" borderId="0" xfId="0" applyNumberFormat="1"/>
    <xf numFmtId="164" fontId="8" fillId="2" borderId="1" xfId="0" applyNumberFormat="1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vertical="center" wrapText="1"/>
    </xf>
    <xf numFmtId="0" fontId="5" fillId="5" borderId="10" xfId="0" applyFont="1" applyFill="1" applyBorder="1"/>
    <xf numFmtId="10" fontId="0" fillId="0" borderId="0" xfId="0" applyNumberFormat="1"/>
    <xf numFmtId="14" fontId="14" fillId="2" borderId="1" xfId="0" applyNumberFormat="1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3" fontId="14" fillId="2" borderId="1" xfId="0" applyNumberFormat="1" applyFont="1" applyFill="1" applyBorder="1" applyAlignment="1">
      <alignment vertical="center" wrapText="1"/>
    </xf>
    <xf numFmtId="2" fontId="14" fillId="2" borderId="1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vertical="center" wrapText="1"/>
    </xf>
    <xf numFmtId="166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7" fontId="14" fillId="2" borderId="3" xfId="0" applyNumberFormat="1" applyFont="1" applyFill="1" applyBorder="1" applyAlignment="1">
      <alignment vertical="center" wrapText="1"/>
    </xf>
    <xf numFmtId="165" fontId="3" fillId="6" borderId="10" xfId="0" applyNumberFormat="1" applyFont="1" applyFill="1" applyBorder="1"/>
    <xf numFmtId="14" fontId="15" fillId="2" borderId="1" xfId="0" applyNumberFormat="1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3" fontId="15" fillId="2" borderId="1" xfId="0" applyNumberFormat="1" applyFont="1" applyFill="1" applyBorder="1" applyAlignment="1">
      <alignment vertical="center" wrapText="1"/>
    </xf>
    <xf numFmtId="2" fontId="15" fillId="2" borderId="1" xfId="0" applyNumberFormat="1" applyFont="1" applyFill="1" applyBorder="1" applyAlignment="1">
      <alignment vertical="center" wrapText="1"/>
    </xf>
    <xf numFmtId="164" fontId="15" fillId="2" borderId="1" xfId="0" applyNumberFormat="1" applyFont="1" applyFill="1" applyBorder="1" applyAlignment="1">
      <alignment vertical="center" wrapText="1"/>
    </xf>
    <xf numFmtId="166" fontId="15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167" fontId="15" fillId="2" borderId="3" xfId="0" applyNumberFormat="1" applyFont="1" applyFill="1" applyBorder="1" applyAlignment="1">
      <alignment vertical="center" wrapText="1"/>
    </xf>
    <xf numFmtId="10" fontId="3" fillId="6" borderId="11" xfId="0" applyNumberFormat="1" applyFont="1" applyFill="1" applyBorder="1"/>
    <xf numFmtId="167" fontId="15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/>
    <xf numFmtId="14" fontId="9" fillId="2" borderId="1" xfId="0" applyNumberFormat="1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6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67" fontId="9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14" fontId="16" fillId="2" borderId="1" xfId="0" applyNumberFormat="1" applyFont="1" applyFill="1" applyBorder="1" applyAlignment="1">
      <alignment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3" fontId="16" fillId="2" borderId="1" xfId="0" applyNumberFormat="1" applyFont="1" applyFill="1" applyBorder="1" applyAlignment="1">
      <alignment vertical="center" wrapText="1"/>
    </xf>
    <xf numFmtId="2" fontId="16" fillId="2" borderId="1" xfId="0" applyNumberFormat="1" applyFont="1" applyFill="1" applyBorder="1" applyAlignment="1">
      <alignment vertical="center" wrapText="1"/>
    </xf>
    <xf numFmtId="164" fontId="16" fillId="2" borderId="1" xfId="0" applyNumberFormat="1" applyFont="1" applyFill="1" applyBorder="1" applyAlignment="1">
      <alignment vertical="center" wrapText="1"/>
    </xf>
    <xf numFmtId="166" fontId="16" fillId="2" borderId="1" xfId="0" applyNumberFormat="1" applyFont="1" applyFill="1" applyBorder="1" applyAlignment="1">
      <alignment vertical="center" wrapText="1"/>
    </xf>
    <xf numFmtId="167" fontId="16" fillId="2" borderId="1" xfId="0" applyNumberFormat="1" applyFont="1" applyFill="1" applyBorder="1" applyAlignment="1">
      <alignment vertical="center" wrapText="1"/>
    </xf>
    <xf numFmtId="0" fontId="10" fillId="0" borderId="0" xfId="0" applyFont="1"/>
    <xf numFmtId="14" fontId="17" fillId="2" borderId="1" xfId="0" applyNumberFormat="1" applyFont="1" applyFill="1" applyBorder="1" applyAlignment="1">
      <alignment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2" fontId="17" fillId="2" borderId="1" xfId="0" applyNumberFormat="1" applyFont="1" applyFill="1" applyBorder="1" applyAlignment="1">
      <alignment vertical="center" wrapText="1"/>
    </xf>
    <xf numFmtId="164" fontId="17" fillId="2" borderId="1" xfId="0" applyNumberFormat="1" applyFont="1" applyFill="1" applyBorder="1" applyAlignment="1">
      <alignment vertical="center" wrapText="1"/>
    </xf>
    <xf numFmtId="166" fontId="17" fillId="2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14" fontId="18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 wrapText="1"/>
    </xf>
    <xf numFmtId="3" fontId="18" fillId="2" borderId="12" xfId="0" applyNumberFormat="1" applyFont="1" applyFill="1" applyBorder="1" applyAlignment="1">
      <alignment vertical="center" wrapText="1"/>
    </xf>
    <xf numFmtId="2" fontId="18" fillId="2" borderId="12" xfId="0" applyNumberFormat="1" applyFont="1" applyFill="1" applyBorder="1" applyAlignment="1">
      <alignment vertical="center" wrapText="1"/>
    </xf>
    <xf numFmtId="164" fontId="18" fillId="2" borderId="13" xfId="0" applyNumberFormat="1" applyFont="1" applyFill="1" applyBorder="1" applyAlignment="1">
      <alignment vertical="center" wrapText="1"/>
    </xf>
    <xf numFmtId="166" fontId="18" fillId="2" borderId="12" xfId="0" applyNumberFormat="1" applyFont="1" applyFill="1" applyBorder="1" applyAlignment="1">
      <alignment vertical="center" wrapText="1"/>
    </xf>
    <xf numFmtId="167" fontId="18" fillId="2" borderId="12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3" fontId="19" fillId="2" borderId="1" xfId="0" applyNumberFormat="1" applyFont="1" applyFill="1" applyBorder="1" applyAlignment="1">
      <alignment vertical="center" wrapText="1"/>
    </xf>
    <xf numFmtId="2" fontId="19" fillId="2" borderId="1" xfId="0" applyNumberFormat="1" applyFont="1" applyFill="1" applyBorder="1" applyAlignment="1">
      <alignment vertical="center" wrapText="1"/>
    </xf>
    <xf numFmtId="164" fontId="19" fillId="2" borderId="1" xfId="0" applyNumberFormat="1" applyFont="1" applyFill="1" applyBorder="1" applyAlignment="1">
      <alignment vertical="center" wrapText="1"/>
    </xf>
    <xf numFmtId="166" fontId="19" fillId="2" borderId="1" xfId="0" applyNumberFormat="1" applyFont="1" applyFill="1" applyBorder="1" applyAlignment="1">
      <alignment vertical="center" wrapText="1"/>
    </xf>
    <xf numFmtId="167" fontId="19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vertical="center" wrapText="1"/>
    </xf>
    <xf numFmtId="164" fontId="18" fillId="2" borderId="12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vertical="center"/>
    </xf>
    <xf numFmtId="3" fontId="18" fillId="2" borderId="14" xfId="0" applyNumberFormat="1" applyFont="1" applyFill="1" applyBorder="1" applyAlignment="1">
      <alignment vertical="center" wrapText="1"/>
    </xf>
    <xf numFmtId="2" fontId="18" fillId="2" borderId="14" xfId="0" applyNumberFormat="1" applyFont="1" applyFill="1" applyBorder="1" applyAlignment="1">
      <alignment vertical="center" wrapText="1"/>
    </xf>
    <xf numFmtId="164" fontId="18" fillId="2" borderId="14" xfId="0" applyNumberFormat="1" applyFont="1" applyFill="1" applyBorder="1" applyAlignment="1">
      <alignment vertical="center" wrapText="1"/>
    </xf>
    <xf numFmtId="166" fontId="18" fillId="2" borderId="14" xfId="0" applyNumberFormat="1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167" fontId="18" fillId="2" borderId="15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vertical="center" wrapText="1"/>
    </xf>
    <xf numFmtId="164" fontId="20" fillId="2" borderId="1" xfId="0" applyNumberFormat="1" applyFont="1" applyFill="1" applyBorder="1" applyAlignment="1">
      <alignment vertical="center" wrapText="1"/>
    </xf>
    <xf numFmtId="166" fontId="20" fillId="2" borderId="1" xfId="0" applyNumberFormat="1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167" fontId="20" fillId="2" borderId="3" xfId="0" applyNumberFormat="1" applyFont="1" applyFill="1" applyBorder="1" applyAlignment="1">
      <alignment vertical="center" wrapText="1"/>
    </xf>
    <xf numFmtId="0" fontId="9" fillId="0" borderId="0" xfId="0" applyFont="1"/>
    <xf numFmtId="14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3" fontId="18" fillId="2" borderId="1" xfId="0" applyNumberFormat="1" applyFont="1" applyFill="1" applyBorder="1" applyAlignment="1">
      <alignment vertical="center" wrapText="1"/>
    </xf>
    <xf numFmtId="2" fontId="18" fillId="2" borderId="1" xfId="0" applyNumberFormat="1" applyFont="1" applyFill="1" applyBorder="1" applyAlignment="1">
      <alignment vertical="center" wrapText="1"/>
    </xf>
    <xf numFmtId="164" fontId="18" fillId="2" borderId="1" xfId="0" applyNumberFormat="1" applyFont="1" applyFill="1" applyBorder="1" applyAlignment="1">
      <alignment vertical="center" wrapText="1"/>
    </xf>
    <xf numFmtId="166" fontId="18" fillId="2" borderId="1" xfId="0" applyNumberFormat="1" applyFont="1" applyFill="1" applyBorder="1" applyAlignment="1">
      <alignment vertical="center" wrapText="1"/>
    </xf>
    <xf numFmtId="167" fontId="18" fillId="2" borderId="1" xfId="0" applyNumberFormat="1" applyFont="1" applyFill="1" applyBorder="1" applyAlignment="1">
      <alignment vertical="center" wrapText="1"/>
    </xf>
    <xf numFmtId="167" fontId="20" fillId="2" borderId="1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 wrapText="1"/>
    </xf>
    <xf numFmtId="3" fontId="15" fillId="2" borderId="12" xfId="0" applyNumberFormat="1" applyFont="1" applyFill="1" applyBorder="1" applyAlignment="1">
      <alignment vertical="center" wrapText="1"/>
    </xf>
    <xf numFmtId="2" fontId="15" fillId="2" borderId="12" xfId="0" applyNumberFormat="1" applyFont="1" applyFill="1" applyBorder="1" applyAlignment="1">
      <alignment vertical="center" wrapText="1"/>
    </xf>
    <xf numFmtId="164" fontId="15" fillId="2" borderId="12" xfId="0" applyNumberFormat="1" applyFont="1" applyFill="1" applyBorder="1" applyAlignment="1">
      <alignment vertical="center" wrapText="1"/>
    </xf>
    <xf numFmtId="166" fontId="15" fillId="2" borderId="12" xfId="0" applyNumberFormat="1" applyFont="1" applyFill="1" applyBorder="1" applyAlignment="1">
      <alignment vertical="center" wrapText="1"/>
    </xf>
    <xf numFmtId="167" fontId="15" fillId="2" borderId="12" xfId="0" applyNumberFormat="1" applyFont="1" applyFill="1" applyBorder="1" applyAlignment="1">
      <alignment vertical="center" wrapText="1"/>
    </xf>
    <xf numFmtId="0" fontId="0" fillId="2" borderId="16" xfId="0" applyFill="1" applyBorder="1"/>
    <xf numFmtId="14" fontId="15" fillId="2" borderId="14" xfId="0" applyNumberFormat="1" applyFont="1" applyFill="1" applyBorder="1" applyAlignment="1">
      <alignment vertical="center" wrapText="1"/>
    </xf>
    <xf numFmtId="14" fontId="15" fillId="2" borderId="14" xfId="0" applyNumberFormat="1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vertical="center"/>
    </xf>
    <xf numFmtId="3" fontId="15" fillId="2" borderId="14" xfId="0" applyNumberFormat="1" applyFont="1" applyFill="1" applyBorder="1" applyAlignment="1">
      <alignment vertical="center" wrapText="1"/>
    </xf>
    <xf numFmtId="2" fontId="15" fillId="2" borderId="14" xfId="0" applyNumberFormat="1" applyFont="1" applyFill="1" applyBorder="1" applyAlignment="1">
      <alignment vertical="center" wrapText="1"/>
    </xf>
    <xf numFmtId="164" fontId="15" fillId="2" borderId="14" xfId="0" applyNumberFormat="1" applyFont="1" applyFill="1" applyBorder="1" applyAlignment="1">
      <alignment vertical="center" wrapText="1"/>
    </xf>
    <xf numFmtId="166" fontId="15" fillId="2" borderId="14" xfId="0" applyNumberFormat="1" applyFont="1" applyFill="1" applyBorder="1" applyAlignment="1">
      <alignment vertical="center" wrapText="1"/>
    </xf>
    <xf numFmtId="0" fontId="15" fillId="2" borderId="14" xfId="0" applyFont="1" applyFill="1" applyBorder="1" applyAlignment="1">
      <alignment vertical="center" wrapText="1"/>
    </xf>
    <xf numFmtId="167" fontId="18" fillId="2" borderId="3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3" fontId="21" fillId="2" borderId="1" xfId="0" applyNumberFormat="1" applyFont="1" applyFill="1" applyBorder="1" applyAlignment="1">
      <alignment vertical="center" wrapText="1"/>
    </xf>
    <xf numFmtId="2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vertical="center" wrapText="1"/>
    </xf>
    <xf numFmtId="166" fontId="21" fillId="2" borderId="1" xfId="0" applyNumberFormat="1" applyFont="1" applyFill="1" applyBorder="1" applyAlignment="1">
      <alignment vertical="center" wrapText="1"/>
    </xf>
    <xf numFmtId="167" fontId="21" fillId="2" borderId="1" xfId="0" applyNumberFormat="1" applyFont="1" applyFill="1" applyBorder="1" applyAlignment="1">
      <alignment vertical="center" wrapText="1"/>
    </xf>
    <xf numFmtId="167" fontId="14" fillId="2" borderId="1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 wrapText="1"/>
    </xf>
    <xf numFmtId="3" fontId="22" fillId="2" borderId="12" xfId="0" applyNumberFormat="1" applyFont="1" applyFill="1" applyBorder="1" applyAlignment="1">
      <alignment vertical="center" wrapText="1"/>
    </xf>
    <xf numFmtId="2" fontId="22" fillId="2" borderId="12" xfId="0" applyNumberFormat="1" applyFont="1" applyFill="1" applyBorder="1" applyAlignment="1">
      <alignment vertical="center" wrapText="1"/>
    </xf>
    <xf numFmtId="164" fontId="22" fillId="2" borderId="12" xfId="0" applyNumberFormat="1" applyFont="1" applyFill="1" applyBorder="1" applyAlignment="1">
      <alignment vertical="center" wrapText="1"/>
    </xf>
    <xf numFmtId="166" fontId="22" fillId="2" borderId="12" xfId="0" applyNumberFormat="1" applyFont="1" applyFill="1" applyBorder="1" applyAlignment="1">
      <alignment vertical="center" wrapText="1"/>
    </xf>
    <xf numFmtId="167" fontId="22" fillId="2" borderId="12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vertical="center"/>
    </xf>
    <xf numFmtId="3" fontId="22" fillId="2" borderId="14" xfId="0" applyNumberFormat="1" applyFont="1" applyFill="1" applyBorder="1" applyAlignment="1">
      <alignment vertical="center" wrapText="1"/>
    </xf>
    <xf numFmtId="2" fontId="22" fillId="2" borderId="14" xfId="0" applyNumberFormat="1" applyFont="1" applyFill="1" applyBorder="1" applyAlignment="1">
      <alignment vertical="center" wrapText="1"/>
    </xf>
    <xf numFmtId="164" fontId="22" fillId="2" borderId="14" xfId="0" applyNumberFormat="1" applyFont="1" applyFill="1" applyBorder="1" applyAlignment="1">
      <alignment vertical="center" wrapText="1"/>
    </xf>
    <xf numFmtId="166" fontId="22" fillId="2" borderId="14" xfId="0" applyNumberFormat="1" applyFont="1" applyFill="1" applyBorder="1" applyAlignment="1">
      <alignment vertical="center" wrapText="1"/>
    </xf>
    <xf numFmtId="0" fontId="22" fillId="2" borderId="14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  <xf numFmtId="167" fontId="3" fillId="2" borderId="3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vertical="center" wrapText="1"/>
    </xf>
    <xf numFmtId="2" fontId="12" fillId="2" borderId="1" xfId="0" applyNumberFormat="1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vertical="center" wrapText="1"/>
    </xf>
    <xf numFmtId="166" fontId="12" fillId="2" borderId="1" xfId="0" applyNumberFormat="1" applyFont="1" applyFill="1" applyBorder="1" applyAlignment="1">
      <alignment vertical="center" wrapText="1"/>
    </xf>
    <xf numFmtId="167" fontId="12" fillId="2" borderId="3" xfId="0" applyNumberFormat="1" applyFont="1" applyFill="1" applyBorder="1" applyAlignment="1">
      <alignment vertical="center" wrapText="1"/>
    </xf>
    <xf numFmtId="167" fontId="12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3" fontId="23" fillId="2" borderId="1" xfId="0" applyNumberFormat="1" applyFont="1" applyFill="1" applyBorder="1" applyAlignment="1">
      <alignment vertical="center" wrapText="1"/>
    </xf>
    <xf numFmtId="2" fontId="23" fillId="2" borderId="1" xfId="0" applyNumberFormat="1" applyFont="1" applyFill="1" applyBorder="1" applyAlignment="1">
      <alignment vertical="center" wrapText="1"/>
    </xf>
    <xf numFmtId="164" fontId="23" fillId="2" borderId="1" xfId="0" applyNumberFormat="1" applyFont="1" applyFill="1" applyBorder="1" applyAlignment="1">
      <alignment vertical="center" wrapText="1"/>
    </xf>
    <xf numFmtId="166" fontId="23" fillId="2" borderId="1" xfId="0" applyNumberFormat="1" applyFont="1" applyFill="1" applyBorder="1" applyAlignment="1">
      <alignment vertical="center" wrapText="1"/>
    </xf>
    <xf numFmtId="167" fontId="23" fillId="2" borderId="1" xfId="0" applyNumberFormat="1" applyFont="1" applyFill="1" applyBorder="1" applyAlignment="1">
      <alignment vertical="center" wrapText="1"/>
    </xf>
    <xf numFmtId="167" fontId="3" fillId="2" borderId="1" xfId="0" applyNumberFormat="1" applyFont="1" applyFill="1" applyBorder="1" applyAlignment="1">
      <alignment vertical="center" wrapText="1"/>
    </xf>
    <xf numFmtId="0" fontId="23" fillId="2" borderId="1" xfId="0" applyFont="1" applyFill="1" applyBorder="1"/>
    <xf numFmtId="0" fontId="23" fillId="0" borderId="0" xfId="0" applyFont="1"/>
    <xf numFmtId="14" fontId="24" fillId="2" borderId="1" xfId="0" applyNumberFormat="1" applyFont="1" applyFill="1" applyBorder="1" applyAlignment="1">
      <alignment vertical="center" wrapText="1"/>
    </xf>
    <xf numFmtId="168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/>
    </xf>
    <xf numFmtId="3" fontId="24" fillId="2" borderId="1" xfId="0" applyNumberFormat="1" applyFont="1" applyFill="1" applyBorder="1" applyAlignment="1">
      <alignment vertical="center" wrapText="1"/>
    </xf>
    <xf numFmtId="2" fontId="24" fillId="2" borderId="1" xfId="0" applyNumberFormat="1" applyFont="1" applyFill="1" applyBorder="1" applyAlignment="1">
      <alignment vertical="center" wrapText="1"/>
    </xf>
    <xf numFmtId="164" fontId="24" fillId="2" borderId="1" xfId="0" applyNumberFormat="1" applyFont="1" applyFill="1" applyBorder="1" applyAlignment="1">
      <alignment vertical="center" wrapText="1"/>
    </xf>
    <xf numFmtId="166" fontId="24" fillId="2" borderId="1" xfId="0" applyNumberFormat="1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167" fontId="24" fillId="2" borderId="1" xfId="0" applyNumberFormat="1" applyFont="1" applyFill="1" applyBorder="1" applyAlignment="1">
      <alignment vertical="center" wrapText="1"/>
    </xf>
    <xf numFmtId="164" fontId="0" fillId="0" borderId="0" xfId="0" applyNumberFormat="1"/>
    <xf numFmtId="14" fontId="25" fillId="2" borderId="1" xfId="0" applyNumberFormat="1" applyFont="1" applyFill="1" applyBorder="1" applyAlignment="1">
      <alignment vertical="center" wrapText="1"/>
    </xf>
    <xf numFmtId="168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3" fontId="25" fillId="2" borderId="1" xfId="0" applyNumberFormat="1" applyFont="1" applyFill="1" applyBorder="1" applyAlignment="1">
      <alignment vertical="center" wrapText="1"/>
    </xf>
    <xf numFmtId="2" fontId="25" fillId="2" borderId="1" xfId="0" applyNumberFormat="1" applyFont="1" applyFill="1" applyBorder="1" applyAlignment="1">
      <alignment vertical="center" wrapText="1"/>
    </xf>
    <xf numFmtId="164" fontId="25" fillId="2" borderId="1" xfId="0" applyNumberFormat="1" applyFont="1" applyFill="1" applyBorder="1" applyAlignment="1">
      <alignment vertical="center" wrapText="1"/>
    </xf>
    <xf numFmtId="166" fontId="25" fillId="2" borderId="1" xfId="0" applyNumberFormat="1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167" fontId="25" fillId="2" borderId="3" xfId="0" applyNumberFormat="1" applyFont="1" applyFill="1" applyBorder="1" applyAlignment="1">
      <alignment vertical="center" wrapText="1"/>
    </xf>
    <xf numFmtId="167" fontId="8" fillId="2" borderId="1" xfId="0" applyNumberFormat="1" applyFont="1" applyFill="1" applyBorder="1" applyAlignment="1">
      <alignment vertical="center" wrapText="1"/>
    </xf>
    <xf numFmtId="167" fontId="25" fillId="2" borderId="1" xfId="0" applyNumberFormat="1" applyFont="1" applyFill="1" applyBorder="1" applyAlignment="1">
      <alignment vertical="center" wrapText="1"/>
    </xf>
    <xf numFmtId="0" fontId="0" fillId="2" borderId="8" xfId="0" applyFill="1" applyBorder="1"/>
    <xf numFmtId="164" fontId="22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14" fontId="26" fillId="2" borderId="1" xfId="0" applyNumberFormat="1" applyFont="1" applyFill="1" applyBorder="1" applyAlignment="1">
      <alignment vertical="center" wrapText="1"/>
    </xf>
    <xf numFmtId="168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3" fontId="26" fillId="2" borderId="1" xfId="0" applyNumberFormat="1" applyFont="1" applyFill="1" applyBorder="1" applyAlignment="1">
      <alignment vertical="center" wrapText="1"/>
    </xf>
    <xf numFmtId="2" fontId="26" fillId="2" borderId="1" xfId="0" applyNumberFormat="1" applyFont="1" applyFill="1" applyBorder="1" applyAlignment="1">
      <alignment vertical="center" wrapText="1"/>
    </xf>
    <xf numFmtId="164" fontId="26" fillId="2" borderId="1" xfId="0" applyNumberFormat="1" applyFont="1" applyFill="1" applyBorder="1" applyAlignment="1">
      <alignment vertical="center" wrapText="1"/>
    </xf>
    <xf numFmtId="166" fontId="26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67" fontId="26" fillId="2" borderId="1" xfId="0" applyNumberFormat="1" applyFont="1" applyFill="1" applyBorder="1" applyAlignment="1">
      <alignment vertical="center" wrapText="1"/>
    </xf>
    <xf numFmtId="14" fontId="3" fillId="2" borderId="12" xfId="0" applyNumberFormat="1" applyFont="1" applyFill="1" applyBorder="1" applyAlignment="1">
      <alignment vertical="center" wrapText="1"/>
    </xf>
    <xf numFmtId="168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3" fontId="3" fillId="2" borderId="12" xfId="0" applyNumberFormat="1" applyFont="1" applyFill="1" applyBorder="1" applyAlignment="1">
      <alignment vertical="center" wrapText="1"/>
    </xf>
    <xf numFmtId="2" fontId="3" fillId="2" borderId="12" xfId="0" applyNumberFormat="1" applyFont="1" applyFill="1" applyBorder="1" applyAlignment="1">
      <alignment vertical="center" wrapText="1"/>
    </xf>
    <xf numFmtId="164" fontId="3" fillId="2" borderId="12" xfId="0" applyNumberFormat="1" applyFont="1" applyFill="1" applyBorder="1" applyAlignment="1">
      <alignment vertical="center" wrapText="1"/>
    </xf>
    <xf numFmtId="166" fontId="3" fillId="2" borderId="12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167" fontId="3" fillId="2" borderId="12" xfId="0" applyNumberFormat="1" applyFont="1" applyFill="1" applyBorder="1" applyAlignment="1">
      <alignment vertical="center" wrapText="1"/>
    </xf>
    <xf numFmtId="14" fontId="3" fillId="2" borderId="14" xfId="0" applyNumberFormat="1" applyFont="1" applyFill="1" applyBorder="1" applyAlignment="1">
      <alignment vertical="center" wrapText="1"/>
    </xf>
    <xf numFmtId="168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3" fontId="3" fillId="2" borderId="14" xfId="0" applyNumberFormat="1" applyFont="1" applyFill="1" applyBorder="1" applyAlignment="1">
      <alignment vertical="center" wrapText="1"/>
    </xf>
    <xf numFmtId="2" fontId="3" fillId="2" borderId="14" xfId="0" applyNumberFormat="1" applyFont="1" applyFill="1" applyBorder="1" applyAlignment="1">
      <alignment vertical="center" wrapText="1"/>
    </xf>
    <xf numFmtId="164" fontId="3" fillId="2" borderId="14" xfId="0" applyNumberFormat="1" applyFont="1" applyFill="1" applyBorder="1" applyAlignment="1">
      <alignment vertical="center" wrapText="1"/>
    </xf>
    <xf numFmtId="166" fontId="3" fillId="2" borderId="14" xfId="0" applyNumberFormat="1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167" fontId="21" fillId="2" borderId="3" xfId="0" applyNumberFormat="1" applyFont="1" applyFill="1" applyBorder="1" applyAlignment="1">
      <alignment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vertical="center" wrapText="1"/>
    </xf>
    <xf numFmtId="168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/>
    </xf>
    <xf numFmtId="3" fontId="22" fillId="2" borderId="1" xfId="0" applyNumberFormat="1" applyFont="1" applyFill="1" applyBorder="1" applyAlignment="1">
      <alignment vertical="center" wrapText="1"/>
    </xf>
    <xf numFmtId="2" fontId="22" fillId="2" borderId="1" xfId="0" applyNumberFormat="1" applyFont="1" applyFill="1" applyBorder="1" applyAlignment="1">
      <alignment vertical="center" wrapText="1"/>
    </xf>
    <xf numFmtId="166" fontId="22" fillId="2" borderId="1" xfId="0" applyNumberFormat="1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167" fontId="22" fillId="2" borderId="1" xfId="0" applyNumberFormat="1" applyFont="1" applyFill="1" applyBorder="1" applyAlignment="1">
      <alignment vertical="center" wrapText="1"/>
    </xf>
    <xf numFmtId="168" fontId="12" fillId="2" borderId="1" xfId="0" applyNumberFormat="1" applyFont="1" applyFill="1" applyBorder="1" applyAlignment="1">
      <alignment horizontal="center" vertical="center" wrapText="1"/>
    </xf>
    <xf numFmtId="14" fontId="14" fillId="2" borderId="12" xfId="0" applyNumberFormat="1" applyFont="1" applyFill="1" applyBorder="1" applyAlignment="1">
      <alignment vertical="center" wrapText="1"/>
    </xf>
    <xf numFmtId="14" fontId="14" fillId="2" borderId="12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 wrapText="1"/>
    </xf>
    <xf numFmtId="3" fontId="14" fillId="2" borderId="12" xfId="0" applyNumberFormat="1" applyFont="1" applyFill="1" applyBorder="1" applyAlignment="1">
      <alignment vertical="center" wrapText="1"/>
    </xf>
    <xf numFmtId="2" fontId="14" fillId="2" borderId="12" xfId="0" applyNumberFormat="1" applyFont="1" applyFill="1" applyBorder="1" applyAlignment="1">
      <alignment vertical="center" wrapText="1"/>
    </xf>
    <xf numFmtId="164" fontId="14" fillId="2" borderId="12" xfId="0" applyNumberFormat="1" applyFont="1" applyFill="1" applyBorder="1" applyAlignment="1">
      <alignment vertical="center" wrapText="1"/>
    </xf>
    <xf numFmtId="166" fontId="14" fillId="2" borderId="12" xfId="0" applyNumberFormat="1" applyFont="1" applyFill="1" applyBorder="1" applyAlignment="1">
      <alignment vertical="center" wrapText="1"/>
    </xf>
    <xf numFmtId="167" fontId="14" fillId="2" borderId="12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3" fontId="14" fillId="2" borderId="14" xfId="0" applyNumberFormat="1" applyFont="1" applyFill="1" applyBorder="1" applyAlignment="1">
      <alignment vertical="center" wrapText="1"/>
    </xf>
    <xf numFmtId="2" fontId="14" fillId="2" borderId="14" xfId="0" applyNumberFormat="1" applyFont="1" applyFill="1" applyBorder="1" applyAlignment="1">
      <alignment vertical="center" wrapText="1"/>
    </xf>
    <xf numFmtId="164" fontId="14" fillId="2" borderId="14" xfId="0" applyNumberFormat="1" applyFont="1" applyFill="1" applyBorder="1" applyAlignment="1">
      <alignment vertical="center" wrapText="1"/>
    </xf>
    <xf numFmtId="166" fontId="14" fillId="2" borderId="14" xfId="0" applyNumberFormat="1" applyFont="1" applyFill="1" applyBorder="1" applyAlignment="1">
      <alignment vertical="center" wrapText="1"/>
    </xf>
    <xf numFmtId="168" fontId="14" fillId="2" borderId="1" xfId="0" applyNumberFormat="1" applyFont="1" applyFill="1" applyBorder="1" applyAlignment="1">
      <alignment horizontal="center" vertical="center" wrapText="1"/>
    </xf>
    <xf numFmtId="14" fontId="12" fillId="2" borderId="12" xfId="0" applyNumberFormat="1" applyFont="1" applyFill="1" applyBorder="1" applyAlignment="1">
      <alignment vertical="center" wrapText="1"/>
    </xf>
    <xf numFmtId="14" fontId="12" fillId="2" borderId="12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 wrapText="1"/>
    </xf>
    <xf numFmtId="3" fontId="12" fillId="2" borderId="12" xfId="0" applyNumberFormat="1" applyFont="1" applyFill="1" applyBorder="1" applyAlignment="1">
      <alignment vertical="center" wrapText="1"/>
    </xf>
    <xf numFmtId="2" fontId="12" fillId="2" borderId="12" xfId="0" applyNumberFormat="1" applyFont="1" applyFill="1" applyBorder="1" applyAlignment="1">
      <alignment vertical="center" wrapText="1"/>
    </xf>
    <xf numFmtId="164" fontId="12" fillId="2" borderId="12" xfId="0" applyNumberFormat="1" applyFont="1" applyFill="1" applyBorder="1" applyAlignment="1">
      <alignment vertical="center" wrapText="1"/>
    </xf>
    <xf numFmtId="166" fontId="12" fillId="2" borderId="12" xfId="0" applyNumberFormat="1" applyFont="1" applyFill="1" applyBorder="1" applyAlignment="1">
      <alignment vertical="center" wrapText="1"/>
    </xf>
    <xf numFmtId="167" fontId="12" fillId="2" borderId="12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 wrapText="1"/>
    </xf>
    <xf numFmtId="3" fontId="12" fillId="2" borderId="14" xfId="0" applyNumberFormat="1" applyFont="1" applyFill="1" applyBorder="1" applyAlignment="1">
      <alignment vertical="center" wrapText="1"/>
    </xf>
    <xf numFmtId="2" fontId="12" fillId="2" borderId="14" xfId="0" applyNumberFormat="1" applyFont="1" applyFill="1" applyBorder="1" applyAlignment="1">
      <alignment vertical="center" wrapText="1"/>
    </xf>
    <xf numFmtId="164" fontId="12" fillId="2" borderId="14" xfId="0" applyNumberFormat="1" applyFont="1" applyFill="1" applyBorder="1" applyAlignment="1">
      <alignment vertical="center" wrapText="1"/>
    </xf>
    <xf numFmtId="166" fontId="12" fillId="2" borderId="14" xfId="0" applyNumberFormat="1" applyFont="1" applyFill="1" applyBorder="1" applyAlignment="1">
      <alignment vertical="center" wrapText="1"/>
    </xf>
    <xf numFmtId="0" fontId="0" fillId="2" borderId="17" xfId="0" applyFill="1" applyBorder="1"/>
    <xf numFmtId="169" fontId="0" fillId="0" borderId="0" xfId="0" applyNumberFormat="1"/>
    <xf numFmtId="168" fontId="23" fillId="2" borderId="1" xfId="0" applyNumberFormat="1" applyFont="1" applyFill="1" applyBorder="1" applyAlignment="1">
      <alignment horizontal="center" vertical="center" wrapText="1"/>
    </xf>
    <xf numFmtId="167" fontId="23" fillId="2" borderId="3" xfId="0" applyNumberFormat="1" applyFont="1" applyFill="1" applyBorder="1" applyAlignment="1">
      <alignment vertical="center" wrapText="1"/>
    </xf>
    <xf numFmtId="14" fontId="27" fillId="2" borderId="1" xfId="0" applyNumberFormat="1" applyFont="1" applyFill="1" applyBorder="1" applyAlignment="1">
      <alignment vertical="center" wrapText="1"/>
    </xf>
    <xf numFmtId="168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3" fontId="27" fillId="2" borderId="1" xfId="0" applyNumberFormat="1" applyFont="1" applyFill="1" applyBorder="1" applyAlignment="1">
      <alignment vertical="center" wrapText="1"/>
    </xf>
    <xf numFmtId="2" fontId="27" fillId="2" borderId="1" xfId="0" applyNumberFormat="1" applyFont="1" applyFill="1" applyBorder="1" applyAlignment="1">
      <alignment vertical="center" wrapText="1"/>
    </xf>
    <xf numFmtId="164" fontId="27" fillId="2" borderId="1" xfId="0" applyNumberFormat="1" applyFont="1" applyFill="1" applyBorder="1" applyAlignment="1">
      <alignment vertical="center" wrapText="1"/>
    </xf>
    <xf numFmtId="166" fontId="27" fillId="2" borderId="1" xfId="0" applyNumberFormat="1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167" fontId="27" fillId="2" borderId="3" xfId="0" applyNumberFormat="1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18" fillId="2" borderId="14" xfId="0" applyNumberFormat="1" applyFont="1" applyFill="1" applyBorder="1" applyAlignment="1">
      <alignment horizontal="center" vertical="center" wrapText="1"/>
    </xf>
    <xf numFmtId="168" fontId="18" fillId="2" borderId="1" xfId="0" applyNumberFormat="1" applyFont="1" applyFill="1" applyBorder="1" applyAlignment="1">
      <alignment horizontal="center" vertical="center" wrapText="1"/>
    </xf>
    <xf numFmtId="168" fontId="20" fillId="2" borderId="1" xfId="0" applyNumberFormat="1" applyFont="1" applyFill="1" applyBorder="1" applyAlignment="1">
      <alignment horizontal="center" vertical="center" wrapText="1"/>
    </xf>
    <xf numFmtId="168" fontId="16" fillId="2" borderId="1" xfId="0" applyNumberFormat="1" applyFont="1" applyFill="1" applyBorder="1" applyAlignment="1">
      <alignment horizontal="center" vertical="center" wrapText="1"/>
    </xf>
    <xf numFmtId="167" fontId="16" fillId="2" borderId="3" xfId="0" applyNumberFormat="1" applyFont="1" applyFill="1" applyBorder="1" applyAlignment="1">
      <alignment vertical="center" wrapText="1"/>
    </xf>
    <xf numFmtId="14" fontId="28" fillId="2" borderId="1" xfId="0" applyNumberFormat="1" applyFont="1" applyFill="1" applyBorder="1" applyAlignment="1">
      <alignment vertical="center" wrapText="1"/>
    </xf>
    <xf numFmtId="168" fontId="28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3" fontId="28" fillId="2" borderId="1" xfId="0" applyNumberFormat="1" applyFont="1" applyFill="1" applyBorder="1" applyAlignment="1">
      <alignment vertical="center" wrapText="1"/>
    </xf>
    <xf numFmtId="2" fontId="28" fillId="2" borderId="1" xfId="0" applyNumberFormat="1" applyFont="1" applyFill="1" applyBorder="1" applyAlignment="1">
      <alignment vertical="center" wrapText="1"/>
    </xf>
    <xf numFmtId="164" fontId="28" fillId="2" borderId="1" xfId="0" applyNumberFormat="1" applyFont="1" applyFill="1" applyBorder="1" applyAlignment="1">
      <alignment vertical="center" wrapText="1"/>
    </xf>
    <xf numFmtId="166" fontId="28" fillId="2" borderId="1" xfId="0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167" fontId="28" fillId="2" borderId="3" xfId="0" applyNumberFormat="1" applyFont="1" applyFill="1" applyBorder="1" applyAlignment="1">
      <alignment vertical="center" wrapText="1"/>
    </xf>
    <xf numFmtId="14" fontId="28" fillId="2" borderId="12" xfId="0" applyNumberFormat="1" applyFont="1" applyFill="1" applyBorder="1" applyAlignment="1">
      <alignment vertical="center" wrapText="1"/>
    </xf>
    <xf numFmtId="168" fontId="28" fillId="2" borderId="12" xfId="0" applyNumberFormat="1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vertical="center"/>
    </xf>
    <xf numFmtId="3" fontId="28" fillId="2" borderId="12" xfId="0" applyNumberFormat="1" applyFont="1" applyFill="1" applyBorder="1" applyAlignment="1">
      <alignment vertical="center" wrapText="1"/>
    </xf>
    <xf numFmtId="2" fontId="28" fillId="2" borderId="12" xfId="0" applyNumberFormat="1" applyFont="1" applyFill="1" applyBorder="1" applyAlignment="1">
      <alignment vertical="center" wrapText="1"/>
    </xf>
    <xf numFmtId="164" fontId="28" fillId="2" borderId="12" xfId="0" applyNumberFormat="1" applyFont="1" applyFill="1" applyBorder="1" applyAlignment="1">
      <alignment vertical="center" wrapText="1"/>
    </xf>
    <xf numFmtId="166" fontId="28" fillId="2" borderId="12" xfId="0" applyNumberFormat="1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167" fontId="28" fillId="2" borderId="15" xfId="0" applyNumberFormat="1" applyFont="1" applyFill="1" applyBorder="1" applyAlignment="1">
      <alignment vertical="center" wrapText="1"/>
    </xf>
    <xf numFmtId="14" fontId="28" fillId="2" borderId="14" xfId="0" applyNumberFormat="1" applyFont="1" applyFill="1" applyBorder="1" applyAlignment="1">
      <alignment vertical="center" wrapText="1"/>
    </xf>
    <xf numFmtId="168" fontId="28" fillId="2" borderId="14" xfId="0" applyNumberFormat="1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vertical="center"/>
    </xf>
    <xf numFmtId="3" fontId="28" fillId="2" borderId="14" xfId="0" applyNumberFormat="1" applyFont="1" applyFill="1" applyBorder="1" applyAlignment="1">
      <alignment vertical="center" wrapText="1"/>
    </xf>
    <xf numFmtId="2" fontId="28" fillId="2" borderId="14" xfId="0" applyNumberFormat="1" applyFont="1" applyFill="1" applyBorder="1" applyAlignment="1">
      <alignment vertical="center" wrapText="1"/>
    </xf>
    <xf numFmtId="164" fontId="28" fillId="2" borderId="14" xfId="0" applyNumberFormat="1" applyFont="1" applyFill="1" applyBorder="1" applyAlignment="1">
      <alignment vertical="center" wrapText="1"/>
    </xf>
    <xf numFmtId="166" fontId="28" fillId="2" borderId="14" xfId="0" applyNumberFormat="1" applyFont="1" applyFill="1" applyBorder="1" applyAlignment="1">
      <alignment vertical="center" wrapText="1"/>
    </xf>
    <xf numFmtId="0" fontId="28" fillId="2" borderId="14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horizontal="center"/>
    </xf>
    <xf numFmtId="0" fontId="5" fillId="5" borderId="19" xfId="0" applyFont="1" applyFill="1" applyBorder="1"/>
    <xf numFmtId="165" fontId="3" fillId="6" borderId="19" xfId="0" applyNumberFormat="1" applyFont="1" applyFill="1" applyBorder="1"/>
    <xf numFmtId="10" fontId="3" fillId="6" borderId="20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7" fontId="26" fillId="2" borderId="3" xfId="0" applyNumberFormat="1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vertical="center"/>
    </xf>
    <xf numFmtId="3" fontId="3" fillId="2" borderId="21" xfId="0" applyNumberFormat="1" applyFont="1" applyFill="1" applyBorder="1" applyAlignment="1">
      <alignment vertical="center" wrapText="1"/>
    </xf>
    <xf numFmtId="2" fontId="3" fillId="2" borderId="21" xfId="0" applyNumberFormat="1" applyFont="1" applyFill="1" applyBorder="1" applyAlignment="1">
      <alignment vertical="center" wrapText="1"/>
    </xf>
    <xf numFmtId="164" fontId="3" fillId="2" borderId="21" xfId="0" applyNumberFormat="1" applyFont="1" applyFill="1" applyBorder="1" applyAlignment="1">
      <alignment vertical="center" wrapText="1"/>
    </xf>
    <xf numFmtId="166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167" fontId="3" fillId="2" borderId="22" xfId="0" applyNumberFormat="1" applyFont="1" applyFill="1" applyBorder="1" applyAlignment="1">
      <alignment vertical="center" wrapText="1"/>
    </xf>
    <xf numFmtId="0" fontId="0" fillId="2" borderId="23" xfId="0" applyFill="1" applyBorder="1"/>
    <xf numFmtId="0" fontId="3" fillId="2" borderId="14" xfId="0" applyFont="1" applyFill="1" applyBorder="1" applyAlignment="1">
      <alignment horizontal="center" vertical="center" wrapText="1"/>
    </xf>
    <xf numFmtId="167" fontId="3" fillId="2" borderId="24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27" fillId="2" borderId="1" xfId="0" applyFont="1" applyFill="1" applyBorder="1" applyAlignment="1">
      <alignment horizontal="center" vertical="center" wrapText="1"/>
    </xf>
    <xf numFmtId="0" fontId="0" fillId="2" borderId="14" xfId="0" applyFill="1" applyBorder="1"/>
    <xf numFmtId="14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/>
    </xf>
    <xf numFmtId="3" fontId="29" fillId="2" borderId="1" xfId="0" applyNumberFormat="1" applyFont="1" applyFill="1" applyBorder="1" applyAlignment="1">
      <alignment vertical="center" wrapText="1"/>
    </xf>
    <xf numFmtId="2" fontId="29" fillId="2" borderId="1" xfId="0" applyNumberFormat="1" applyFont="1" applyFill="1" applyBorder="1" applyAlignment="1">
      <alignment vertical="center" wrapText="1"/>
    </xf>
    <xf numFmtId="164" fontId="29" fillId="2" borderId="1" xfId="0" applyNumberFormat="1" applyFont="1" applyFill="1" applyBorder="1" applyAlignment="1">
      <alignment vertical="center" wrapText="1"/>
    </xf>
    <xf numFmtId="166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167" fontId="29" fillId="2" borderId="3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70" fontId="0" fillId="2" borderId="1" xfId="0" applyNumberFormat="1" applyFill="1" applyBorder="1"/>
    <xf numFmtId="165" fontId="0" fillId="2" borderId="1" xfId="0" applyNumberFormat="1" applyFill="1" applyBorder="1"/>
    <xf numFmtId="0" fontId="31" fillId="0" borderId="0" xfId="0" applyFont="1" applyAlignment="1">
      <alignment horizontal="center"/>
    </xf>
    <xf numFmtId="0" fontId="32" fillId="9" borderId="25" xfId="0" applyFont="1" applyFill="1" applyBorder="1" applyAlignment="1">
      <alignment horizontal="left"/>
    </xf>
    <xf numFmtId="0" fontId="0" fillId="10" borderId="26" xfId="0" applyFill="1" applyBorder="1" applyAlignment="1">
      <alignment horizontal="right"/>
    </xf>
    <xf numFmtId="0" fontId="32" fillId="11" borderId="27" xfId="0" applyFont="1" applyFill="1" applyBorder="1" applyAlignment="1">
      <alignment horizontal="left"/>
    </xf>
    <xf numFmtId="0" fontId="0" fillId="11" borderId="28" xfId="0" applyFill="1" applyBorder="1"/>
    <xf numFmtId="169" fontId="33" fillId="10" borderId="28" xfId="0" applyNumberFormat="1" applyFont="1" applyFill="1" applyBorder="1" applyAlignment="1">
      <alignment horizontal="right"/>
    </xf>
    <xf numFmtId="0" fontId="32" fillId="9" borderId="27" xfId="0" applyFont="1" applyFill="1" applyBorder="1" applyAlignment="1">
      <alignment horizontal="left"/>
    </xf>
    <xf numFmtId="169" fontId="0" fillId="9" borderId="28" xfId="0" applyNumberFormat="1" applyFill="1" applyBorder="1"/>
    <xf numFmtId="169" fontId="0" fillId="11" borderId="28" xfId="0" applyNumberFormat="1" applyFill="1" applyBorder="1" applyAlignment="1">
      <alignment horizontal="right"/>
    </xf>
    <xf numFmtId="169" fontId="0" fillId="11" borderId="28" xfId="0" applyNumberFormat="1" applyFill="1" applyBorder="1"/>
    <xf numFmtId="169" fontId="0" fillId="9" borderId="28" xfId="0" applyNumberFormat="1" applyFill="1" applyBorder="1" applyAlignment="1">
      <alignment horizontal="right"/>
    </xf>
    <xf numFmtId="0" fontId="32" fillId="0" borderId="0" xfId="0" applyFont="1"/>
    <xf numFmtId="0" fontId="0" fillId="11" borderId="29" xfId="0" applyFill="1" applyBorder="1"/>
    <xf numFmtId="164" fontId="0" fillId="11" borderId="30" xfId="0" applyNumberFormat="1" applyFill="1" applyBorder="1"/>
    <xf numFmtId="0" fontId="32" fillId="11" borderId="29" xfId="0" applyFont="1" applyFill="1" applyBorder="1" applyAlignment="1">
      <alignment horizontal="left"/>
    </xf>
    <xf numFmtId="10" fontId="0" fillId="11" borderId="30" xfId="0" applyNumberFormat="1" applyFill="1" applyBorder="1"/>
    <xf numFmtId="171" fontId="13" fillId="0" borderId="0" xfId="0" applyNumberFormat="1" applyFont="1"/>
    <xf numFmtId="21" fontId="13" fillId="0" borderId="0" xfId="0" applyNumberFormat="1" applyFont="1"/>
    <xf numFmtId="0" fontId="34" fillId="0" borderId="0" xfId="0" applyFont="1" applyAlignment="1">
      <alignment horizontal="center"/>
    </xf>
    <xf numFmtId="0" fontId="35" fillId="9" borderId="0" xfId="0" applyFont="1" applyFill="1"/>
    <xf numFmtId="172" fontId="0" fillId="0" borderId="0" xfId="0" applyNumberFormat="1"/>
    <xf numFmtId="14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 wrapText="1"/>
    </xf>
    <xf numFmtId="3" fontId="36" fillId="2" borderId="1" xfId="0" applyNumberFormat="1" applyFont="1" applyFill="1" applyBorder="1" applyAlignment="1">
      <alignment vertical="center" wrapText="1"/>
    </xf>
    <xf numFmtId="2" fontId="36" fillId="2" borderId="1" xfId="0" applyNumberFormat="1" applyFont="1" applyFill="1" applyBorder="1" applyAlignment="1">
      <alignment vertical="center" wrapText="1"/>
    </xf>
    <xf numFmtId="2" fontId="36" fillId="2" borderId="5" xfId="0" applyNumberFormat="1" applyFont="1" applyFill="1" applyBorder="1" applyAlignment="1">
      <alignment vertical="center" wrapText="1"/>
    </xf>
    <xf numFmtId="164" fontId="36" fillId="2" borderId="5" xfId="0" applyNumberFormat="1" applyFont="1" applyFill="1" applyBorder="1" applyAlignment="1">
      <alignment vertical="center" wrapText="1"/>
    </xf>
    <xf numFmtId="166" fontId="36" fillId="2" borderId="5" xfId="0" applyNumberFormat="1" applyFont="1" applyFill="1" applyBorder="1" applyAlignment="1">
      <alignment vertical="center" wrapText="1"/>
    </xf>
    <xf numFmtId="0" fontId="36" fillId="2" borderId="5" xfId="0" applyFont="1" applyFill="1" applyBorder="1" applyAlignment="1">
      <alignment vertical="center" wrapText="1"/>
    </xf>
    <xf numFmtId="167" fontId="36" fillId="2" borderId="3" xfId="0" applyNumberFormat="1" applyFont="1" applyFill="1" applyBorder="1" applyAlignment="1">
      <alignment vertical="center" wrapText="1"/>
    </xf>
    <xf numFmtId="164" fontId="36" fillId="2" borderId="1" xfId="0" applyNumberFormat="1" applyFont="1" applyFill="1" applyBorder="1" applyAlignment="1">
      <alignment vertical="center" wrapText="1"/>
    </xf>
    <xf numFmtId="166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right" wrapText="1"/>
    </xf>
    <xf numFmtId="167" fontId="36" fillId="2" borderId="31" xfId="0" applyNumberFormat="1" applyFont="1" applyFill="1" applyBorder="1" applyAlignment="1">
      <alignment horizontal="right" wrapText="1"/>
    </xf>
    <xf numFmtId="14" fontId="36" fillId="2" borderId="14" xfId="0" applyNumberFormat="1" applyFont="1" applyFill="1" applyBorder="1" applyAlignment="1">
      <alignment horizontal="right" wrapText="1"/>
    </xf>
    <xf numFmtId="14" fontId="36" fillId="2" borderId="32" xfId="0" applyNumberFormat="1" applyFont="1" applyFill="1" applyBorder="1" applyAlignment="1">
      <alignment horizontal="center" wrapText="1"/>
    </xf>
    <xf numFmtId="0" fontId="36" fillId="2" borderId="32" xfId="0" applyFont="1" applyFill="1" applyBorder="1"/>
    <xf numFmtId="0" fontId="36" fillId="2" borderId="32" xfId="0" applyFont="1" applyFill="1" applyBorder="1" applyAlignment="1">
      <alignment wrapText="1"/>
    </xf>
    <xf numFmtId="3" fontId="36" fillId="2" borderId="32" xfId="0" applyNumberFormat="1" applyFont="1" applyFill="1" applyBorder="1" applyAlignment="1">
      <alignment horizontal="right" wrapText="1"/>
    </xf>
    <xf numFmtId="2" fontId="36" fillId="2" borderId="32" xfId="0" applyNumberFormat="1" applyFont="1" applyFill="1" applyBorder="1" applyAlignment="1">
      <alignment horizontal="right" wrapText="1"/>
    </xf>
    <xf numFmtId="164" fontId="36" fillId="2" borderId="32" xfId="0" applyNumberFormat="1" applyFont="1" applyFill="1" applyBorder="1" applyAlignment="1">
      <alignment horizontal="right" wrapText="1"/>
    </xf>
    <xf numFmtId="166" fontId="36" fillId="2" borderId="32" xfId="0" applyNumberFormat="1" applyFont="1" applyFill="1" applyBorder="1" applyAlignment="1">
      <alignment horizontal="right" wrapText="1"/>
    </xf>
    <xf numFmtId="164" fontId="13" fillId="0" borderId="0" xfId="0" applyNumberFormat="1" applyFont="1"/>
    <xf numFmtId="170" fontId="13" fillId="0" borderId="0" xfId="0" applyNumberFormat="1" applyFont="1"/>
    <xf numFmtId="14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vertical="center" wrapText="1"/>
    </xf>
    <xf numFmtId="2" fontId="14" fillId="2" borderId="21" xfId="0" applyNumberFormat="1" applyFont="1" applyFill="1" applyBorder="1" applyAlignment="1">
      <alignment vertical="center" wrapText="1"/>
    </xf>
    <xf numFmtId="164" fontId="14" fillId="2" borderId="21" xfId="0" applyNumberFormat="1" applyFont="1" applyFill="1" applyBorder="1" applyAlignment="1">
      <alignment vertical="center" wrapText="1"/>
    </xf>
    <xf numFmtId="166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167" fontId="14" fillId="2" borderId="22" xfId="0" applyNumberFormat="1" applyFont="1" applyFill="1" applyBorder="1" applyAlignment="1">
      <alignment vertical="center" wrapText="1"/>
    </xf>
    <xf numFmtId="168" fontId="12" fillId="2" borderId="14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173" fontId="1" fillId="2" borderId="3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5" fontId="11" fillId="2" borderId="38" xfId="0" applyNumberFormat="1" applyFont="1" applyFill="1" applyBorder="1"/>
    <xf numFmtId="0" fontId="12" fillId="14" borderId="27" xfId="0" applyFont="1" applyFill="1" applyBorder="1"/>
    <xf numFmtId="165" fontId="37" fillId="14" borderId="28" xfId="0" applyNumberFormat="1" applyFont="1" applyFill="1" applyBorder="1"/>
    <xf numFmtId="165" fontId="37" fillId="4" borderId="28" xfId="0" applyNumberFormat="1" applyFont="1" applyFill="1" applyBorder="1"/>
    <xf numFmtId="0" fontId="12" fillId="15" borderId="39" xfId="0" applyFont="1" applyFill="1" applyBorder="1"/>
    <xf numFmtId="10" fontId="37" fillId="15" borderId="30" xfId="0" applyNumberFormat="1" applyFont="1" applyFill="1" applyBorder="1"/>
    <xf numFmtId="168" fontId="19" fillId="2" borderId="40" xfId="0" applyNumberFormat="1" applyFont="1" applyFill="1" applyBorder="1" applyAlignment="1">
      <alignment vertical="center" wrapText="1"/>
    </xf>
    <xf numFmtId="168" fontId="19" fillId="2" borderId="40" xfId="0" applyNumberFormat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vertical="center" wrapText="1"/>
    </xf>
    <xf numFmtId="3" fontId="19" fillId="2" borderId="40" xfId="0" applyNumberFormat="1" applyFont="1" applyFill="1" applyBorder="1" applyAlignment="1">
      <alignment vertical="center" wrapText="1"/>
    </xf>
    <xf numFmtId="2" fontId="19" fillId="2" borderId="40" xfId="0" applyNumberFormat="1" applyFont="1" applyFill="1" applyBorder="1" applyAlignment="1">
      <alignment vertical="center" wrapText="1"/>
    </xf>
    <xf numFmtId="170" fontId="19" fillId="2" borderId="40" xfId="0" applyNumberFormat="1" applyFont="1" applyFill="1" applyBorder="1" applyAlignment="1">
      <alignment vertical="center" wrapText="1"/>
    </xf>
    <xf numFmtId="166" fontId="19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vertical="center" wrapText="1"/>
    </xf>
    <xf numFmtId="3" fontId="23" fillId="2" borderId="40" xfId="0" applyNumberFormat="1" applyFont="1" applyFill="1" applyBorder="1" applyAlignment="1">
      <alignment vertical="center" wrapText="1"/>
    </xf>
    <xf numFmtId="2" fontId="23" fillId="2" borderId="40" xfId="0" applyNumberFormat="1" applyFont="1" applyFill="1" applyBorder="1" applyAlignment="1">
      <alignment vertical="center" wrapText="1"/>
    </xf>
    <xf numFmtId="170" fontId="23" fillId="2" borderId="40" xfId="0" applyNumberFormat="1" applyFont="1" applyFill="1" applyBorder="1" applyAlignment="1">
      <alignment vertical="center" wrapText="1"/>
    </xf>
    <xf numFmtId="166" fontId="23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vertical="center" wrapText="1"/>
    </xf>
    <xf numFmtId="3" fontId="12" fillId="2" borderId="40" xfId="0" applyNumberFormat="1" applyFont="1" applyFill="1" applyBorder="1" applyAlignment="1">
      <alignment vertical="center" wrapText="1"/>
    </xf>
    <xf numFmtId="2" fontId="12" fillId="2" borderId="40" xfId="0" applyNumberFormat="1" applyFont="1" applyFill="1" applyBorder="1" applyAlignment="1">
      <alignment vertical="center" wrapText="1"/>
    </xf>
    <xf numFmtId="170" fontId="12" fillId="2" borderId="40" xfId="0" applyNumberFormat="1" applyFont="1" applyFill="1" applyBorder="1" applyAlignment="1">
      <alignment vertical="center" wrapText="1"/>
    </xf>
    <xf numFmtId="166" fontId="12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horizontal="center" vertical="center" wrapText="1"/>
    </xf>
    <xf numFmtId="0" fontId="40" fillId="2" borderId="40" xfId="0" applyFont="1" applyFill="1" applyBorder="1" applyAlignment="1">
      <alignment vertical="center" wrapText="1"/>
    </xf>
    <xf numFmtId="3" fontId="40" fillId="2" borderId="40" xfId="0" applyNumberFormat="1" applyFont="1" applyFill="1" applyBorder="1" applyAlignment="1">
      <alignment vertical="center" wrapText="1"/>
    </xf>
    <xf numFmtId="2" fontId="40" fillId="2" borderId="40" xfId="0" applyNumberFormat="1" applyFont="1" applyFill="1" applyBorder="1" applyAlignment="1">
      <alignment vertical="center" wrapText="1"/>
    </xf>
    <xf numFmtId="170" fontId="40" fillId="2" borderId="40" xfId="0" applyNumberFormat="1" applyFont="1" applyFill="1" applyBorder="1" applyAlignment="1">
      <alignment vertical="center" wrapText="1"/>
    </xf>
    <xf numFmtId="166" fontId="40" fillId="2" borderId="40" xfId="0" applyNumberFormat="1" applyFont="1" applyFill="1" applyBorder="1" applyAlignment="1">
      <alignment vertical="center" wrapText="1"/>
    </xf>
    <xf numFmtId="165" fontId="41" fillId="4" borderId="28" xfId="0" applyNumberFormat="1" applyFont="1" applyFill="1" applyBorder="1"/>
    <xf numFmtId="168" fontId="26" fillId="2" borderId="40" xfId="0" applyNumberFormat="1" applyFont="1" applyFill="1" applyBorder="1" applyAlignment="1">
      <alignment vertical="center" wrapText="1"/>
    </xf>
    <xf numFmtId="168" fontId="26" fillId="2" borderId="40" xfId="0" applyNumberFormat="1" applyFont="1" applyFill="1" applyBorder="1" applyAlignment="1">
      <alignment horizontal="center" vertical="center" wrapText="1"/>
    </xf>
    <xf numFmtId="0" fontId="26" fillId="2" borderId="40" xfId="0" applyFont="1" applyFill="1" applyBorder="1" applyAlignment="1">
      <alignment vertical="center" wrapText="1"/>
    </xf>
    <xf numFmtId="3" fontId="26" fillId="2" borderId="40" xfId="0" applyNumberFormat="1" applyFont="1" applyFill="1" applyBorder="1" applyAlignment="1">
      <alignment vertical="center" wrapText="1"/>
    </xf>
    <xf numFmtId="2" fontId="26" fillId="2" borderId="40" xfId="0" applyNumberFormat="1" applyFont="1" applyFill="1" applyBorder="1" applyAlignment="1">
      <alignment vertical="center" wrapText="1"/>
    </xf>
    <xf numFmtId="170" fontId="26" fillId="2" borderId="40" xfId="0" applyNumberFormat="1" applyFont="1" applyFill="1" applyBorder="1" applyAlignment="1">
      <alignment vertical="center" wrapText="1"/>
    </xf>
    <xf numFmtId="166" fontId="26" fillId="2" borderId="40" xfId="0" applyNumberFormat="1" applyFont="1" applyFill="1" applyBorder="1" applyAlignment="1">
      <alignment vertical="center" wrapText="1"/>
    </xf>
    <xf numFmtId="0" fontId="0" fillId="2" borderId="38" xfId="0" applyFill="1" applyBorder="1"/>
    <xf numFmtId="0" fontId="9" fillId="2" borderId="38" xfId="0" applyFont="1" applyFill="1" applyBorder="1"/>
    <xf numFmtId="168" fontId="39" fillId="2" borderId="40" xfId="0" applyNumberFormat="1" applyFont="1" applyFill="1" applyBorder="1" applyAlignment="1">
      <alignment vertical="center" wrapText="1"/>
    </xf>
    <xf numFmtId="168" fontId="39" fillId="2" borderId="40" xfId="0" applyNumberFormat="1" applyFont="1" applyFill="1" applyBorder="1" applyAlignment="1">
      <alignment horizontal="center" vertical="center" wrapText="1"/>
    </xf>
    <xf numFmtId="0" fontId="39" fillId="2" borderId="40" xfId="0" applyFont="1" applyFill="1" applyBorder="1" applyAlignment="1">
      <alignment vertical="center" wrapText="1"/>
    </xf>
    <xf numFmtId="3" fontId="39" fillId="2" borderId="40" xfId="0" applyNumberFormat="1" applyFont="1" applyFill="1" applyBorder="1" applyAlignment="1">
      <alignment vertical="center" wrapText="1"/>
    </xf>
    <xf numFmtId="2" fontId="39" fillId="2" borderId="40" xfId="0" applyNumberFormat="1" applyFont="1" applyFill="1" applyBorder="1" applyAlignment="1">
      <alignment vertical="center" wrapText="1"/>
    </xf>
    <xf numFmtId="170" fontId="39" fillId="2" borderId="40" xfId="0" applyNumberFormat="1" applyFont="1" applyFill="1" applyBorder="1" applyAlignment="1">
      <alignment vertical="center" wrapText="1"/>
    </xf>
    <xf numFmtId="166" fontId="3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vertical="center" wrapText="1"/>
    </xf>
    <xf numFmtId="3" fontId="9" fillId="2" borderId="40" xfId="0" applyNumberFormat="1" applyFont="1" applyFill="1" applyBorder="1" applyAlignment="1">
      <alignment vertical="center" wrapText="1"/>
    </xf>
    <xf numFmtId="2" fontId="9" fillId="2" borderId="40" xfId="0" applyNumberFormat="1" applyFont="1" applyFill="1" applyBorder="1" applyAlignment="1">
      <alignment vertical="center" wrapText="1"/>
    </xf>
    <xf numFmtId="170" fontId="9" fillId="2" borderId="40" xfId="0" applyNumberFormat="1" applyFont="1" applyFill="1" applyBorder="1" applyAlignment="1">
      <alignment vertical="center" wrapText="1"/>
    </xf>
    <xf numFmtId="166" fontId="9" fillId="2" borderId="40" xfId="0" applyNumberFormat="1" applyFont="1" applyFill="1" applyBorder="1" applyAlignment="1">
      <alignment vertical="center" wrapText="1"/>
    </xf>
    <xf numFmtId="165" fontId="37" fillId="15" borderId="28" xfId="0" applyNumberFormat="1" applyFont="1" applyFill="1" applyBorder="1"/>
    <xf numFmtId="0" fontId="12" fillId="2" borderId="39" xfId="0" applyFont="1" applyFill="1" applyBorder="1"/>
    <xf numFmtId="10" fontId="37" fillId="2" borderId="30" xfId="0" applyNumberFormat="1" applyFont="1" applyFill="1" applyBorder="1"/>
    <xf numFmtId="168" fontId="36" fillId="2" borderId="41" xfId="0" applyNumberFormat="1" applyFont="1" applyFill="1" applyBorder="1" applyAlignment="1">
      <alignment vertical="center" wrapText="1"/>
    </xf>
    <xf numFmtId="168" fontId="36" fillId="2" borderId="41" xfId="0" applyNumberFormat="1" applyFont="1" applyFill="1" applyBorder="1" applyAlignment="1">
      <alignment horizontal="center" vertical="center" wrapText="1"/>
    </xf>
    <xf numFmtId="0" fontId="36" fillId="2" borderId="41" xfId="0" applyFont="1" applyFill="1" applyBorder="1" applyAlignment="1">
      <alignment vertical="center" wrapText="1"/>
    </xf>
    <xf numFmtId="3" fontId="36" fillId="2" borderId="41" xfId="0" applyNumberFormat="1" applyFont="1" applyFill="1" applyBorder="1" applyAlignment="1">
      <alignment vertical="center" wrapText="1"/>
    </xf>
    <xf numFmtId="2" fontId="36" fillId="2" borderId="41" xfId="0" applyNumberFormat="1" applyFont="1" applyFill="1" applyBorder="1" applyAlignment="1">
      <alignment vertical="center" wrapText="1"/>
    </xf>
    <xf numFmtId="170" fontId="36" fillId="2" borderId="41" xfId="0" applyNumberFormat="1" applyFont="1" applyFill="1" applyBorder="1" applyAlignment="1">
      <alignment vertical="center" wrapText="1"/>
    </xf>
    <xf numFmtId="166" fontId="36" fillId="2" borderId="41" xfId="0" applyNumberFormat="1" applyFont="1" applyFill="1" applyBorder="1" applyAlignment="1">
      <alignment vertical="center" wrapText="1"/>
    </xf>
    <xf numFmtId="170" fontId="36" fillId="2" borderId="42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vertical="center" wrapText="1"/>
    </xf>
    <xf numFmtId="3" fontId="9" fillId="2" borderId="41" xfId="0" applyNumberFormat="1" applyFont="1" applyFill="1" applyBorder="1" applyAlignment="1">
      <alignment vertical="center" wrapText="1"/>
    </xf>
    <xf numFmtId="2" fontId="9" fillId="2" borderId="41" xfId="0" applyNumberFormat="1" applyFont="1" applyFill="1" applyBorder="1" applyAlignment="1">
      <alignment vertical="center" wrapText="1"/>
    </xf>
    <xf numFmtId="170" fontId="9" fillId="2" borderId="41" xfId="0" applyNumberFormat="1" applyFont="1" applyFill="1" applyBorder="1" applyAlignment="1">
      <alignment vertical="center" wrapText="1"/>
    </xf>
    <xf numFmtId="166" fontId="9" fillId="2" borderId="41" xfId="0" applyNumberFormat="1" applyFont="1" applyFill="1" applyBorder="1" applyAlignment="1">
      <alignment vertical="center" wrapText="1"/>
    </xf>
    <xf numFmtId="170" fontId="9" fillId="2" borderId="42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horizontal="center" vertical="center" wrapText="1"/>
    </xf>
    <xf numFmtId="0" fontId="43" fillId="2" borderId="41" xfId="0" applyFont="1" applyFill="1" applyBorder="1" applyAlignment="1">
      <alignment vertical="center" wrapText="1"/>
    </xf>
    <xf numFmtId="3" fontId="43" fillId="2" borderId="41" xfId="0" applyNumberFormat="1" applyFont="1" applyFill="1" applyBorder="1" applyAlignment="1">
      <alignment vertical="center" wrapText="1"/>
    </xf>
    <xf numFmtId="2" fontId="43" fillId="2" borderId="41" xfId="0" applyNumberFormat="1" applyFont="1" applyFill="1" applyBorder="1" applyAlignment="1">
      <alignment vertical="center" wrapText="1"/>
    </xf>
    <xf numFmtId="170" fontId="43" fillId="2" borderId="41" xfId="0" applyNumberFormat="1" applyFont="1" applyFill="1" applyBorder="1" applyAlignment="1">
      <alignment vertical="center" wrapText="1"/>
    </xf>
    <xf numFmtId="166" fontId="43" fillId="2" borderId="41" xfId="0" applyNumberFormat="1" applyFont="1" applyFill="1" applyBorder="1" applyAlignment="1">
      <alignment vertical="center" wrapText="1"/>
    </xf>
    <xf numFmtId="170" fontId="43" fillId="2" borderId="42" xfId="0" applyNumberFormat="1" applyFont="1" applyFill="1" applyBorder="1" applyAlignment="1">
      <alignment vertical="center" wrapText="1"/>
    </xf>
    <xf numFmtId="0" fontId="32" fillId="9" borderId="25" xfId="0" applyFont="1" applyFill="1" applyBorder="1"/>
    <xf numFmtId="165" fontId="10" fillId="9" borderId="26" xfId="0" applyNumberFormat="1" applyFont="1" applyFill="1" applyBorder="1"/>
    <xf numFmtId="0" fontId="32" fillId="9" borderId="27" xfId="0" applyFont="1" applyFill="1" applyBorder="1"/>
    <xf numFmtId="165" fontId="10" fillId="9" borderId="28" xfId="0" applyNumberFormat="1" applyFont="1" applyFill="1" applyBorder="1"/>
    <xf numFmtId="0" fontId="32" fillId="9" borderId="29" xfId="0" applyFont="1" applyFill="1" applyBorder="1"/>
    <xf numFmtId="10" fontId="10" fillId="9" borderId="30" xfId="0" applyNumberFormat="1" applyFont="1" applyFill="1" applyBorder="1"/>
    <xf numFmtId="10" fontId="10" fillId="9" borderId="30" xfId="0" applyNumberFormat="1" applyFont="1" applyFill="1" applyBorder="1" applyAlignment="1">
      <alignment wrapText="1"/>
    </xf>
    <xf numFmtId="2" fontId="0" fillId="0" borderId="0" xfId="0" applyNumberFormat="1"/>
    <xf numFmtId="170" fontId="0" fillId="0" borderId="0" xfId="0" applyNumberFormat="1"/>
    <xf numFmtId="0" fontId="47" fillId="11" borderId="29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/>
    </xf>
    <xf numFmtId="165" fontId="12" fillId="2" borderId="14" xfId="0" applyNumberFormat="1" applyFont="1" applyFill="1" applyBorder="1"/>
    <xf numFmtId="167" fontId="18" fillId="2" borderId="24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vertical="center"/>
    </xf>
    <xf numFmtId="0" fontId="18" fillId="2" borderId="23" xfId="0" applyFont="1" applyFill="1" applyBorder="1" applyAlignment="1">
      <alignment vertical="center" wrapText="1"/>
    </xf>
    <xf numFmtId="3" fontId="18" fillId="2" borderId="23" xfId="0" applyNumberFormat="1" applyFont="1" applyFill="1" applyBorder="1" applyAlignment="1">
      <alignment vertical="center" wrapText="1"/>
    </xf>
    <xf numFmtId="2" fontId="18" fillId="2" borderId="23" xfId="0" applyNumberFormat="1" applyFont="1" applyFill="1" applyBorder="1" applyAlignment="1">
      <alignment vertical="center" wrapText="1"/>
    </xf>
    <xf numFmtId="166" fontId="18" fillId="2" borderId="23" xfId="0" applyNumberFormat="1" applyFont="1" applyFill="1" applyBorder="1" applyAlignment="1">
      <alignment vertical="center" wrapText="1"/>
    </xf>
    <xf numFmtId="167" fontId="18" fillId="2" borderId="23" xfId="0" applyNumberFormat="1" applyFont="1" applyFill="1" applyBorder="1" applyAlignment="1">
      <alignment vertical="center" wrapText="1"/>
    </xf>
    <xf numFmtId="167" fontId="15" fillId="2" borderId="24" xfId="0" applyNumberFormat="1" applyFont="1" applyFill="1" applyBorder="1" applyAlignment="1">
      <alignment vertical="center" wrapText="1"/>
    </xf>
    <xf numFmtId="167" fontId="22" fillId="2" borderId="24" xfId="0" applyNumberFormat="1" applyFont="1" applyFill="1" applyBorder="1" applyAlignment="1">
      <alignment vertical="center" wrapText="1"/>
    </xf>
    <xf numFmtId="167" fontId="18" fillId="2" borderId="14" xfId="0" applyNumberFormat="1" applyFont="1" applyFill="1" applyBorder="1" applyAlignment="1">
      <alignment vertical="center" wrapText="1"/>
    </xf>
    <xf numFmtId="167" fontId="22" fillId="2" borderId="14" xfId="0" applyNumberFormat="1" applyFont="1" applyFill="1" applyBorder="1" applyAlignment="1">
      <alignment vertical="center" wrapText="1"/>
    </xf>
    <xf numFmtId="167" fontId="14" fillId="2" borderId="24" xfId="0" applyNumberFormat="1" applyFont="1" applyFill="1" applyBorder="1" applyAlignment="1">
      <alignment vertical="center" wrapText="1"/>
    </xf>
    <xf numFmtId="167" fontId="12" fillId="2" borderId="24" xfId="0" applyNumberFormat="1" applyFont="1" applyFill="1" applyBorder="1" applyAlignment="1">
      <alignment vertical="center" wrapText="1"/>
    </xf>
    <xf numFmtId="167" fontId="28" fillId="2" borderId="24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/>
    </xf>
    <xf numFmtId="2" fontId="26" fillId="2" borderId="37" xfId="0" applyNumberFormat="1" applyFont="1" applyFill="1" applyBorder="1" applyAlignment="1">
      <alignment vertical="center" wrapText="1"/>
    </xf>
    <xf numFmtId="170" fontId="26" fillId="2" borderId="37" xfId="0" applyNumberFormat="1" applyFont="1" applyFill="1" applyBorder="1" applyAlignment="1">
      <alignment vertical="center" wrapText="1"/>
    </xf>
    <xf numFmtId="166" fontId="26" fillId="2" borderId="37" xfId="0" applyNumberFormat="1" applyFont="1" applyFill="1" applyBorder="1" applyAlignment="1">
      <alignment vertical="center" wrapText="1"/>
    </xf>
    <xf numFmtId="0" fontId="26" fillId="2" borderId="37" xfId="0" applyFont="1" applyFill="1" applyBorder="1" applyAlignment="1">
      <alignment vertical="center"/>
    </xf>
    <xf numFmtId="0" fontId="31" fillId="12" borderId="37" xfId="0" applyFont="1" applyFill="1" applyBorder="1" applyAlignment="1">
      <alignment horizontal="center"/>
    </xf>
    <xf numFmtId="14" fontId="36" fillId="2" borderId="8" xfId="0" applyNumberFormat="1" applyFont="1" applyFill="1" applyBorder="1" applyAlignment="1">
      <alignment horizontal="center" wrapText="1"/>
    </xf>
    <xf numFmtId="0" fontId="36" fillId="2" borderId="8" xfId="0" applyFont="1" applyFill="1" applyBorder="1"/>
    <xf numFmtId="0" fontId="36" fillId="2" borderId="8" xfId="0" applyFont="1" applyFill="1" applyBorder="1" applyAlignment="1">
      <alignment wrapText="1"/>
    </xf>
    <xf numFmtId="3" fontId="36" fillId="2" borderId="8" xfId="0" applyNumberFormat="1" applyFont="1" applyFill="1" applyBorder="1" applyAlignment="1">
      <alignment horizontal="right" wrapText="1"/>
    </xf>
    <xf numFmtId="2" fontId="36" fillId="2" borderId="8" xfId="0" applyNumberFormat="1" applyFont="1" applyFill="1" applyBorder="1" applyAlignment="1">
      <alignment horizontal="right" wrapText="1"/>
    </xf>
    <xf numFmtId="164" fontId="36" fillId="2" borderId="8" xfId="0" applyNumberFormat="1" applyFont="1" applyFill="1" applyBorder="1" applyAlignment="1">
      <alignment horizontal="right" wrapText="1"/>
    </xf>
    <xf numFmtId="166" fontId="36" fillId="2" borderId="8" xfId="0" applyNumberFormat="1" applyFont="1" applyFill="1" applyBorder="1" applyAlignment="1">
      <alignment horizontal="right" wrapText="1"/>
    </xf>
    <xf numFmtId="167" fontId="13" fillId="2" borderId="33" xfId="0" applyNumberFormat="1" applyFont="1" applyFill="1" applyBorder="1"/>
    <xf numFmtId="167" fontId="21" fillId="2" borderId="24" xfId="0" applyNumberFormat="1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73" fontId="1" fillId="2" borderId="37" xfId="0" applyNumberFormat="1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/>
    </xf>
    <xf numFmtId="0" fontId="1" fillId="2" borderId="37" xfId="0" applyFont="1" applyFill="1" applyBorder="1"/>
    <xf numFmtId="0" fontId="7" fillId="2" borderId="37" xfId="0" applyFont="1" applyFill="1" applyBorder="1" applyAlignment="1">
      <alignment horizontal="left"/>
    </xf>
    <xf numFmtId="0" fontId="7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0" fillId="2" borderId="37" xfId="0" applyFont="1" applyFill="1" applyBorder="1"/>
    <xf numFmtId="165" fontId="12" fillId="2" borderId="37" xfId="0" applyNumberFormat="1" applyFont="1" applyFill="1" applyBorder="1"/>
    <xf numFmtId="168" fontId="38" fillId="2" borderId="37" xfId="0" applyNumberFormat="1" applyFont="1" applyFill="1" applyBorder="1" applyAlignment="1">
      <alignment vertical="center" wrapText="1"/>
    </xf>
    <xf numFmtId="168" fontId="38" fillId="2" borderId="37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vertical="center" wrapText="1"/>
    </xf>
    <xf numFmtId="3" fontId="38" fillId="2" borderId="37" xfId="0" applyNumberFormat="1" applyFont="1" applyFill="1" applyBorder="1" applyAlignment="1">
      <alignment vertical="center" wrapText="1"/>
    </xf>
    <xf numFmtId="2" fontId="38" fillId="2" borderId="37" xfId="0" applyNumberFormat="1" applyFont="1" applyFill="1" applyBorder="1" applyAlignment="1">
      <alignment vertical="center" wrapText="1"/>
    </xf>
    <xf numFmtId="170" fontId="38" fillId="2" borderId="37" xfId="0" applyNumberFormat="1" applyFont="1" applyFill="1" applyBorder="1" applyAlignment="1">
      <alignment vertical="center" wrapText="1"/>
    </xf>
    <xf numFmtId="166" fontId="38" fillId="2" borderId="37" xfId="0" applyNumberFormat="1" applyFont="1" applyFill="1" applyBorder="1" applyAlignment="1">
      <alignment vertical="center" wrapText="1"/>
    </xf>
    <xf numFmtId="0" fontId="12" fillId="4" borderId="37" xfId="0" applyFont="1" applyFill="1" applyBorder="1"/>
    <xf numFmtId="168" fontId="19" fillId="2" borderId="37" xfId="0" applyNumberFormat="1" applyFont="1" applyFill="1" applyBorder="1" applyAlignment="1">
      <alignment vertical="center" wrapText="1"/>
    </xf>
    <xf numFmtId="168" fontId="19" fillId="2" borderId="37" xfId="0" applyNumberFormat="1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vertical="center" wrapText="1"/>
    </xf>
    <xf numFmtId="3" fontId="19" fillId="2" borderId="37" xfId="0" applyNumberFormat="1" applyFont="1" applyFill="1" applyBorder="1" applyAlignment="1">
      <alignment vertical="center" wrapText="1"/>
    </xf>
    <xf numFmtId="2" fontId="19" fillId="2" borderId="37" xfId="0" applyNumberFormat="1" applyFont="1" applyFill="1" applyBorder="1" applyAlignment="1">
      <alignment vertical="center" wrapText="1"/>
    </xf>
    <xf numFmtId="170" fontId="19" fillId="2" borderId="37" xfId="0" applyNumberFormat="1" applyFont="1" applyFill="1" applyBorder="1" applyAlignment="1">
      <alignment vertical="center" wrapText="1"/>
    </xf>
    <xf numFmtId="166" fontId="1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vertical="center" wrapText="1"/>
    </xf>
    <xf numFmtId="3" fontId="39" fillId="2" borderId="37" xfId="0" applyNumberFormat="1" applyFont="1" applyFill="1" applyBorder="1" applyAlignment="1">
      <alignment vertical="center" wrapText="1"/>
    </xf>
    <xf numFmtId="2" fontId="39" fillId="2" borderId="37" xfId="0" applyNumberFormat="1" applyFont="1" applyFill="1" applyBorder="1" applyAlignment="1">
      <alignment vertical="center" wrapText="1"/>
    </xf>
    <xf numFmtId="170" fontId="39" fillId="2" borderId="37" xfId="0" applyNumberFormat="1" applyFont="1" applyFill="1" applyBorder="1" applyAlignment="1">
      <alignment vertical="center" wrapText="1"/>
    </xf>
    <xf numFmtId="166" fontId="39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vertical="center" wrapText="1"/>
    </xf>
    <xf numFmtId="3" fontId="23" fillId="2" borderId="37" xfId="0" applyNumberFormat="1" applyFont="1" applyFill="1" applyBorder="1" applyAlignment="1">
      <alignment vertical="center" wrapText="1"/>
    </xf>
    <xf numFmtId="2" fontId="23" fillId="2" borderId="37" xfId="0" applyNumberFormat="1" applyFont="1" applyFill="1" applyBorder="1" applyAlignment="1">
      <alignment vertical="center" wrapText="1"/>
    </xf>
    <xf numFmtId="170" fontId="23" fillId="2" borderId="37" xfId="0" applyNumberFormat="1" applyFont="1" applyFill="1" applyBorder="1" applyAlignment="1">
      <alignment vertical="center" wrapText="1"/>
    </xf>
    <xf numFmtId="166" fontId="23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vertical="center" wrapText="1"/>
    </xf>
    <xf numFmtId="3" fontId="12" fillId="2" borderId="37" xfId="0" applyNumberFormat="1" applyFont="1" applyFill="1" applyBorder="1" applyAlignment="1">
      <alignment vertical="center" wrapText="1"/>
    </xf>
    <xf numFmtId="2" fontId="12" fillId="2" borderId="37" xfId="0" applyNumberFormat="1" applyFont="1" applyFill="1" applyBorder="1" applyAlignment="1">
      <alignment vertical="center" wrapText="1"/>
    </xf>
    <xf numFmtId="170" fontId="12" fillId="2" borderId="37" xfId="0" applyNumberFormat="1" applyFont="1" applyFill="1" applyBorder="1" applyAlignment="1">
      <alignment vertical="center" wrapText="1"/>
    </xf>
    <xf numFmtId="166" fontId="12" fillId="2" borderId="37" xfId="0" applyNumberFormat="1" applyFont="1" applyFill="1" applyBorder="1" applyAlignment="1">
      <alignment vertical="center" wrapText="1"/>
    </xf>
    <xf numFmtId="0" fontId="0" fillId="2" borderId="37" xfId="0" applyFill="1" applyBorder="1"/>
    <xf numFmtId="0" fontId="9" fillId="2" borderId="37" xfId="0" applyFont="1" applyFill="1" applyBorder="1"/>
    <xf numFmtId="168" fontId="40" fillId="2" borderId="37" xfId="0" applyNumberFormat="1" applyFont="1" applyFill="1" applyBorder="1" applyAlignment="1">
      <alignment vertical="center" wrapText="1"/>
    </xf>
    <xf numFmtId="168" fontId="40" fillId="2" borderId="37" xfId="0" applyNumberFormat="1" applyFont="1" applyFill="1" applyBorder="1" applyAlignment="1">
      <alignment horizontal="center" vertical="center" wrapText="1"/>
    </xf>
    <xf numFmtId="0" fontId="40" fillId="2" borderId="37" xfId="0" applyFont="1" applyFill="1" applyBorder="1" applyAlignment="1">
      <alignment vertical="center" wrapText="1"/>
    </xf>
    <xf numFmtId="3" fontId="40" fillId="2" borderId="37" xfId="0" applyNumberFormat="1" applyFont="1" applyFill="1" applyBorder="1" applyAlignment="1">
      <alignment vertical="center" wrapText="1"/>
    </xf>
    <xf numFmtId="2" fontId="40" fillId="2" borderId="37" xfId="0" applyNumberFormat="1" applyFont="1" applyFill="1" applyBorder="1" applyAlignment="1">
      <alignment vertical="center" wrapText="1"/>
    </xf>
    <xf numFmtId="170" fontId="40" fillId="2" borderId="37" xfId="0" applyNumberFormat="1" applyFont="1" applyFill="1" applyBorder="1" applyAlignment="1">
      <alignment vertical="center" wrapText="1"/>
    </xf>
    <xf numFmtId="166" fontId="40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horizontal="center" vertical="center" wrapText="1"/>
    </xf>
    <xf numFmtId="0" fontId="42" fillId="2" borderId="37" xfId="0" applyFont="1" applyFill="1" applyBorder="1" applyAlignment="1">
      <alignment vertical="center" wrapText="1"/>
    </xf>
    <xf numFmtId="3" fontId="42" fillId="2" borderId="37" xfId="0" applyNumberFormat="1" applyFont="1" applyFill="1" applyBorder="1" applyAlignment="1">
      <alignment vertical="center" wrapText="1"/>
    </xf>
    <xf numFmtId="2" fontId="42" fillId="2" borderId="37" xfId="0" applyNumberFormat="1" applyFont="1" applyFill="1" applyBorder="1" applyAlignment="1">
      <alignment vertical="center" wrapText="1"/>
    </xf>
    <xf numFmtId="170" fontId="42" fillId="2" borderId="37" xfId="0" applyNumberFormat="1" applyFont="1" applyFill="1" applyBorder="1" applyAlignment="1">
      <alignment vertical="center" wrapText="1"/>
    </xf>
    <xf numFmtId="166" fontId="42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vertical="center" wrapText="1"/>
    </xf>
    <xf numFmtId="3" fontId="9" fillId="2" borderId="37" xfId="0" applyNumberFormat="1" applyFont="1" applyFill="1" applyBorder="1" applyAlignment="1">
      <alignment vertical="center" wrapText="1"/>
    </xf>
    <xf numFmtId="2" fontId="9" fillId="2" borderId="37" xfId="0" applyNumberFormat="1" applyFont="1" applyFill="1" applyBorder="1" applyAlignment="1">
      <alignment vertical="center" wrapText="1"/>
    </xf>
    <xf numFmtId="170" fontId="9" fillId="2" borderId="37" xfId="0" applyNumberFormat="1" applyFont="1" applyFill="1" applyBorder="1" applyAlignment="1">
      <alignment vertical="center" wrapText="1"/>
    </xf>
    <xf numFmtId="166" fontId="9" fillId="2" borderId="37" xfId="0" applyNumberFormat="1" applyFont="1" applyFill="1" applyBorder="1" applyAlignment="1">
      <alignment vertical="center" wrapText="1"/>
    </xf>
    <xf numFmtId="0" fontId="23" fillId="2" borderId="37" xfId="0" applyFont="1" applyFill="1" applyBorder="1"/>
    <xf numFmtId="165" fontId="0" fillId="2" borderId="37" xfId="0" applyNumberFormat="1" applyFill="1" applyBorder="1"/>
    <xf numFmtId="0" fontId="12" fillId="2" borderId="37" xfId="0" applyFont="1" applyFill="1" applyBorder="1"/>
    <xf numFmtId="168" fontId="0" fillId="2" borderId="37" xfId="0" applyNumberFormat="1" applyFill="1" applyBorder="1" applyAlignment="1">
      <alignment vertical="center" wrapText="1"/>
    </xf>
    <xf numFmtId="168" fontId="0" fillId="2" borderId="37" xfId="0" applyNumberFormat="1" applyFill="1" applyBorder="1" applyAlignment="1">
      <alignment horizontal="center" vertical="center" wrapText="1"/>
    </xf>
    <xf numFmtId="0" fontId="0" fillId="2" borderId="37" xfId="0" applyFill="1" applyBorder="1" applyAlignment="1">
      <alignment vertical="center" wrapText="1"/>
    </xf>
    <xf numFmtId="3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 applyAlignment="1">
      <alignment vertical="center" wrapText="1"/>
    </xf>
    <xf numFmtId="170" fontId="0" fillId="2" borderId="37" xfId="0" applyNumberFormat="1" applyFill="1" applyBorder="1" applyAlignment="1">
      <alignment vertical="center" wrapText="1"/>
    </xf>
    <xf numFmtId="166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/>
    <xf numFmtId="170" fontId="0" fillId="2" borderId="37" xfId="0" applyNumberFormat="1" applyFill="1" applyBorder="1"/>
    <xf numFmtId="168" fontId="36" fillId="2" borderId="37" xfId="0" applyNumberFormat="1" applyFont="1" applyFill="1" applyBorder="1" applyAlignment="1">
      <alignment vertical="center" wrapText="1"/>
    </xf>
    <xf numFmtId="168" fontId="36" fillId="2" borderId="37" xfId="0" applyNumberFormat="1" applyFont="1" applyFill="1" applyBorder="1" applyAlignment="1">
      <alignment horizontal="center" vertical="center" wrapText="1"/>
    </xf>
    <xf numFmtId="0" fontId="36" fillId="2" borderId="37" xfId="0" applyFont="1" applyFill="1" applyBorder="1" applyAlignment="1">
      <alignment vertical="center" wrapText="1"/>
    </xf>
    <xf numFmtId="3" fontId="36" fillId="2" borderId="37" xfId="0" applyNumberFormat="1" applyFont="1" applyFill="1" applyBorder="1" applyAlignment="1">
      <alignment vertical="center" wrapText="1"/>
    </xf>
    <xf numFmtId="2" fontId="36" fillId="2" borderId="37" xfId="0" applyNumberFormat="1" applyFont="1" applyFill="1" applyBorder="1" applyAlignment="1">
      <alignment vertical="center" wrapText="1"/>
    </xf>
    <xf numFmtId="170" fontId="36" fillId="2" borderId="37" xfId="0" applyNumberFormat="1" applyFont="1" applyFill="1" applyBorder="1" applyAlignment="1">
      <alignment vertical="center" wrapText="1"/>
    </xf>
    <xf numFmtId="166" fontId="36" fillId="2" borderId="37" xfId="0" applyNumberFormat="1" applyFont="1" applyFill="1" applyBorder="1" applyAlignment="1">
      <alignment vertical="center" wrapText="1"/>
    </xf>
    <xf numFmtId="165" fontId="10" fillId="2" borderId="37" xfId="0" applyNumberFormat="1" applyFont="1" applyFill="1" applyBorder="1"/>
    <xf numFmtId="0" fontId="12" fillId="15" borderId="37" xfId="0" applyFont="1" applyFill="1" applyBorder="1"/>
    <xf numFmtId="168" fontId="10" fillId="2" borderId="37" xfId="0" applyNumberFormat="1" applyFont="1" applyFill="1" applyBorder="1" applyAlignment="1">
      <alignment vertical="center" wrapText="1"/>
    </xf>
    <xf numFmtId="168" fontId="10" fillId="2" borderId="37" xfId="0" applyNumberFormat="1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vertical="center" wrapText="1"/>
    </xf>
    <xf numFmtId="3" fontId="10" fillId="2" borderId="37" xfId="0" applyNumberFormat="1" applyFont="1" applyFill="1" applyBorder="1" applyAlignment="1">
      <alignment vertical="center" wrapText="1"/>
    </xf>
    <xf numFmtId="2" fontId="10" fillId="2" borderId="37" xfId="0" applyNumberFormat="1" applyFont="1" applyFill="1" applyBorder="1" applyAlignment="1">
      <alignment vertical="center" wrapText="1"/>
    </xf>
    <xf numFmtId="170" fontId="10" fillId="2" borderId="37" xfId="0" applyNumberFormat="1" applyFont="1" applyFill="1" applyBorder="1" applyAlignment="1">
      <alignment vertical="center" wrapText="1"/>
    </xf>
    <xf numFmtId="166" fontId="10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vertical="center" wrapText="1"/>
    </xf>
    <xf numFmtId="3" fontId="28" fillId="2" borderId="37" xfId="0" applyNumberFormat="1" applyFont="1" applyFill="1" applyBorder="1" applyAlignment="1">
      <alignment vertical="center" wrapText="1"/>
    </xf>
    <xf numFmtId="2" fontId="28" fillId="2" borderId="37" xfId="0" applyNumberFormat="1" applyFont="1" applyFill="1" applyBorder="1" applyAlignment="1">
      <alignment vertical="center" wrapText="1"/>
    </xf>
    <xf numFmtId="170" fontId="28" fillId="2" borderId="37" xfId="0" applyNumberFormat="1" applyFont="1" applyFill="1" applyBorder="1" applyAlignment="1">
      <alignment vertical="center" wrapText="1"/>
    </xf>
    <xf numFmtId="166" fontId="28" fillId="2" borderId="37" xfId="0" applyNumberFormat="1" applyFont="1" applyFill="1" applyBorder="1" applyAlignment="1">
      <alignment vertical="center" wrapText="1"/>
    </xf>
    <xf numFmtId="165" fontId="9" fillId="2" borderId="37" xfId="0" applyNumberFormat="1" applyFont="1" applyFill="1" applyBorder="1"/>
    <xf numFmtId="168" fontId="43" fillId="2" borderId="37" xfId="0" applyNumberFormat="1" applyFont="1" applyFill="1" applyBorder="1" applyAlignment="1">
      <alignment vertical="center" wrapText="1"/>
    </xf>
    <xf numFmtId="168" fontId="43" fillId="2" borderId="37" xfId="0" applyNumberFormat="1" applyFont="1" applyFill="1" applyBorder="1" applyAlignment="1">
      <alignment horizontal="center" vertical="center" wrapText="1"/>
    </xf>
    <xf numFmtId="0" fontId="43" fillId="2" borderId="37" xfId="0" applyFont="1" applyFill="1" applyBorder="1" applyAlignment="1">
      <alignment vertical="center" wrapText="1"/>
    </xf>
    <xf numFmtId="3" fontId="43" fillId="2" borderId="37" xfId="0" applyNumberFormat="1" applyFont="1" applyFill="1" applyBorder="1" applyAlignment="1">
      <alignment vertical="center" wrapText="1"/>
    </xf>
    <xf numFmtId="2" fontId="43" fillId="2" borderId="37" xfId="0" applyNumberFormat="1" applyFont="1" applyFill="1" applyBorder="1" applyAlignment="1">
      <alignment vertical="center" wrapText="1"/>
    </xf>
    <xf numFmtId="170" fontId="43" fillId="2" borderId="37" xfId="0" applyNumberFormat="1" applyFont="1" applyFill="1" applyBorder="1" applyAlignment="1">
      <alignment vertical="center" wrapText="1"/>
    </xf>
    <xf numFmtId="166" fontId="43" fillId="2" borderId="37" xfId="0" applyNumberFormat="1" applyFont="1" applyFill="1" applyBorder="1" applyAlignment="1">
      <alignment vertical="center" wrapText="1"/>
    </xf>
    <xf numFmtId="0" fontId="44" fillId="4" borderId="37" xfId="0" applyFont="1" applyFill="1" applyBorder="1" applyAlignment="1">
      <alignment horizont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horizontal="center"/>
    </xf>
    <xf numFmtId="173" fontId="1" fillId="4" borderId="37" xfId="0" applyNumberFormat="1" applyFont="1" applyFill="1" applyBorder="1" applyAlignment="1">
      <alignment horizontal="center"/>
    </xf>
    <xf numFmtId="168" fontId="9" fillId="9" borderId="37" xfId="0" applyNumberFormat="1" applyFont="1" applyFill="1" applyBorder="1" applyAlignment="1">
      <alignment vertical="center" wrapText="1"/>
    </xf>
    <xf numFmtId="168" fontId="9" fillId="9" borderId="37" xfId="0" applyNumberFormat="1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vertical="center" wrapText="1"/>
    </xf>
    <xf numFmtId="3" fontId="9" fillId="9" borderId="37" xfId="0" applyNumberFormat="1" applyFont="1" applyFill="1" applyBorder="1" applyAlignment="1">
      <alignment vertical="center" wrapText="1"/>
    </xf>
    <xf numFmtId="2" fontId="9" fillId="9" borderId="37" xfId="0" applyNumberFormat="1" applyFont="1" applyFill="1" applyBorder="1" applyAlignment="1">
      <alignment vertical="center" wrapText="1"/>
    </xf>
    <xf numFmtId="170" fontId="9" fillId="9" borderId="37" xfId="0" applyNumberFormat="1" applyFont="1" applyFill="1" applyBorder="1" applyAlignment="1">
      <alignment vertical="center" wrapText="1"/>
    </xf>
    <xf numFmtId="166" fontId="9" fillId="9" borderId="37" xfId="0" applyNumberFormat="1" applyFont="1" applyFill="1" applyBorder="1" applyAlignment="1">
      <alignment vertical="center" wrapText="1"/>
    </xf>
    <xf numFmtId="170" fontId="0" fillId="9" borderId="37" xfId="0" applyNumberFormat="1" applyFill="1" applyBorder="1" applyAlignment="1">
      <alignment vertical="center" wrapText="1"/>
    </xf>
    <xf numFmtId="0" fontId="0" fillId="9" borderId="37" xfId="0" applyFill="1" applyBorder="1"/>
    <xf numFmtId="0" fontId="10" fillId="9" borderId="37" xfId="0" applyFont="1" applyFill="1" applyBorder="1"/>
    <xf numFmtId="168" fontId="10" fillId="9" borderId="37" xfId="0" applyNumberFormat="1" applyFont="1" applyFill="1" applyBorder="1" applyAlignment="1">
      <alignment vertical="center" wrapText="1"/>
    </xf>
    <xf numFmtId="168" fontId="10" fillId="9" borderId="37" xfId="0" applyNumberFormat="1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vertical="center" wrapText="1"/>
    </xf>
    <xf numFmtId="3" fontId="10" fillId="9" borderId="37" xfId="0" applyNumberFormat="1" applyFont="1" applyFill="1" applyBorder="1" applyAlignment="1">
      <alignment vertical="center" wrapText="1"/>
    </xf>
    <xf numFmtId="2" fontId="10" fillId="9" borderId="37" xfId="0" applyNumberFormat="1" applyFont="1" applyFill="1" applyBorder="1" applyAlignment="1">
      <alignment vertical="center" wrapText="1"/>
    </xf>
    <xf numFmtId="170" fontId="10" fillId="9" borderId="37" xfId="0" applyNumberFormat="1" applyFont="1" applyFill="1" applyBorder="1" applyAlignment="1">
      <alignment vertical="center" wrapText="1"/>
    </xf>
    <xf numFmtId="166" fontId="10" fillId="9" borderId="37" xfId="0" applyNumberFormat="1" applyFont="1" applyFill="1" applyBorder="1" applyAlignment="1">
      <alignment vertical="center" wrapText="1"/>
    </xf>
    <xf numFmtId="168" fontId="0" fillId="9" borderId="37" xfId="0" applyNumberFormat="1" applyFill="1" applyBorder="1" applyAlignment="1">
      <alignment vertical="center" wrapText="1"/>
    </xf>
    <xf numFmtId="168" fontId="0" fillId="9" borderId="37" xfId="0" applyNumberFormat="1" applyFill="1" applyBorder="1" applyAlignment="1">
      <alignment horizontal="center" vertical="center" wrapText="1"/>
    </xf>
    <xf numFmtId="0" fontId="0" fillId="9" borderId="37" xfId="0" applyFill="1" applyBorder="1" applyAlignment="1">
      <alignment vertical="center" wrapText="1"/>
    </xf>
    <xf numFmtId="3" fontId="0" fillId="9" borderId="37" xfId="0" applyNumberFormat="1" applyFill="1" applyBorder="1" applyAlignment="1">
      <alignment vertical="center" wrapText="1"/>
    </xf>
    <xf numFmtId="2" fontId="0" fillId="9" borderId="37" xfId="0" applyNumberFormat="1" applyFill="1" applyBorder="1" applyAlignment="1">
      <alignment vertical="center" wrapText="1"/>
    </xf>
    <xf numFmtId="166" fontId="0" fillId="9" borderId="37" xfId="0" applyNumberFormat="1" applyFill="1" applyBorder="1" applyAlignment="1">
      <alignment vertical="center" wrapText="1"/>
    </xf>
    <xf numFmtId="170" fontId="32" fillId="9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vertical="center" wrapText="1"/>
    </xf>
    <xf numFmtId="3" fontId="10" fillId="16" borderId="37" xfId="0" applyNumberFormat="1" applyFont="1" applyFill="1" applyBorder="1" applyAlignment="1">
      <alignment vertical="center" wrapText="1"/>
    </xf>
    <xf numFmtId="2" fontId="10" fillId="16" borderId="37" xfId="0" applyNumberFormat="1" applyFont="1" applyFill="1" applyBorder="1" applyAlignment="1">
      <alignment vertical="center" wrapText="1"/>
    </xf>
    <xf numFmtId="170" fontId="10" fillId="16" borderId="37" xfId="0" applyNumberFormat="1" applyFont="1" applyFill="1" applyBorder="1" applyAlignment="1">
      <alignment vertical="center" wrapText="1"/>
    </xf>
    <xf numFmtId="166" fontId="10" fillId="16" borderId="37" xfId="0" applyNumberFormat="1" applyFont="1" applyFill="1" applyBorder="1" applyAlignment="1">
      <alignment vertical="center" wrapText="1"/>
    </xf>
    <xf numFmtId="170" fontId="0" fillId="16" borderId="37" xfId="0" applyNumberForma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horizontal="center" vertical="center" wrapText="1"/>
    </xf>
    <xf numFmtId="0" fontId="9" fillId="16" borderId="37" xfId="0" applyFont="1" applyFill="1" applyBorder="1" applyAlignment="1">
      <alignment vertical="center" wrapText="1"/>
    </xf>
    <xf numFmtId="3" fontId="9" fillId="16" borderId="37" xfId="0" applyNumberFormat="1" applyFont="1" applyFill="1" applyBorder="1" applyAlignment="1">
      <alignment vertical="center" wrapText="1"/>
    </xf>
    <xf numFmtId="2" fontId="9" fillId="16" borderId="37" xfId="0" applyNumberFormat="1" applyFont="1" applyFill="1" applyBorder="1" applyAlignment="1">
      <alignment vertical="center" wrapText="1"/>
    </xf>
    <xf numFmtId="170" fontId="9" fillId="16" borderId="37" xfId="0" applyNumberFormat="1" applyFont="1" applyFill="1" applyBorder="1" applyAlignment="1">
      <alignment vertical="center" wrapText="1"/>
    </xf>
    <xf numFmtId="166" fontId="9" fillId="16" borderId="37" xfId="0" applyNumberFormat="1" applyFont="1" applyFill="1" applyBorder="1" applyAlignment="1">
      <alignment vertical="center" wrapText="1"/>
    </xf>
    <xf numFmtId="0" fontId="10" fillId="16" borderId="37" xfId="0" applyFont="1" applyFill="1" applyBorder="1"/>
    <xf numFmtId="0" fontId="9" fillId="9" borderId="37" xfId="0" applyFont="1" applyFill="1" applyBorder="1"/>
    <xf numFmtId="170" fontId="32" fillId="16" borderId="37" xfId="0" applyNumberFormat="1" applyFont="1" applyFill="1" applyBorder="1" applyAlignment="1">
      <alignment vertical="center" wrapText="1"/>
    </xf>
    <xf numFmtId="168" fontId="0" fillId="16" borderId="37" xfId="0" applyNumberFormat="1" applyFill="1" applyBorder="1" applyAlignment="1">
      <alignment vertical="center" wrapText="1"/>
    </xf>
    <xf numFmtId="168" fontId="0" fillId="16" borderId="37" xfId="0" applyNumberFormat="1" applyFill="1" applyBorder="1" applyAlignment="1">
      <alignment horizontal="center" vertical="center" wrapText="1"/>
    </xf>
    <xf numFmtId="0" fontId="0" fillId="16" borderId="37" xfId="0" applyFill="1" applyBorder="1" applyAlignment="1">
      <alignment vertical="center" wrapText="1"/>
    </xf>
    <xf numFmtId="2" fontId="0" fillId="16" borderId="37" xfId="0" applyNumberFormat="1" applyFill="1" applyBorder="1" applyAlignment="1">
      <alignment vertical="center" wrapText="1"/>
    </xf>
    <xf numFmtId="166" fontId="0" fillId="16" borderId="37" xfId="0" applyNumberFormat="1" applyFill="1" applyBorder="1" applyAlignment="1">
      <alignment vertical="center" wrapText="1"/>
    </xf>
    <xf numFmtId="3" fontId="0" fillId="16" borderId="37" xfId="0" applyNumberForma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horizontal="center" vertical="center" wrapText="1"/>
    </xf>
    <xf numFmtId="0" fontId="23" fillId="16" borderId="37" xfId="0" applyFont="1" applyFill="1" applyBorder="1" applyAlignment="1">
      <alignment vertical="center" wrapText="1"/>
    </xf>
    <xf numFmtId="3" fontId="23" fillId="16" borderId="37" xfId="0" applyNumberFormat="1" applyFont="1" applyFill="1" applyBorder="1" applyAlignment="1">
      <alignment vertical="center" wrapText="1"/>
    </xf>
    <xf numFmtId="2" fontId="23" fillId="16" borderId="37" xfId="0" applyNumberFormat="1" applyFont="1" applyFill="1" applyBorder="1" applyAlignment="1">
      <alignment vertical="center" wrapText="1"/>
    </xf>
    <xf numFmtId="170" fontId="23" fillId="16" borderId="37" xfId="0" applyNumberFormat="1" applyFont="1" applyFill="1" applyBorder="1" applyAlignment="1">
      <alignment vertical="center" wrapText="1"/>
    </xf>
    <xf numFmtId="166" fontId="23" fillId="16" borderId="37" xfId="0" applyNumberFormat="1" applyFont="1" applyFill="1" applyBorder="1" applyAlignment="1">
      <alignment vertical="center" wrapText="1"/>
    </xf>
    <xf numFmtId="0" fontId="23" fillId="9" borderId="37" xfId="0" applyFont="1" applyFill="1" applyBorder="1"/>
    <xf numFmtId="168" fontId="23" fillId="9" borderId="37" xfId="0" applyNumberFormat="1" applyFont="1" applyFill="1" applyBorder="1" applyAlignment="1">
      <alignment vertical="center" wrapText="1"/>
    </xf>
    <xf numFmtId="168" fontId="23" fillId="9" borderId="37" xfId="0" applyNumberFormat="1" applyFont="1" applyFill="1" applyBorder="1" applyAlignment="1">
      <alignment horizontal="center" vertical="center" wrapText="1"/>
    </xf>
    <xf numFmtId="0" fontId="23" fillId="9" borderId="37" xfId="0" applyFont="1" applyFill="1" applyBorder="1" applyAlignment="1">
      <alignment vertical="center" wrapText="1"/>
    </xf>
    <xf numFmtId="3" fontId="23" fillId="9" borderId="37" xfId="0" applyNumberFormat="1" applyFont="1" applyFill="1" applyBorder="1" applyAlignment="1">
      <alignment vertical="center" wrapText="1"/>
    </xf>
    <xf numFmtId="2" fontId="23" fillId="9" borderId="37" xfId="0" applyNumberFormat="1" applyFont="1" applyFill="1" applyBorder="1" applyAlignment="1">
      <alignment vertical="center" wrapText="1"/>
    </xf>
    <xf numFmtId="170" fontId="23" fillId="9" borderId="37" xfId="0" applyNumberFormat="1" applyFont="1" applyFill="1" applyBorder="1" applyAlignment="1">
      <alignment vertical="center" wrapText="1"/>
    </xf>
    <xf numFmtId="166" fontId="23" fillId="9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horizontal="center" vertical="center" wrapText="1"/>
    </xf>
    <xf numFmtId="0" fontId="18" fillId="16" borderId="37" xfId="0" applyFont="1" applyFill="1" applyBorder="1" applyAlignment="1">
      <alignment vertical="center" wrapText="1"/>
    </xf>
    <xf numFmtId="3" fontId="18" fillId="16" borderId="37" xfId="0" applyNumberFormat="1" applyFont="1" applyFill="1" applyBorder="1" applyAlignment="1">
      <alignment vertical="center" wrapText="1"/>
    </xf>
    <xf numFmtId="2" fontId="18" fillId="16" borderId="37" xfId="0" applyNumberFormat="1" applyFont="1" applyFill="1" applyBorder="1" applyAlignment="1">
      <alignment vertical="center" wrapText="1"/>
    </xf>
    <xf numFmtId="170" fontId="18" fillId="16" borderId="37" xfId="0" applyNumberFormat="1" applyFont="1" applyFill="1" applyBorder="1" applyAlignment="1">
      <alignment vertical="center" wrapText="1"/>
    </xf>
    <xf numFmtId="166" fontId="18" fillId="16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vertical="center" wrapText="1"/>
    </xf>
    <xf numFmtId="3" fontId="18" fillId="9" borderId="37" xfId="0" applyNumberFormat="1" applyFont="1" applyFill="1" applyBorder="1" applyAlignment="1">
      <alignment vertical="center" wrapText="1"/>
    </xf>
    <xf numFmtId="2" fontId="18" fillId="9" borderId="37" xfId="0" applyNumberFormat="1" applyFont="1" applyFill="1" applyBorder="1" applyAlignment="1">
      <alignment vertical="center" wrapText="1"/>
    </xf>
    <xf numFmtId="166" fontId="18" fillId="9" borderId="37" xfId="0" applyNumberFormat="1" applyFont="1" applyFill="1" applyBorder="1" applyAlignment="1">
      <alignment vertical="center" wrapText="1"/>
    </xf>
    <xf numFmtId="170" fontId="18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horizontal="center" vertical="center" wrapText="1"/>
    </xf>
    <xf numFmtId="0" fontId="37" fillId="9" borderId="37" xfId="0" applyFont="1" applyFill="1" applyBorder="1" applyAlignment="1">
      <alignment vertical="center" wrapText="1"/>
    </xf>
    <xf numFmtId="3" fontId="37" fillId="9" borderId="37" xfId="0" applyNumberFormat="1" applyFont="1" applyFill="1" applyBorder="1" applyAlignment="1">
      <alignment vertical="center" wrapText="1"/>
    </xf>
    <xf numFmtId="2" fontId="37" fillId="9" borderId="37" xfId="0" applyNumberFormat="1" applyFont="1" applyFill="1" applyBorder="1" applyAlignment="1">
      <alignment vertical="center" wrapText="1"/>
    </xf>
    <xf numFmtId="170" fontId="37" fillId="9" borderId="37" xfId="0" applyNumberFormat="1" applyFont="1" applyFill="1" applyBorder="1" applyAlignment="1">
      <alignment vertical="center" wrapText="1"/>
    </xf>
    <xf numFmtId="166" fontId="37" fillId="9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vertical="center" wrapText="1"/>
    </xf>
    <xf numFmtId="3" fontId="37" fillId="16" borderId="37" xfId="0" applyNumberFormat="1" applyFont="1" applyFill="1" applyBorder="1" applyAlignment="1">
      <alignment vertical="center" wrapText="1"/>
    </xf>
    <xf numFmtId="2" fontId="37" fillId="16" borderId="37" xfId="0" applyNumberFormat="1" applyFont="1" applyFill="1" applyBorder="1" applyAlignment="1">
      <alignment vertical="center" wrapText="1"/>
    </xf>
    <xf numFmtId="170" fontId="37" fillId="16" borderId="37" xfId="0" applyNumberFormat="1" applyFont="1" applyFill="1" applyBorder="1" applyAlignment="1">
      <alignment vertical="center" wrapText="1"/>
    </xf>
    <xf numFmtId="166" fontId="37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horizontal="center" vertical="center" wrapText="1"/>
    </xf>
    <xf numFmtId="0" fontId="45" fillId="16" borderId="37" xfId="0" applyFont="1" applyFill="1" applyBorder="1" applyAlignment="1">
      <alignment vertical="center" wrapText="1"/>
    </xf>
    <xf numFmtId="3" fontId="45" fillId="16" borderId="37" xfId="0" applyNumberFormat="1" applyFont="1" applyFill="1" applyBorder="1" applyAlignment="1">
      <alignment vertical="center" wrapText="1"/>
    </xf>
    <xf numFmtId="2" fontId="45" fillId="16" borderId="37" xfId="0" applyNumberFormat="1" applyFont="1" applyFill="1" applyBorder="1" applyAlignment="1">
      <alignment vertical="center" wrapText="1"/>
    </xf>
    <xf numFmtId="170" fontId="45" fillId="16" borderId="37" xfId="0" applyNumberFormat="1" applyFont="1" applyFill="1" applyBorder="1" applyAlignment="1">
      <alignment vertical="center" wrapText="1"/>
    </xf>
    <xf numFmtId="166" fontId="45" fillId="16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horizontal="center" vertical="center" wrapText="1"/>
    </xf>
    <xf numFmtId="0" fontId="45" fillId="9" borderId="37" xfId="0" applyFont="1" applyFill="1" applyBorder="1" applyAlignment="1">
      <alignment vertical="center" wrapText="1"/>
    </xf>
    <xf numFmtId="3" fontId="45" fillId="9" borderId="37" xfId="0" applyNumberFormat="1" applyFont="1" applyFill="1" applyBorder="1" applyAlignment="1">
      <alignment vertical="center" wrapText="1"/>
    </xf>
    <xf numFmtId="2" fontId="45" fillId="9" borderId="37" xfId="0" applyNumberFormat="1" applyFont="1" applyFill="1" applyBorder="1" applyAlignment="1">
      <alignment vertical="center" wrapText="1"/>
    </xf>
    <xf numFmtId="170" fontId="45" fillId="9" borderId="37" xfId="0" applyNumberFormat="1" applyFont="1" applyFill="1" applyBorder="1" applyAlignment="1">
      <alignment vertical="center" wrapText="1"/>
    </xf>
    <xf numFmtId="166" fontId="45" fillId="9" borderId="37" xfId="0" applyNumberFormat="1" applyFont="1" applyFill="1" applyBorder="1" applyAlignment="1">
      <alignment vertical="center" wrapText="1"/>
    </xf>
    <xf numFmtId="0" fontId="32" fillId="11" borderId="43" xfId="0" applyFont="1" applyFill="1" applyBorder="1" applyAlignment="1">
      <alignment horizontal="left"/>
    </xf>
    <xf numFmtId="0" fontId="0" fillId="11" borderId="44" xfId="0" applyFill="1" applyBorder="1"/>
    <xf numFmtId="0" fontId="0" fillId="11" borderId="45" xfId="0" applyFill="1" applyBorder="1"/>
    <xf numFmtId="164" fontId="0" fillId="11" borderId="46" xfId="0" applyNumberFormat="1" applyFill="1" applyBorder="1"/>
    <xf numFmtId="0" fontId="32" fillId="9" borderId="47" xfId="0" applyFont="1" applyFill="1" applyBorder="1" applyAlignment="1">
      <alignment horizontal="left"/>
    </xf>
    <xf numFmtId="169" fontId="0" fillId="9" borderId="48" xfId="0" applyNumberFormat="1" applyFill="1" applyBorder="1"/>
    <xf numFmtId="0" fontId="32" fillId="11" borderId="49" xfId="0" applyFont="1" applyFill="1" applyBorder="1" applyAlignment="1">
      <alignment horizontal="left"/>
    </xf>
    <xf numFmtId="169" fontId="0" fillId="11" borderId="50" xfId="0" applyNumberFormat="1" applyFill="1" applyBorder="1" applyAlignment="1">
      <alignment horizontal="right"/>
    </xf>
    <xf numFmtId="0" fontId="32" fillId="9" borderId="49" xfId="0" applyFont="1" applyFill="1" applyBorder="1" applyAlignment="1">
      <alignment horizontal="left"/>
    </xf>
    <xf numFmtId="169" fontId="0" fillId="9" borderId="50" xfId="0" applyNumberFormat="1" applyFill="1" applyBorder="1"/>
    <xf numFmtId="0" fontId="0" fillId="11" borderId="50" xfId="0" applyFill="1" applyBorder="1"/>
    <xf numFmtId="0" fontId="32" fillId="9" borderId="51" xfId="0" applyFont="1" applyFill="1" applyBorder="1" applyAlignment="1">
      <alignment horizontal="left"/>
    </xf>
    <xf numFmtId="169" fontId="0" fillId="9" borderId="52" xfId="0" applyNumberFormat="1" applyFill="1" applyBorder="1"/>
    <xf numFmtId="0" fontId="47" fillId="11" borderId="47" xfId="0" applyFont="1" applyFill="1" applyBorder="1" applyAlignment="1">
      <alignment horizontal="left"/>
    </xf>
    <xf numFmtId="169" fontId="0" fillId="11" borderId="48" xfId="0" applyNumberFormat="1" applyFill="1" applyBorder="1" applyAlignment="1">
      <alignment horizontal="right"/>
    </xf>
    <xf numFmtId="0" fontId="32" fillId="11" borderId="51" xfId="0" applyFont="1" applyFill="1" applyBorder="1" applyAlignment="1">
      <alignment horizontal="left"/>
    </xf>
    <xf numFmtId="169" fontId="0" fillId="11" borderId="52" xfId="0" applyNumberFormat="1" applyFill="1" applyBorder="1" applyAlignment="1">
      <alignment horizontal="right"/>
    </xf>
    <xf numFmtId="0" fontId="47" fillId="9" borderId="47" xfId="0" applyFont="1" applyFill="1" applyBorder="1" applyAlignment="1">
      <alignment horizontal="left"/>
    </xf>
    <xf numFmtId="0" fontId="47" fillId="11" borderId="49" xfId="0" applyFont="1" applyFill="1" applyBorder="1" applyAlignment="1">
      <alignment horizontal="left"/>
    </xf>
    <xf numFmtId="0" fontId="49" fillId="0" borderId="0" xfId="0" applyFont="1" applyAlignment="1">
      <alignment horizontal="center"/>
    </xf>
    <xf numFmtId="0" fontId="47" fillId="9" borderId="49" xfId="0" applyFont="1" applyFill="1" applyBorder="1" applyAlignment="1">
      <alignment horizontal="left"/>
    </xf>
    <xf numFmtId="0" fontId="32" fillId="17" borderId="49" xfId="0" applyFont="1" applyFill="1" applyBorder="1" applyAlignment="1">
      <alignment horizontal="left"/>
    </xf>
    <xf numFmtId="10" fontId="0" fillId="17" borderId="50" xfId="0" applyNumberFormat="1" applyFill="1" applyBorder="1"/>
    <xf numFmtId="0" fontId="32" fillId="11" borderId="45" xfId="0" applyFont="1" applyFill="1" applyBorder="1" applyAlignment="1">
      <alignment horizontal="left"/>
    </xf>
    <xf numFmtId="169" fontId="47" fillId="18" borderId="48" xfId="0" applyNumberFormat="1" applyFont="1" applyFill="1" applyBorder="1"/>
    <xf numFmtId="0" fontId="32" fillId="9" borderId="43" xfId="0" applyFont="1" applyFill="1" applyBorder="1" applyAlignment="1">
      <alignment horizontal="left"/>
    </xf>
    <xf numFmtId="169" fontId="47" fillId="18" borderId="44" xfId="0" applyNumberFormat="1" applyFont="1" applyFill="1" applyBorder="1"/>
    <xf numFmtId="0" fontId="47" fillId="9" borderId="43" xfId="0" applyFont="1" applyFill="1" applyBorder="1" applyAlignment="1">
      <alignment horizontal="left"/>
    </xf>
    <xf numFmtId="0" fontId="0" fillId="11" borderId="46" xfId="0" applyFill="1" applyBorder="1"/>
    <xf numFmtId="169" fontId="0" fillId="11" borderId="46" xfId="0" applyNumberFormat="1" applyFill="1" applyBorder="1" applyAlignment="1">
      <alignment horizontal="right"/>
    </xf>
    <xf numFmtId="10" fontId="0" fillId="11" borderId="46" xfId="0" applyNumberFormat="1" applyFill="1" applyBorder="1"/>
    <xf numFmtId="0" fontId="32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69" fontId="47" fillId="19" borderId="48" xfId="0" applyNumberFormat="1" applyFont="1" applyFill="1" applyBorder="1"/>
    <xf numFmtId="0" fontId="49" fillId="2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3" xfId="0" applyFont="1" applyFill="1" applyBorder="1" applyAlignment="1">
      <alignment horizontal="left" vertical="center"/>
    </xf>
    <xf numFmtId="0" fontId="2" fillId="0" borderId="8" xfId="0" applyFont="1" applyBorder="1"/>
    <xf numFmtId="165" fontId="1" fillId="2" borderId="2" xfId="0" applyNumberFormat="1" applyFont="1" applyFill="1" applyBorder="1" applyAlignment="1">
      <alignment horizontal="center" wrapText="1"/>
    </xf>
    <xf numFmtId="0" fontId="2" fillId="0" borderId="24" xfId="0" applyFont="1" applyBorder="1"/>
    <xf numFmtId="2" fontId="1" fillId="2" borderId="6" xfId="0" applyNumberFormat="1" applyFont="1" applyFill="1" applyBorder="1" applyAlignment="1">
      <alignment horizontal="center"/>
    </xf>
    <xf numFmtId="0" fontId="2" fillId="0" borderId="7" xfId="0" applyFont="1" applyBorder="1"/>
    <xf numFmtId="0" fontId="5" fillId="8" borderId="39" xfId="0" applyFont="1" applyFill="1" applyBorder="1" applyAlignment="1">
      <alignment horizontal="center"/>
    </xf>
    <xf numFmtId="0" fontId="2" fillId="0" borderId="39" xfId="0" applyFont="1" applyBorder="1"/>
    <xf numFmtId="0" fontId="30" fillId="7" borderId="37" xfId="0" applyFont="1" applyFill="1" applyBorder="1" applyAlignment="1">
      <alignment horizontal="center"/>
    </xf>
    <xf numFmtId="0" fontId="2" fillId="0" borderId="37" xfId="0" applyFont="1" applyBorder="1"/>
    <xf numFmtId="0" fontId="48" fillId="7" borderId="37" xfId="0" applyFont="1" applyFill="1" applyBorder="1" applyAlignment="1">
      <alignment horizontal="center"/>
    </xf>
    <xf numFmtId="10" fontId="0" fillId="0" borderId="53" xfId="0" applyNumberFormat="1" applyBorder="1" applyAlignment="1">
      <alignment horizontal="center" vertical="center"/>
    </xf>
    <xf numFmtId="10" fontId="0" fillId="0" borderId="54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wrapText="1"/>
    </xf>
    <xf numFmtId="0" fontId="5" fillId="13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0" fontId="1" fillId="4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191"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66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2021'!$U$3:$U$14</c:f>
              <c:numCache>
                <c:formatCode>"R$ 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F6-41CE-AB9C-99CFB988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210479"/>
        <c:axId val="1000696203"/>
      </c:barChart>
      <c:catAx>
        <c:axId val="123021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000696203"/>
        <c:crosses val="autoZero"/>
        <c:auto val="1"/>
        <c:lblAlgn val="ctr"/>
        <c:lblOffset val="100"/>
        <c:noMultiLvlLbl val="1"/>
      </c:catAx>
      <c:valAx>
        <c:axId val="10006962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23021047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invertIfNegative val="1"/>
          <c:cat>
            <c:multiLvlStrRef>
              <c:f>'Operações 2021'!$Y$3:$Y$118</c:f>
            </c:multiLvlStrRef>
          </c:cat>
          <c:val>
            <c:numRef>
              <c:f>'Operações 2021'!$X$3:$X$118</c:f>
              <c:numCache>
                <c:formatCode>_R_$\ #,##0.00;[Red]\-_R_$\ #,##0.00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[$R$-416]\ #,##0.00">
                  <c:v>0</c:v>
                </c:pt>
                <c:pt idx="102" formatCode="[$R$-416]\ #,##0.00">
                  <c:v>0</c:v>
                </c:pt>
                <c:pt idx="103" formatCode="[$R$-416]\ #,##0.00">
                  <c:v>0</c:v>
                </c:pt>
                <c:pt idx="104" formatCode="[$R$-416]\ #,##0.00">
                  <c:v>0</c:v>
                </c:pt>
                <c:pt idx="105" formatCode="[$R$-416]\ #,##0.00">
                  <c:v>0</c:v>
                </c:pt>
                <c:pt idx="106" formatCode="[$R$-416]\ #,##0.00">
                  <c:v>0</c:v>
                </c:pt>
                <c:pt idx="107" formatCode="[$R$-416]\ #,##0.00">
                  <c:v>0</c:v>
                </c:pt>
                <c:pt idx="108" formatCode="[$R$-416]\ #,##0.00">
                  <c:v>0</c:v>
                </c:pt>
                <c:pt idx="109" formatCode="[$R$-416]\ #,##0.00">
                  <c:v>0</c:v>
                </c:pt>
                <c:pt idx="110" formatCode="[$R$-416]\ #,##0.00">
                  <c:v>0</c:v>
                </c:pt>
                <c:pt idx="111" formatCode="[$R$-416]\ #,##0.00">
                  <c:v>0</c:v>
                </c:pt>
                <c:pt idx="112" formatCode="[$R$-416]\ #,##0.00">
                  <c:v>0</c:v>
                </c:pt>
                <c:pt idx="113" formatCode="[$R$-416]\ #,##0.00">
                  <c:v>0</c:v>
                </c:pt>
                <c:pt idx="114" formatCode="[$R$-416]\ #,##0.00">
                  <c:v>0</c:v>
                </c:pt>
                <c:pt idx="115" formatCode="[$R$-416]\ 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84-9D92-D91F945C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76035"/>
        <c:axId val="548285571"/>
      </c:barChart>
      <c:catAx>
        <c:axId val="13749760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48285571"/>
        <c:crosses val="autoZero"/>
        <c:auto val="1"/>
        <c:lblAlgn val="ctr"/>
        <c:lblOffset val="100"/>
        <c:noMultiLvlLbl val="1"/>
      </c:catAx>
      <c:valAx>
        <c:axId val="548285571"/>
        <c:scaling>
          <c:orientation val="minMax"/>
        </c:scaling>
        <c:delete val="0"/>
        <c:axPos val="b"/>
        <c:numFmt formatCode="_R_$\ #,##0.00;[Red]\-_R_$\ #,##0.00" sourceLinked="1"/>
        <c:majorTickMark val="cross"/>
        <c:minorTickMark val="cross"/>
        <c:tickLblPos val="nextTo"/>
        <c:spPr>
          <a:ln>
            <a:noFill/>
          </a:ln>
        </c:spPr>
        <c:crossAx val="1374976035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2021'!$W$3:$W$14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37-4E77-8570-43E9EA7B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03899"/>
        <c:axId val="342246763"/>
      </c:barChart>
      <c:catAx>
        <c:axId val="27680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342246763"/>
        <c:crosses val="autoZero"/>
        <c:auto val="1"/>
        <c:lblAlgn val="ctr"/>
        <c:lblOffset val="100"/>
        <c:noMultiLvlLbl val="1"/>
      </c:catAx>
      <c:valAx>
        <c:axId val="3422467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7680389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2020'!$U$3:$U$14</c:f>
              <c:numCache>
                <c:formatCode>"R$ "#,##0.00</c:formatCode>
                <c:ptCount val="12"/>
                <c:pt idx="0">
                  <c:v>-2397.4899999999998</c:v>
                </c:pt>
                <c:pt idx="1">
                  <c:v>6051.57</c:v>
                </c:pt>
                <c:pt idx="2">
                  <c:v>-3429.1499999999996</c:v>
                </c:pt>
                <c:pt idx="3">
                  <c:v>13182.16</c:v>
                </c:pt>
                <c:pt idx="4">
                  <c:v>12163.04</c:v>
                </c:pt>
                <c:pt idx="5">
                  <c:v>7232.29</c:v>
                </c:pt>
                <c:pt idx="6">
                  <c:v>27971.390000000007</c:v>
                </c:pt>
                <c:pt idx="7">
                  <c:v>-363.74000000000069</c:v>
                </c:pt>
                <c:pt idx="8">
                  <c:v>-21864.04</c:v>
                </c:pt>
                <c:pt idx="9">
                  <c:v>3494.4700000000003</c:v>
                </c:pt>
                <c:pt idx="10">
                  <c:v>8680.98</c:v>
                </c:pt>
                <c:pt idx="11">
                  <c:v>17823.95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02-4C05-A8AB-DED1153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0468"/>
        <c:axId val="2007688662"/>
      </c:barChart>
      <c:catAx>
        <c:axId val="188388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007688662"/>
        <c:crosses val="autoZero"/>
        <c:auto val="1"/>
        <c:lblAlgn val="ctr"/>
        <c:lblOffset val="100"/>
        <c:noMultiLvlLbl val="1"/>
      </c:catAx>
      <c:valAx>
        <c:axId val="20076886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883880468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tx>
            <c:v>Valores Individuais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'Operações 2020'!$Y$3:$Y$118</c:f>
              <c:numCache>
                <c:formatCode>m/d/yyyy</c:formatCode>
                <c:ptCount val="116"/>
                <c:pt idx="0">
                  <c:v>43833</c:v>
                </c:pt>
                <c:pt idx="1">
                  <c:v>43838</c:v>
                </c:pt>
                <c:pt idx="2">
                  <c:v>43839</c:v>
                </c:pt>
                <c:pt idx="3">
                  <c:v>43843</c:v>
                </c:pt>
                <c:pt idx="4">
                  <c:v>43844</c:v>
                </c:pt>
                <c:pt idx="5">
                  <c:v>43846</c:v>
                </c:pt>
                <c:pt idx="6">
                  <c:v>43847</c:v>
                </c:pt>
                <c:pt idx="7">
                  <c:v>43850</c:v>
                </c:pt>
                <c:pt idx="8">
                  <c:v>43851</c:v>
                </c:pt>
                <c:pt idx="9">
                  <c:v>43852</c:v>
                </c:pt>
                <c:pt idx="10">
                  <c:v>43853</c:v>
                </c:pt>
                <c:pt idx="11">
                  <c:v>43854</c:v>
                </c:pt>
                <c:pt idx="12">
                  <c:v>43860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43872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43882</c:v>
                </c:pt>
                <c:pt idx="27">
                  <c:v>43888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43902</c:v>
                </c:pt>
                <c:pt idx="32">
                  <c:v>43906</c:v>
                </c:pt>
                <c:pt idx="33">
                  <c:v>43910</c:v>
                </c:pt>
                <c:pt idx="34">
                  <c:v>43915</c:v>
                </c:pt>
                <c:pt idx="35">
                  <c:v>43916</c:v>
                </c:pt>
                <c:pt idx="36">
                  <c:v>43923</c:v>
                </c:pt>
                <c:pt idx="37">
                  <c:v>43924</c:v>
                </c:pt>
                <c:pt idx="38">
                  <c:v>43927</c:v>
                </c:pt>
                <c:pt idx="39">
                  <c:v>43928</c:v>
                </c:pt>
                <c:pt idx="40">
                  <c:v>43930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43941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43949</c:v>
                </c:pt>
                <c:pt idx="51">
                  <c:v>43950</c:v>
                </c:pt>
                <c:pt idx="52">
                  <c:v>43956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44029</c:v>
                </c:pt>
                <c:pt idx="102">
                  <c:v>44032</c:v>
                </c:pt>
                <c:pt idx="103">
                  <c:v>44033</c:v>
                </c:pt>
                <c:pt idx="104">
                  <c:v>44034</c:v>
                </c:pt>
                <c:pt idx="105">
                  <c:v>44035</c:v>
                </c:pt>
                <c:pt idx="106">
                  <c:v>44036</c:v>
                </c:pt>
                <c:pt idx="107">
                  <c:v>44039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</c:numCache>
            </c:numRef>
          </c:cat>
          <c:val>
            <c:numRef>
              <c:f>'Operações 2020'!$X$3:$X$118</c:f>
              <c:numCache>
                <c:formatCode>_R_$\ #,##0.00;[Red]\-_R_$\ #,##0.00</c:formatCode>
                <c:ptCount val="116"/>
                <c:pt idx="0">
                  <c:v>201.58</c:v>
                </c:pt>
                <c:pt idx="1">
                  <c:v>-1040.3</c:v>
                </c:pt>
                <c:pt idx="2">
                  <c:v>221.24</c:v>
                </c:pt>
                <c:pt idx="3">
                  <c:v>158.34</c:v>
                </c:pt>
                <c:pt idx="4">
                  <c:v>310.72000000000003</c:v>
                </c:pt>
                <c:pt idx="5">
                  <c:v>137.65</c:v>
                </c:pt>
                <c:pt idx="6">
                  <c:v>-300.66000000000003</c:v>
                </c:pt>
                <c:pt idx="7">
                  <c:v>165.71</c:v>
                </c:pt>
                <c:pt idx="8">
                  <c:v>3.61</c:v>
                </c:pt>
                <c:pt idx="9">
                  <c:v>115.59</c:v>
                </c:pt>
                <c:pt idx="10">
                  <c:v>449.9</c:v>
                </c:pt>
                <c:pt idx="11">
                  <c:v>-139.15</c:v>
                </c:pt>
                <c:pt idx="12">
                  <c:v>-2681.72</c:v>
                </c:pt>
                <c:pt idx="13">
                  <c:v>447.24</c:v>
                </c:pt>
                <c:pt idx="14">
                  <c:v>879.77</c:v>
                </c:pt>
                <c:pt idx="15">
                  <c:v>474.48</c:v>
                </c:pt>
                <c:pt idx="16">
                  <c:v>296.2</c:v>
                </c:pt>
                <c:pt idx="17">
                  <c:v>564.64</c:v>
                </c:pt>
                <c:pt idx="18">
                  <c:v>-325.77</c:v>
                </c:pt>
                <c:pt idx="19">
                  <c:v>401.91</c:v>
                </c:pt>
                <c:pt idx="20">
                  <c:v>568.91</c:v>
                </c:pt>
                <c:pt idx="21">
                  <c:v>569.36</c:v>
                </c:pt>
                <c:pt idx="22">
                  <c:v>281.82</c:v>
                </c:pt>
                <c:pt idx="23">
                  <c:v>612.08000000000004</c:v>
                </c:pt>
                <c:pt idx="24">
                  <c:v>-246.65</c:v>
                </c:pt>
                <c:pt idx="25">
                  <c:v>661.14</c:v>
                </c:pt>
                <c:pt idx="26">
                  <c:v>710.91</c:v>
                </c:pt>
                <c:pt idx="27">
                  <c:v>155.53</c:v>
                </c:pt>
                <c:pt idx="28">
                  <c:v>455.19</c:v>
                </c:pt>
                <c:pt idx="29">
                  <c:v>1185.07</c:v>
                </c:pt>
                <c:pt idx="30">
                  <c:v>1864.28</c:v>
                </c:pt>
                <c:pt idx="31">
                  <c:v>-13151.25</c:v>
                </c:pt>
                <c:pt idx="32">
                  <c:v>-1375.52</c:v>
                </c:pt>
                <c:pt idx="33">
                  <c:v>1570.59</c:v>
                </c:pt>
                <c:pt idx="34">
                  <c:v>1371.81</c:v>
                </c:pt>
                <c:pt idx="35">
                  <c:v>4650.68</c:v>
                </c:pt>
                <c:pt idx="36">
                  <c:v>-226.88</c:v>
                </c:pt>
                <c:pt idx="37">
                  <c:v>765.61</c:v>
                </c:pt>
                <c:pt idx="38">
                  <c:v>1207.2600000000002</c:v>
                </c:pt>
                <c:pt idx="39">
                  <c:v>1028.57</c:v>
                </c:pt>
                <c:pt idx="40">
                  <c:v>454.98</c:v>
                </c:pt>
                <c:pt idx="41">
                  <c:v>22.44</c:v>
                </c:pt>
                <c:pt idx="42">
                  <c:v>980.82</c:v>
                </c:pt>
                <c:pt idx="43">
                  <c:v>1069.73</c:v>
                </c:pt>
                <c:pt idx="44">
                  <c:v>1494.96</c:v>
                </c:pt>
                <c:pt idx="45">
                  <c:v>1105.3</c:v>
                </c:pt>
                <c:pt idx="46">
                  <c:v>2.82</c:v>
                </c:pt>
                <c:pt idx="47">
                  <c:v>97.22</c:v>
                </c:pt>
                <c:pt idx="48">
                  <c:v>1595.93</c:v>
                </c:pt>
                <c:pt idx="49">
                  <c:v>1665.24</c:v>
                </c:pt>
                <c:pt idx="50">
                  <c:v>767.52</c:v>
                </c:pt>
                <c:pt idx="51">
                  <c:v>1150.6400000000001</c:v>
                </c:pt>
                <c:pt idx="52">
                  <c:v>-394.98</c:v>
                </c:pt>
                <c:pt idx="53">
                  <c:v>-3242.42</c:v>
                </c:pt>
                <c:pt idx="54">
                  <c:v>792.01</c:v>
                </c:pt>
                <c:pt idx="55">
                  <c:v>680.63</c:v>
                </c:pt>
                <c:pt idx="56">
                  <c:v>515.92999999999995</c:v>
                </c:pt>
                <c:pt idx="57">
                  <c:v>590.61</c:v>
                </c:pt>
                <c:pt idx="58">
                  <c:v>698.78</c:v>
                </c:pt>
                <c:pt idx="59">
                  <c:v>579.36</c:v>
                </c:pt>
                <c:pt idx="60">
                  <c:v>681.27</c:v>
                </c:pt>
                <c:pt idx="61">
                  <c:v>579.53</c:v>
                </c:pt>
                <c:pt idx="62">
                  <c:v>863.99</c:v>
                </c:pt>
                <c:pt idx="63">
                  <c:v>994.38000000000011</c:v>
                </c:pt>
                <c:pt idx="64">
                  <c:v>1027.98</c:v>
                </c:pt>
                <c:pt idx="65">
                  <c:v>1015.08</c:v>
                </c:pt>
                <c:pt idx="66">
                  <c:v>4675.59</c:v>
                </c:pt>
                <c:pt idx="67">
                  <c:v>1049.95</c:v>
                </c:pt>
                <c:pt idx="68">
                  <c:v>1055.3499999999999</c:v>
                </c:pt>
                <c:pt idx="69">
                  <c:v>1276.44</c:v>
                </c:pt>
                <c:pt idx="70">
                  <c:v>1469.42</c:v>
                </c:pt>
                <c:pt idx="71">
                  <c:v>1241.27</c:v>
                </c:pt>
                <c:pt idx="72">
                  <c:v>1250.49</c:v>
                </c:pt>
                <c:pt idx="73">
                  <c:v>7058.95</c:v>
                </c:pt>
                <c:pt idx="74">
                  <c:v>1916.75</c:v>
                </c:pt>
                <c:pt idx="75">
                  <c:v>-5334.59</c:v>
                </c:pt>
                <c:pt idx="76">
                  <c:v>-12442.62</c:v>
                </c:pt>
                <c:pt idx="77">
                  <c:v>-8539.2199999999993</c:v>
                </c:pt>
                <c:pt idx="78">
                  <c:v>1063.77</c:v>
                </c:pt>
                <c:pt idx="79">
                  <c:v>2458.16</c:v>
                </c:pt>
                <c:pt idx="80">
                  <c:v>1107.95</c:v>
                </c:pt>
                <c:pt idx="81">
                  <c:v>1752.68</c:v>
                </c:pt>
                <c:pt idx="82">
                  <c:v>2346.4</c:v>
                </c:pt>
                <c:pt idx="83">
                  <c:v>2544.9</c:v>
                </c:pt>
                <c:pt idx="84">
                  <c:v>1507.75</c:v>
                </c:pt>
                <c:pt idx="85">
                  <c:v>1368.25</c:v>
                </c:pt>
                <c:pt idx="86">
                  <c:v>1160.28</c:v>
                </c:pt>
                <c:pt idx="87">
                  <c:v>1446.63</c:v>
                </c:pt>
                <c:pt idx="88">
                  <c:v>1725.74</c:v>
                </c:pt>
                <c:pt idx="89">
                  <c:v>852.89</c:v>
                </c:pt>
                <c:pt idx="90">
                  <c:v>1415.62</c:v>
                </c:pt>
                <c:pt idx="91">
                  <c:v>4113.8900000000003</c:v>
                </c:pt>
                <c:pt idx="92">
                  <c:v>1408.59</c:v>
                </c:pt>
                <c:pt idx="93">
                  <c:v>10543.1</c:v>
                </c:pt>
                <c:pt idx="94">
                  <c:v>-1267.97</c:v>
                </c:pt>
                <c:pt idx="95">
                  <c:v>1342.65</c:v>
                </c:pt>
                <c:pt idx="96">
                  <c:v>1308.2600000000002</c:v>
                </c:pt>
                <c:pt idx="97">
                  <c:v>1418.23</c:v>
                </c:pt>
                <c:pt idx="98">
                  <c:v>1321.23</c:v>
                </c:pt>
                <c:pt idx="99">
                  <c:v>1397.31</c:v>
                </c:pt>
                <c:pt idx="100">
                  <c:v>3395.17</c:v>
                </c:pt>
                <c:pt idx="101" formatCode="[$R$-416]\ #,##0.00">
                  <c:v>-8291.39</c:v>
                </c:pt>
                <c:pt idx="102" formatCode="[$R$-416]\ #,##0.00">
                  <c:v>1377.29</c:v>
                </c:pt>
                <c:pt idx="103" formatCode="[$R$-416]\ #,##0.00">
                  <c:v>1412.71</c:v>
                </c:pt>
                <c:pt idx="104" formatCode="[$R$-416]\ #,##0.00">
                  <c:v>-3017.64</c:v>
                </c:pt>
                <c:pt idx="105" formatCode="[$R$-416]\ #,##0.00">
                  <c:v>1941.62</c:v>
                </c:pt>
                <c:pt idx="106" formatCode="[$R$-416]\ #,##0.00">
                  <c:v>1340.67</c:v>
                </c:pt>
                <c:pt idx="107" formatCode="[$R$-416]\ #,##0.00">
                  <c:v>1411.93</c:v>
                </c:pt>
                <c:pt idx="108" formatCode="[$R$-416]\ #,##0.00">
                  <c:v>2062.48</c:v>
                </c:pt>
                <c:pt idx="109" formatCode="[$R$-416]\ #,##0.00">
                  <c:v>-966.28</c:v>
                </c:pt>
                <c:pt idx="110" formatCode="[$R$-416]\ #,##0.00">
                  <c:v>1418.77</c:v>
                </c:pt>
                <c:pt idx="111" formatCode="[$R$-416]\ #,##0.00">
                  <c:v>1433.33</c:v>
                </c:pt>
                <c:pt idx="112" formatCode="[$R$-416]\ #,##0.00">
                  <c:v>1451.82</c:v>
                </c:pt>
                <c:pt idx="113" formatCode="[$R$-416]\ #,##0.00">
                  <c:v>1523.5</c:v>
                </c:pt>
                <c:pt idx="114" formatCode="[$R$-416]\ #,##0.00">
                  <c:v>1455.86</c:v>
                </c:pt>
                <c:pt idx="115" formatCode="[$R$-416]\ #,##0.00">
                  <c:v>1545.32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61-4060-8874-7B54C940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34772"/>
        <c:axId val="865859205"/>
      </c:barChart>
      <c:dateAx>
        <c:axId val="579634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865859205"/>
        <c:crosses val="autoZero"/>
        <c:auto val="1"/>
        <c:lblOffset val="100"/>
        <c:baseTimeUnit val="days"/>
      </c:dateAx>
      <c:valAx>
        <c:axId val="86585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79634772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2020'!$W$3:$W$14</c:f>
              <c:numCache>
                <c:formatCode>0.00%</c:formatCode>
                <c:ptCount val="12"/>
                <c:pt idx="0">
                  <c:v>-0.13239999999999999</c:v>
                </c:pt>
                <c:pt idx="1">
                  <c:v>0.2621</c:v>
                </c:pt>
                <c:pt idx="2">
                  <c:v>-0.10979999999999998</c:v>
                </c:pt>
                <c:pt idx="3">
                  <c:v>0.26580000000000004</c:v>
                </c:pt>
                <c:pt idx="4">
                  <c:v>9.2499999999999999E-2</c:v>
                </c:pt>
                <c:pt idx="5">
                  <c:v>8.0599999999999991E-2</c:v>
                </c:pt>
                <c:pt idx="6">
                  <c:v>0.21259999999999998</c:v>
                </c:pt>
                <c:pt idx="7">
                  <c:v>8.9999999999998523E-4</c:v>
                </c:pt>
                <c:pt idx="8">
                  <c:v>-0.15099999999999997</c:v>
                </c:pt>
                <c:pt idx="9">
                  <c:v>3.2099999999999997E-2</c:v>
                </c:pt>
                <c:pt idx="10">
                  <c:v>7.580000000000002E-2</c:v>
                </c:pt>
                <c:pt idx="11">
                  <c:v>0.14229999999999998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AE-44FD-8CDD-B412062F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69351"/>
        <c:axId val="1300829771"/>
      </c:barChart>
      <c:catAx>
        <c:axId val="132356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00829771"/>
        <c:crosses val="autoZero"/>
        <c:auto val="1"/>
        <c:lblAlgn val="ctr"/>
        <c:lblOffset val="100"/>
        <c:noMultiLvlLbl val="1"/>
      </c:catAx>
      <c:valAx>
        <c:axId val="13008297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23569351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Janeiro</c:v>
          </c:tx>
          <c:spPr>
            <a:solidFill>
              <a:srgbClr val="327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2017'!$L$16</c:f>
              <c:numCache>
                <c:formatCode>[$-416]#,##0.00_);[Red]\(#,##0.00\)</c:formatCode>
                <c:ptCount val="1"/>
                <c:pt idx="0">
                  <c:v>1452.73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32-48F0-B5B0-EB2765C04223}"/>
            </c:ext>
          </c:extLst>
        </c:ser>
        <c:ser>
          <c:idx val="1"/>
          <c:order val="1"/>
          <c:tx>
            <c:v>Fevereiro</c:v>
          </c:tx>
          <c:spPr>
            <a:solidFill>
              <a:srgbClr val="37809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2017'!$L$48</c:f>
              <c:numCache>
                <c:formatCode>[$-416]#,##0.00_);[Red]\(#,##0.00\)</c:formatCode>
                <c:ptCount val="1"/>
                <c:pt idx="0">
                  <c:v>4119.2299999999996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32-48F0-B5B0-EB2765C04223}"/>
            </c:ext>
          </c:extLst>
        </c:ser>
        <c:ser>
          <c:idx val="2"/>
          <c:order val="2"/>
          <c:tx>
            <c:v>Março</c:v>
          </c:tx>
          <c:spPr>
            <a:solidFill>
              <a:srgbClr val="3C8BA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2017'!$L$75</c:f>
              <c:numCache>
                <c:formatCode>[$-416]#,##0.00_);[Red]\(#,##0.00\)</c:formatCode>
                <c:ptCount val="1"/>
                <c:pt idx="0">
                  <c:v>-2806.5699999999997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32-48F0-B5B0-EB2765C04223}"/>
            </c:ext>
          </c:extLst>
        </c:ser>
        <c:ser>
          <c:idx val="3"/>
          <c:order val="3"/>
          <c:tx>
            <c:v>Abril</c:v>
          </c:tx>
          <c:spPr>
            <a:solidFill>
              <a:srgbClr val="4196A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2017'!$L$104</c:f>
              <c:numCache>
                <c:formatCode>[$-416]#,##0.00_);[Red]\(#,##0.00\)</c:formatCode>
                <c:ptCount val="1"/>
                <c:pt idx="0">
                  <c:v>-2549.1600000000003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32-48F0-B5B0-EB2765C04223}"/>
            </c:ext>
          </c:extLst>
        </c:ser>
        <c:ser>
          <c:idx val="4"/>
          <c:order val="4"/>
          <c:tx>
            <c:v>Maio</c:v>
          </c:tx>
          <c:spPr>
            <a:solidFill>
              <a:srgbClr val="459EB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2017'!$L$141</c:f>
              <c:numCache>
                <c:formatCode>[$-416]#,##0.00_);[Red]\(#,##0.00\)</c:formatCode>
                <c:ptCount val="1"/>
                <c:pt idx="0">
                  <c:v>509.46999999999997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32-48F0-B5B0-EB2765C04223}"/>
            </c:ext>
          </c:extLst>
        </c:ser>
        <c:ser>
          <c:idx val="5"/>
          <c:order val="5"/>
          <c:tx>
            <c:v>Junho</c:v>
          </c:tx>
          <c:spPr>
            <a:solidFill>
              <a:srgbClr val="49A7C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2017'!$L$183</c:f>
              <c:numCache>
                <c:formatCode>[$-416]#,##0.00_);[Red]\(#,##0.00\)</c:formatCode>
                <c:ptCount val="1"/>
                <c:pt idx="0">
                  <c:v>2427.8000000000006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432-48F0-B5B0-EB2765C04223}"/>
            </c:ext>
          </c:extLst>
        </c:ser>
        <c:ser>
          <c:idx val="6"/>
          <c:order val="6"/>
          <c:tx>
            <c:v>Julho</c:v>
          </c:tx>
          <c:spPr>
            <a:solidFill>
              <a:srgbClr val="60B1C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2017'!$L$213</c:f>
              <c:numCache>
                <c:formatCode>[$-416]#,##0.00_);[Red]\(#,##0.00\)</c:formatCode>
                <c:ptCount val="1"/>
                <c:pt idx="0">
                  <c:v>-767.58000000000038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432-48F0-B5B0-EB2765C04223}"/>
            </c:ext>
          </c:extLst>
        </c:ser>
        <c:ser>
          <c:idx val="7"/>
          <c:order val="7"/>
          <c:tx>
            <c:v>Agosto</c:v>
          </c:tx>
          <c:spPr>
            <a:solidFill>
              <a:srgbClr val="81BCD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2017'!$L$235</c:f>
              <c:numCache>
                <c:formatCode>[$-416]#,##0.00_);[Red]\(#,##0.00\)</c:formatCode>
                <c:ptCount val="1"/>
                <c:pt idx="0">
                  <c:v>-13731.590000000002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432-48F0-B5B0-EB2765C04223}"/>
            </c:ext>
          </c:extLst>
        </c:ser>
        <c:ser>
          <c:idx val="8"/>
          <c:order val="8"/>
          <c:tx>
            <c:v>Setembro</c:v>
          </c:tx>
          <c:spPr>
            <a:solidFill>
              <a:srgbClr val="98C6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2017'!$L$251</c:f>
              <c:numCache>
                <c:formatCode>[$-416]#,##0.00_);[Red]\(#,##0.00\)</c:formatCode>
                <c:ptCount val="1"/>
                <c:pt idx="0">
                  <c:v>-2250.9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432-48F0-B5B0-EB2765C04223}"/>
            </c:ext>
          </c:extLst>
        </c:ser>
        <c:ser>
          <c:idx val="9"/>
          <c:order val="9"/>
          <c:tx>
            <c:v>Outubro</c:v>
          </c:tx>
          <c:spPr>
            <a:solidFill>
              <a:srgbClr val="ACCFD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2017'!$L$273</c:f>
              <c:numCache>
                <c:formatCode>[$-416]#,##0.00_);[Red]\(#,##0.00\)</c:formatCode>
                <c:ptCount val="1"/>
                <c:pt idx="0">
                  <c:v>1140.8800000000003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432-48F0-B5B0-EB2765C04223}"/>
            </c:ext>
          </c:extLst>
        </c:ser>
        <c:ser>
          <c:idx val="10"/>
          <c:order val="10"/>
          <c:tx>
            <c:v>Novembro</c:v>
          </c:tx>
          <c:spPr>
            <a:solidFill>
              <a:srgbClr val="BED9E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2017'!$L$281</c:f>
              <c:numCache>
                <c:formatCode>[$-416]#,##0.00_);[Red]\(#,##0.00\)</c:formatCode>
                <c:ptCount val="1"/>
                <c:pt idx="0">
                  <c:v>-1007.5599999999998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432-48F0-B5B0-EB2765C04223}"/>
            </c:ext>
          </c:extLst>
        </c:ser>
        <c:ser>
          <c:idx val="11"/>
          <c:order val="11"/>
          <c:tx>
            <c:v>Dezembro</c:v>
          </c:tx>
          <c:spPr>
            <a:solidFill>
              <a:srgbClr val="CEE1E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2017'!$L$289</c:f>
              <c:numCache>
                <c:formatCode>[$-416]#,##0.00_);[Red]\(#,##0.00\)</c:formatCode>
                <c:ptCount val="1"/>
                <c:pt idx="0">
                  <c:v>-1523.6000000000001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432-48F0-B5B0-EB2765C0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93881"/>
        <c:axId val="1247954487"/>
      </c:barChart>
      <c:catAx>
        <c:axId val="37139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247954487"/>
        <c:crosses val="autoZero"/>
        <c:auto val="1"/>
        <c:lblAlgn val="ctr"/>
        <c:lblOffset val="100"/>
        <c:noMultiLvlLbl val="1"/>
      </c:catAx>
      <c:valAx>
        <c:axId val="1247954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713938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30521410" name="Chart 1">
          <a:extLst>
            <a:ext uri="{FF2B5EF4-FFF2-40B4-BE49-F238E27FC236}">
              <a16:creationId xmlns:a16="http://schemas.microsoft.com/office/drawing/2014/main" id="{00000000-0008-0000-0000-0000427A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226527496" name="Chart 2" title="Gráfico">
          <a:extLst>
            <a:ext uri="{FF2B5EF4-FFF2-40B4-BE49-F238E27FC236}">
              <a16:creationId xmlns:a16="http://schemas.microsoft.com/office/drawing/2014/main" id="{00000000-0008-0000-0000-000008898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677874395" name="Chart 3" title="Gráfico">
          <a:extLst>
            <a:ext uri="{FF2B5EF4-FFF2-40B4-BE49-F238E27FC236}">
              <a16:creationId xmlns:a16="http://schemas.microsoft.com/office/drawing/2014/main" id="{00000000-0008-0000-0000-0000DB8A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035766131" name="Chart 4">
          <a:extLst>
            <a:ext uri="{FF2B5EF4-FFF2-40B4-BE49-F238E27FC236}">
              <a16:creationId xmlns:a16="http://schemas.microsoft.com/office/drawing/2014/main" id="{00000000-0008-0000-0200-0000735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1647209086" name="Chart 5" title="Gráfico">
          <a:extLst>
            <a:ext uri="{FF2B5EF4-FFF2-40B4-BE49-F238E27FC236}">
              <a16:creationId xmlns:a16="http://schemas.microsoft.com/office/drawing/2014/main" id="{00000000-0008-0000-0200-00007E6A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1096727017" name="Chart 6" title="Gráfico">
          <a:extLst>
            <a:ext uri="{FF2B5EF4-FFF2-40B4-BE49-F238E27FC236}">
              <a16:creationId xmlns:a16="http://schemas.microsoft.com/office/drawing/2014/main" id="{00000000-0008-0000-0200-0000E9B9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28575</xdr:rowOff>
    </xdr:from>
    <xdr:ext cx="3171825" cy="1066800"/>
    <xdr:graphicFrame macro="">
      <xdr:nvGraphicFramePr>
        <xdr:cNvPr id="1103317330" name="Chart 7">
          <a:extLst>
            <a:ext uri="{FF2B5EF4-FFF2-40B4-BE49-F238E27FC236}">
              <a16:creationId xmlns:a16="http://schemas.microsoft.com/office/drawing/2014/main" id="{00000000-0008-0000-0600-00005249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D5D5D5"/>
      </a:dk1>
      <a:lt1>
        <a:srgbClr val="494949"/>
      </a:lt1>
      <a:dk2>
        <a:srgbClr val="D5D5D5"/>
      </a:dk2>
      <a:lt2>
        <a:srgbClr val="494949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59" t="s">
        <v>9</v>
      </c>
      <c r="K1" s="860"/>
      <c r="L1" s="2" t="s">
        <v>10</v>
      </c>
      <c r="M1" s="4" t="s">
        <v>11</v>
      </c>
      <c r="N1" s="5">
        <f>COUNTIF(I3:I289,"&gt;0")</f>
        <v>0</v>
      </c>
      <c r="O1" s="861" t="s">
        <v>12</v>
      </c>
      <c r="P1" s="862"/>
      <c r="Q1" s="6"/>
      <c r="R1" s="86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0</v>
      </c>
      <c r="J2" s="865">
        <f>SUM(J3:J1000)-J219-J289</f>
        <v>0</v>
      </c>
      <c r="K2" s="866"/>
      <c r="L2" s="16" t="s">
        <v>17</v>
      </c>
      <c r="M2" s="561" t="s">
        <v>18</v>
      </c>
      <c r="N2" s="17">
        <f>COUNTIF(I3:I289,"&lt;0")</f>
        <v>0</v>
      </c>
      <c r="O2" s="18"/>
      <c r="P2" s="18"/>
      <c r="Q2" s="18"/>
      <c r="R2" s="86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/>
      <c r="B3" s="23"/>
      <c r="C3" s="24"/>
      <c r="D3" s="25"/>
      <c r="E3" s="24"/>
      <c r="F3" s="26"/>
      <c r="G3" s="27"/>
      <c r="H3" s="28"/>
      <c r="I3" s="29"/>
      <c r="J3" s="30"/>
      <c r="K3" s="31"/>
      <c r="L3" s="32" t="str">
        <f t="shared" ref="L3:L66" si="0">IF(B3="Compra",(F3*G3)+10+(F3*G3*0.000325),"")</f>
        <v/>
      </c>
      <c r="M3" s="33" t="s">
        <v>19</v>
      </c>
      <c r="N3" s="34"/>
      <c r="O3" s="35"/>
      <c r="P3" s="35"/>
      <c r="Q3" s="35"/>
      <c r="R3" s="36">
        <f>'Operações 2020'!R410</f>
        <v>28348.636155563392</v>
      </c>
      <c r="S3" s="562">
        <f t="shared" ref="S3:S55" si="1">IF(R3&lt;&gt;R2,R3-R2,"")</f>
        <v>28348.636155563392</v>
      </c>
      <c r="T3" s="37"/>
      <c r="U3" s="38">
        <f>M7</f>
        <v>0</v>
      </c>
      <c r="V3" s="39" t="s">
        <v>20</v>
      </c>
      <c r="W3" s="40">
        <f>M9</f>
        <v>0</v>
      </c>
      <c r="X3" s="41" t="str">
        <f>IF(I4&lt;&gt;0,I4,"")</f>
        <v/>
      </c>
      <c r="Y3" s="42" t="str">
        <f>IF(I4&lt;&gt;0,A4,"")</f>
        <v/>
      </c>
    </row>
    <row r="4" spans="1:25" ht="14.5">
      <c r="A4" s="22"/>
      <c r="B4" s="23"/>
      <c r="C4" s="24"/>
      <c r="D4" s="25"/>
      <c r="E4" s="24"/>
      <c r="F4" s="26"/>
      <c r="G4" s="27"/>
      <c r="H4" s="27"/>
      <c r="I4" s="43"/>
      <c r="J4" s="44"/>
      <c r="K4" s="25"/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28348.636155563392</v>
      </c>
      <c r="S4" s="37" t="str">
        <f t="shared" si="1"/>
        <v/>
      </c>
      <c r="T4" s="37"/>
      <c r="U4" s="38">
        <f>M34</f>
        <v>0</v>
      </c>
      <c r="V4" s="39" t="s">
        <v>22</v>
      </c>
      <c r="W4" s="46">
        <f>M36</f>
        <v>0</v>
      </c>
      <c r="X4" s="41" t="str">
        <f>IF(I6&lt;&gt;0,I6,"")</f>
        <v/>
      </c>
      <c r="Y4" s="42" t="str">
        <f>IF(I6&lt;&gt;0,A6,"")</f>
        <v/>
      </c>
    </row>
    <row r="5" spans="1:25" ht="14.5">
      <c r="A5" s="47"/>
      <c r="B5" s="48"/>
      <c r="C5" s="49"/>
      <c r="D5" s="50"/>
      <c r="E5" s="49"/>
      <c r="F5" s="50"/>
      <c r="G5" s="51"/>
      <c r="H5" s="51"/>
      <c r="I5" s="52"/>
      <c r="J5" s="53"/>
      <c r="K5" s="54"/>
      <c r="L5" s="55" t="str">
        <f t="shared" si="0"/>
        <v/>
      </c>
      <c r="M5" s="56">
        <f>IFERROR(AVERAGE(L3:L29),0)</f>
        <v>0</v>
      </c>
      <c r="N5" s="34"/>
      <c r="O5" s="35"/>
      <c r="P5" s="35"/>
      <c r="Q5" s="35"/>
      <c r="R5" s="36">
        <f t="shared" si="2"/>
        <v>28348.636155563392</v>
      </c>
      <c r="S5" s="37" t="str">
        <f t="shared" si="1"/>
        <v/>
      </c>
      <c r="T5" s="37"/>
      <c r="U5" s="38">
        <f>M63</f>
        <v>0</v>
      </c>
      <c r="V5" s="39" t="s">
        <v>23</v>
      </c>
      <c r="W5" s="46">
        <f>M65</f>
        <v>0</v>
      </c>
      <c r="X5" s="41" t="str">
        <f>IF(I8&lt;&gt;0,I8,"")</f>
        <v/>
      </c>
      <c r="Y5" s="42" t="str">
        <f>IF(I8&lt;&gt;0,A8,"")</f>
        <v/>
      </c>
    </row>
    <row r="6" spans="1:25" ht="14.5">
      <c r="A6" s="47"/>
      <c r="B6" s="48"/>
      <c r="C6" s="49"/>
      <c r="D6" s="50"/>
      <c r="E6" s="49"/>
      <c r="F6" s="50"/>
      <c r="G6" s="51"/>
      <c r="H6" s="51"/>
      <c r="I6" s="52"/>
      <c r="J6" s="53"/>
      <c r="K6" s="54"/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28348.636155563392</v>
      </c>
      <c r="S6" s="37" t="str">
        <f t="shared" si="1"/>
        <v/>
      </c>
      <c r="T6" s="37"/>
      <c r="U6" s="38">
        <f>M80</f>
        <v>0</v>
      </c>
      <c r="V6" s="39" t="s">
        <v>25</v>
      </c>
      <c r="W6" s="46">
        <f>M82</f>
        <v>0</v>
      </c>
      <c r="X6" s="41" t="str">
        <f>IF(I10&lt;&gt;0,I10,"")</f>
        <v/>
      </c>
      <c r="Y6" s="42" t="str">
        <f>IF(I10&lt;&gt;0,A10,"")</f>
        <v/>
      </c>
    </row>
    <row r="7" spans="1:25" ht="14.5">
      <c r="A7" s="22"/>
      <c r="B7" s="23"/>
      <c r="C7" s="24"/>
      <c r="D7" s="25"/>
      <c r="E7" s="24"/>
      <c r="F7" s="26"/>
      <c r="G7" s="27"/>
      <c r="H7" s="27"/>
      <c r="I7" s="43"/>
      <c r="J7" s="44"/>
      <c r="K7" s="25"/>
      <c r="L7" s="32" t="str">
        <f t="shared" si="0"/>
        <v/>
      </c>
      <c r="M7" s="56">
        <f>SUM(I3:I29)</f>
        <v>0</v>
      </c>
      <c r="N7" s="34"/>
      <c r="O7" s="35"/>
      <c r="P7" s="35"/>
      <c r="Q7" s="35"/>
      <c r="R7" s="36">
        <f t="shared" si="2"/>
        <v>28348.636155563392</v>
      </c>
      <c r="S7" s="37" t="str">
        <f t="shared" si="1"/>
        <v/>
      </c>
      <c r="T7" s="37"/>
      <c r="U7" s="38">
        <f>M111</f>
        <v>0</v>
      </c>
      <c r="V7" s="39" t="s">
        <v>26</v>
      </c>
      <c r="W7" s="46">
        <f>M113</f>
        <v>0</v>
      </c>
      <c r="X7" s="41" t="str">
        <f>IF(I12&lt;&gt;0,I12,"")</f>
        <v/>
      </c>
      <c r="Y7" s="42" t="str">
        <f>IF(I12&lt;&gt;0,A12,"")</f>
        <v/>
      </c>
    </row>
    <row r="8" spans="1:25" ht="14.5">
      <c r="A8" s="22"/>
      <c r="B8" s="23"/>
      <c r="C8" s="24"/>
      <c r="D8" s="25"/>
      <c r="E8" s="24"/>
      <c r="F8" s="26"/>
      <c r="G8" s="27"/>
      <c r="H8" s="27"/>
      <c r="I8" s="43"/>
      <c r="J8" s="44"/>
      <c r="K8" s="25"/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28348.636155563392</v>
      </c>
      <c r="S8" s="37" t="str">
        <f t="shared" si="1"/>
        <v/>
      </c>
      <c r="T8" s="37"/>
      <c r="U8" s="38">
        <f>M144</f>
        <v>0</v>
      </c>
      <c r="V8" s="39" t="s">
        <v>28</v>
      </c>
      <c r="W8" s="46">
        <f>M146</f>
        <v>0</v>
      </c>
      <c r="X8" s="41" t="str">
        <f>IF(I14&lt;&gt;0,I14,"")</f>
        <v/>
      </c>
      <c r="Y8" s="42" t="str">
        <f>IF(I14&lt;&gt;0,A14,"")</f>
        <v/>
      </c>
    </row>
    <row r="9" spans="1:25" ht="14.5">
      <c r="A9" s="57"/>
      <c r="B9" s="58"/>
      <c r="C9" s="59"/>
      <c r="D9" s="60"/>
      <c r="E9" s="59"/>
      <c r="F9" s="60"/>
      <c r="G9" s="61"/>
      <c r="H9" s="61"/>
      <c r="I9" s="62"/>
      <c r="J9" s="63"/>
      <c r="K9" s="64"/>
      <c r="L9" s="65" t="str">
        <f t="shared" si="0"/>
        <v/>
      </c>
      <c r="M9" s="66">
        <f>SUM(J3:J29)/100</f>
        <v>0</v>
      </c>
      <c r="N9" s="34"/>
      <c r="O9" s="35"/>
      <c r="P9" s="35"/>
      <c r="Q9" s="35"/>
      <c r="R9" s="36">
        <f t="shared" si="2"/>
        <v>28348.636155563392</v>
      </c>
      <c r="S9" s="37" t="str">
        <f t="shared" si="1"/>
        <v/>
      </c>
      <c r="T9" s="37"/>
      <c r="U9" s="38">
        <f>M188</f>
        <v>0</v>
      </c>
      <c r="V9" s="39" t="s">
        <v>29</v>
      </c>
      <c r="W9" s="46">
        <f>M190</f>
        <v>0</v>
      </c>
      <c r="X9" s="41" t="str">
        <f>IF(I16&lt;&gt;0,I16,"")</f>
        <v/>
      </c>
      <c r="Y9" s="42" t="str">
        <f>IF(I16&lt;&gt;0,A16,"")</f>
        <v/>
      </c>
    </row>
    <row r="10" spans="1:25" ht="14.5">
      <c r="A10" s="57"/>
      <c r="B10" s="58"/>
      <c r="C10" s="59"/>
      <c r="D10" s="60"/>
      <c r="E10" s="59"/>
      <c r="F10" s="60"/>
      <c r="G10" s="61"/>
      <c r="H10" s="61"/>
      <c r="I10" s="62"/>
      <c r="J10" s="63"/>
      <c r="K10" s="64"/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28348.636155563392</v>
      </c>
      <c r="S10" s="37" t="str">
        <f t="shared" si="1"/>
        <v/>
      </c>
      <c r="T10" s="37"/>
      <c r="U10" s="38">
        <f>M233</f>
        <v>0</v>
      </c>
      <c r="V10" s="39" t="s">
        <v>30</v>
      </c>
      <c r="W10" s="46">
        <f>M235</f>
        <v>0</v>
      </c>
      <c r="X10" s="41" t="str">
        <f>IF(I18&lt;&gt;0,I18,"")</f>
        <v/>
      </c>
      <c r="Y10" s="42" t="str">
        <f>IF(I18&lt;&gt;0,A18,"")</f>
        <v/>
      </c>
    </row>
    <row r="11" spans="1:25" ht="14.5">
      <c r="A11" s="69"/>
      <c r="B11" s="70"/>
      <c r="C11" s="71"/>
      <c r="D11" s="72"/>
      <c r="E11" s="71"/>
      <c r="F11" s="72"/>
      <c r="G11" s="73"/>
      <c r="H11" s="73"/>
      <c r="I11" s="74"/>
      <c r="J11" s="75"/>
      <c r="K11" s="76"/>
      <c r="L11" s="77" t="str">
        <f t="shared" si="0"/>
        <v/>
      </c>
      <c r="M11" s="78"/>
      <c r="N11" s="68"/>
      <c r="O11" s="35"/>
      <c r="P11" s="35"/>
      <c r="Q11" s="35"/>
      <c r="R11" s="36">
        <f t="shared" si="2"/>
        <v>28348.636155563392</v>
      </c>
      <c r="S11" s="37" t="str">
        <f t="shared" si="1"/>
        <v/>
      </c>
      <c r="T11" s="37"/>
      <c r="U11" s="38">
        <f>M275</f>
        <v>0</v>
      </c>
      <c r="V11" s="39" t="s">
        <v>31</v>
      </c>
      <c r="W11" s="46">
        <f>M277</f>
        <v>0</v>
      </c>
      <c r="X11" s="41" t="str">
        <f>IF(I20&lt;&gt;0,I20,"")</f>
        <v/>
      </c>
      <c r="Y11" s="42" t="str">
        <f>IF(I20&lt;&gt;0,A20,"")</f>
        <v/>
      </c>
    </row>
    <row r="12" spans="1:25" ht="14.5">
      <c r="A12" s="69"/>
      <c r="B12" s="70"/>
      <c r="C12" s="71"/>
      <c r="D12" s="72"/>
      <c r="E12" s="71"/>
      <c r="F12" s="72"/>
      <c r="G12" s="73"/>
      <c r="H12" s="73"/>
      <c r="I12" s="74"/>
      <c r="J12" s="75"/>
      <c r="K12" s="76"/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28348.636155563392</v>
      </c>
      <c r="S12" s="37" t="str">
        <f t="shared" si="1"/>
        <v/>
      </c>
      <c r="T12" s="37"/>
      <c r="U12" s="38">
        <f>M310</f>
        <v>0</v>
      </c>
      <c r="V12" s="39" t="s">
        <v>32</v>
      </c>
      <c r="W12" s="46">
        <f>M312</f>
        <v>0</v>
      </c>
      <c r="X12" s="41" t="str">
        <f>IF(I22&lt;&gt;0,I22,"")</f>
        <v/>
      </c>
      <c r="Y12" s="42" t="str">
        <f>IF(I22&lt;&gt;0,A22,"")</f>
        <v/>
      </c>
    </row>
    <row r="13" spans="1:25" ht="14.5">
      <c r="A13" s="57"/>
      <c r="B13" s="58"/>
      <c r="C13" s="59"/>
      <c r="D13" s="60"/>
      <c r="E13" s="59"/>
      <c r="F13" s="60"/>
      <c r="G13" s="61"/>
      <c r="H13" s="61"/>
      <c r="I13" s="62"/>
      <c r="J13" s="63"/>
      <c r="K13" s="64"/>
      <c r="L13" s="67" t="str">
        <f t="shared" si="0"/>
        <v/>
      </c>
      <c r="M13" s="78"/>
      <c r="N13" s="68"/>
      <c r="O13" s="35"/>
      <c r="P13" s="35"/>
      <c r="Q13" s="35"/>
      <c r="R13" s="36">
        <f t="shared" si="2"/>
        <v>28348.636155563392</v>
      </c>
      <c r="S13" s="37" t="str">
        <f t="shared" si="1"/>
        <v/>
      </c>
      <c r="T13" s="37"/>
      <c r="U13" s="38">
        <f>M345</f>
        <v>0</v>
      </c>
      <c r="V13" s="39" t="s">
        <v>33</v>
      </c>
      <c r="W13" s="46">
        <f>M347</f>
        <v>0</v>
      </c>
      <c r="X13" s="41" t="str">
        <f>IF(I24&lt;&gt;0,I24,"")</f>
        <v/>
      </c>
      <c r="Y13" s="42" t="str">
        <f>IF(I24&lt;&gt;0,A24,"")</f>
        <v/>
      </c>
    </row>
    <row r="14" spans="1:25" ht="14.5">
      <c r="A14" s="57"/>
      <c r="B14" s="58"/>
      <c r="C14" s="59"/>
      <c r="D14" s="60"/>
      <c r="E14" s="59"/>
      <c r="F14" s="60"/>
      <c r="G14" s="61"/>
      <c r="H14" s="61"/>
      <c r="I14" s="62"/>
      <c r="J14" s="63"/>
      <c r="K14" s="64"/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28348.636155563392</v>
      </c>
      <c r="S14" s="37" t="str">
        <f t="shared" si="1"/>
        <v/>
      </c>
      <c r="T14" s="37"/>
      <c r="U14" s="38">
        <f>M382</f>
        <v>0</v>
      </c>
      <c r="V14" s="39" t="s">
        <v>34</v>
      </c>
      <c r="W14" s="46">
        <f>M384</f>
        <v>0</v>
      </c>
      <c r="X14" s="41" t="str">
        <f>IF(I26&lt;&gt;0,I26,"")</f>
        <v/>
      </c>
      <c r="Y14" s="42" t="str">
        <f>IF(I26&lt;&gt;0,A26,"")</f>
        <v/>
      </c>
    </row>
    <row r="15" spans="1:25" ht="14.5">
      <c r="A15" s="79"/>
      <c r="B15" s="80"/>
      <c r="C15" s="81"/>
      <c r="D15" s="82"/>
      <c r="E15" s="81"/>
      <c r="F15" s="83"/>
      <c r="G15" s="84"/>
      <c r="H15" s="84"/>
      <c r="I15" s="85"/>
      <c r="J15" s="86"/>
      <c r="K15" s="82"/>
      <c r="L15" s="87" t="str">
        <f t="shared" si="0"/>
        <v/>
      </c>
      <c r="M15" s="78"/>
      <c r="N15" s="68"/>
      <c r="O15" s="35"/>
      <c r="P15" s="35"/>
      <c r="Q15" s="35"/>
      <c r="R15" s="36">
        <f t="shared" si="2"/>
        <v>28348.636155563392</v>
      </c>
      <c r="S15" s="37" t="str">
        <f t="shared" si="1"/>
        <v/>
      </c>
      <c r="T15" s="37"/>
      <c r="U15" s="88"/>
      <c r="W15" s="88"/>
      <c r="X15" s="41" t="str">
        <f>IF(I28&lt;&gt;0,I28,"")</f>
        <v/>
      </c>
      <c r="Y15" s="42" t="str">
        <f>IF(I28&lt;&gt;0,A28,"")</f>
        <v/>
      </c>
    </row>
    <row r="16" spans="1:25" ht="14.5">
      <c r="A16" s="79"/>
      <c r="B16" s="80"/>
      <c r="C16" s="81"/>
      <c r="D16" s="82"/>
      <c r="E16" s="81"/>
      <c r="F16" s="83"/>
      <c r="G16" s="84"/>
      <c r="H16" s="84"/>
      <c r="I16" s="85"/>
      <c r="J16" s="86"/>
      <c r="K16" s="82"/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28348.636155563392</v>
      </c>
      <c r="S16" s="37" t="str">
        <f t="shared" si="1"/>
        <v/>
      </c>
      <c r="T16" s="37"/>
      <c r="U16" s="88"/>
      <c r="V16" s="88"/>
      <c r="W16" s="88"/>
      <c r="X16" s="41" t="str">
        <f>IF(I30&lt;&gt;0,I30,"")</f>
        <v/>
      </c>
      <c r="Y16" s="42" t="str">
        <f>IF(I30&lt;&gt;0,A30,"")</f>
        <v/>
      </c>
    </row>
    <row r="17" spans="1:25" ht="14.5">
      <c r="A17" s="57"/>
      <c r="B17" s="58"/>
      <c r="C17" s="59"/>
      <c r="D17" s="60"/>
      <c r="E17" s="59"/>
      <c r="F17" s="60"/>
      <c r="G17" s="61"/>
      <c r="H17" s="61"/>
      <c r="I17" s="62"/>
      <c r="J17" s="63"/>
      <c r="K17" s="64"/>
      <c r="L17" s="67" t="str">
        <f t="shared" si="0"/>
        <v/>
      </c>
      <c r="M17" s="78"/>
      <c r="N17" s="68"/>
      <c r="O17" s="35"/>
      <c r="P17" s="35"/>
      <c r="Q17" s="35"/>
      <c r="R17" s="36">
        <f t="shared" si="2"/>
        <v>28348.636155563392</v>
      </c>
      <c r="S17" s="37" t="str">
        <f t="shared" si="1"/>
        <v/>
      </c>
      <c r="T17" s="37"/>
      <c r="U17" s="88"/>
      <c r="V17" s="88"/>
      <c r="W17" s="88"/>
      <c r="X17" s="41" t="str">
        <f>IF(I32&lt;&gt;0,I32,"")</f>
        <v/>
      </c>
      <c r="Y17" s="42" t="str">
        <f>IF(I32&lt;&gt;0,A32,"")</f>
        <v/>
      </c>
    </row>
    <row r="18" spans="1:25" ht="14.5">
      <c r="A18" s="57"/>
      <c r="B18" s="58"/>
      <c r="C18" s="59"/>
      <c r="D18" s="60"/>
      <c r="E18" s="59"/>
      <c r="F18" s="60"/>
      <c r="G18" s="61"/>
      <c r="H18" s="61"/>
      <c r="I18" s="62"/>
      <c r="J18" s="63"/>
      <c r="K18" s="64"/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28348.636155563392</v>
      </c>
      <c r="S18" s="37" t="str">
        <f t="shared" si="1"/>
        <v/>
      </c>
      <c r="T18" s="37"/>
      <c r="U18" s="88"/>
      <c r="V18" s="88"/>
      <c r="W18" s="88"/>
      <c r="X18" s="41" t="str">
        <f>IF(I34&lt;&gt;0,I34,"")</f>
        <v/>
      </c>
      <c r="Y18" s="42" t="str">
        <f>IF(I34&lt;&gt;0,A34,"")</f>
        <v/>
      </c>
    </row>
    <row r="19" spans="1:25" ht="14.5">
      <c r="A19" s="89"/>
      <c r="B19" s="90"/>
      <c r="C19" s="91"/>
      <c r="D19" s="92"/>
      <c r="E19" s="91"/>
      <c r="F19" s="93"/>
      <c r="G19" s="94"/>
      <c r="H19" s="94"/>
      <c r="I19" s="95"/>
      <c r="J19" s="96"/>
      <c r="K19" s="92"/>
      <c r="L19" s="97" t="str">
        <f t="shared" si="0"/>
        <v/>
      </c>
      <c r="M19" s="78"/>
      <c r="N19" s="68"/>
      <c r="O19" s="35"/>
      <c r="P19" s="35"/>
      <c r="Q19" s="35"/>
      <c r="R19" s="36">
        <f t="shared" si="2"/>
        <v>28348.636155563392</v>
      </c>
      <c r="S19" s="37" t="str">
        <f t="shared" si="1"/>
        <v/>
      </c>
      <c r="T19" s="37"/>
      <c r="U19" s="88"/>
      <c r="V19" s="88"/>
      <c r="W19" s="88"/>
      <c r="X19" s="41" t="str">
        <f>IF(I36&lt;&gt;0,I36,"")</f>
        <v/>
      </c>
      <c r="Y19" s="42" t="str">
        <f>IF(I36&lt;&gt;0,A36,"")</f>
        <v/>
      </c>
    </row>
    <row r="20" spans="1:25" ht="14.5">
      <c r="A20" s="89"/>
      <c r="B20" s="90"/>
      <c r="C20" s="91"/>
      <c r="D20" s="92"/>
      <c r="E20" s="91"/>
      <c r="F20" s="93"/>
      <c r="G20" s="94"/>
      <c r="H20" s="94"/>
      <c r="I20" s="95"/>
      <c r="J20" s="96"/>
      <c r="K20" s="92"/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28348.636155563392</v>
      </c>
      <c r="S20" s="37" t="str">
        <f t="shared" si="1"/>
        <v/>
      </c>
      <c r="T20" s="37"/>
      <c r="U20" s="88"/>
      <c r="V20" s="88"/>
      <c r="W20" s="88"/>
      <c r="X20" s="41" t="str">
        <f>IF(I38&lt;&gt;0,I38,"")</f>
        <v/>
      </c>
      <c r="Y20" s="42" t="str">
        <f>IF(I38&lt;&gt;0,A38,"")</f>
        <v/>
      </c>
    </row>
    <row r="21" spans="1:25" ht="14.5">
      <c r="A21" s="57"/>
      <c r="B21" s="58"/>
      <c r="C21" s="59"/>
      <c r="D21" s="60"/>
      <c r="E21" s="59"/>
      <c r="F21" s="60"/>
      <c r="G21" s="61"/>
      <c r="H21" s="61"/>
      <c r="I21" s="62"/>
      <c r="J21" s="63"/>
      <c r="K21" s="64"/>
      <c r="L21" s="67" t="str">
        <f t="shared" si="0"/>
        <v/>
      </c>
      <c r="M21" s="78"/>
      <c r="N21" s="68"/>
      <c r="O21" s="35"/>
      <c r="P21" s="35"/>
      <c r="Q21" s="35"/>
      <c r="R21" s="36">
        <f t="shared" si="2"/>
        <v>28348.636155563392</v>
      </c>
      <c r="S21" s="37" t="str">
        <f t="shared" si="1"/>
        <v/>
      </c>
      <c r="T21" s="37"/>
      <c r="U21" s="88"/>
      <c r="V21" s="88"/>
      <c r="W21" s="88"/>
      <c r="X21" s="41" t="str">
        <f>IF(I39&lt;&gt;0,I39,"")</f>
        <v/>
      </c>
      <c r="Y21" s="42" t="str">
        <f>IF(I39&lt;&gt;0,A39,"")</f>
        <v/>
      </c>
    </row>
    <row r="22" spans="1:25" ht="14.5">
      <c r="A22" s="57"/>
      <c r="B22" s="58"/>
      <c r="C22" s="59"/>
      <c r="D22" s="60"/>
      <c r="E22" s="59"/>
      <c r="F22" s="60"/>
      <c r="G22" s="61"/>
      <c r="H22" s="61"/>
      <c r="I22" s="62"/>
      <c r="J22" s="63"/>
      <c r="K22" s="64"/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28348.636155563392</v>
      </c>
      <c r="S22" s="37" t="str">
        <f t="shared" si="1"/>
        <v/>
      </c>
      <c r="T22" s="37"/>
      <c r="U22" s="88"/>
      <c r="V22" s="88"/>
      <c r="W22" s="88"/>
      <c r="X22" s="41" t="str">
        <f>IF(I41&lt;&gt;0,I41,"")</f>
        <v/>
      </c>
      <c r="Y22" s="42" t="str">
        <f>IF(I41&lt;&gt;0,A41,"")</f>
        <v/>
      </c>
    </row>
    <row r="23" spans="1:25" ht="14.5">
      <c r="A23" s="98"/>
      <c r="B23" s="99"/>
      <c r="C23" s="100"/>
      <c r="D23" s="101"/>
      <c r="E23" s="100"/>
      <c r="F23" s="102"/>
      <c r="G23" s="103"/>
      <c r="H23" s="103"/>
      <c r="I23" s="104"/>
      <c r="J23" s="105"/>
      <c r="K23" s="101"/>
      <c r="L23" s="106" t="str">
        <f t="shared" si="0"/>
        <v/>
      </c>
      <c r="M23" s="78"/>
      <c r="N23" s="68"/>
      <c r="O23" s="35"/>
      <c r="P23" s="35"/>
      <c r="Q23" s="35"/>
      <c r="R23" s="36">
        <f t="shared" si="2"/>
        <v>28348.636155563392</v>
      </c>
      <c r="S23" s="37" t="str">
        <f t="shared" si="1"/>
        <v/>
      </c>
      <c r="T23" s="37"/>
      <c r="U23" s="88"/>
      <c r="V23" s="88"/>
      <c r="W23" s="88"/>
      <c r="X23" s="41" t="str">
        <f>IF(I43&lt;&gt;0,I43,"")</f>
        <v/>
      </c>
      <c r="Y23" s="42" t="str">
        <f>IF(I43&lt;&gt;0,A43,"")</f>
        <v/>
      </c>
    </row>
    <row r="24" spans="1:25" ht="14.5">
      <c r="A24" s="98"/>
      <c r="B24" s="99"/>
      <c r="C24" s="100"/>
      <c r="D24" s="101"/>
      <c r="E24" s="100"/>
      <c r="F24" s="102"/>
      <c r="G24" s="103"/>
      <c r="H24" s="103"/>
      <c r="I24" s="104"/>
      <c r="J24" s="105"/>
      <c r="K24" s="101"/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28348.636155563392</v>
      </c>
      <c r="S24" s="37" t="str">
        <f t="shared" si="1"/>
        <v/>
      </c>
      <c r="T24" s="37"/>
      <c r="U24" s="88"/>
      <c r="V24" s="88"/>
      <c r="W24" s="88"/>
      <c r="X24" s="41" t="str">
        <f>IF(I45&lt;&gt;0,I45,"")</f>
        <v/>
      </c>
      <c r="Y24" s="42" t="str">
        <f>IF(I45&lt;&gt;0,A45,"")</f>
        <v/>
      </c>
    </row>
    <row r="25" spans="1:25" ht="14.5">
      <c r="A25" s="107"/>
      <c r="B25" s="108"/>
      <c r="C25" s="109"/>
      <c r="D25" s="110"/>
      <c r="E25" s="109"/>
      <c r="F25" s="111"/>
      <c r="G25" s="112"/>
      <c r="H25" s="112"/>
      <c r="I25" s="113"/>
      <c r="J25" s="114"/>
      <c r="K25" s="110"/>
      <c r="L25" s="115" t="str">
        <f t="shared" si="0"/>
        <v/>
      </c>
      <c r="M25" s="78"/>
      <c r="N25" s="68"/>
      <c r="O25" s="35"/>
      <c r="P25" s="35"/>
      <c r="Q25" s="35"/>
      <c r="R25" s="36">
        <f t="shared" si="2"/>
        <v>28348.636155563392</v>
      </c>
      <c r="S25" s="37" t="str">
        <f t="shared" si="1"/>
        <v/>
      </c>
      <c r="T25" s="37"/>
      <c r="U25" s="88"/>
      <c r="V25" s="88"/>
      <c r="W25" s="88"/>
      <c r="X25" s="41" t="str">
        <f>IF(I47&lt;&gt;0,I47,"")</f>
        <v/>
      </c>
      <c r="Y25" s="42" t="str">
        <f>IF(I47&lt;&gt;0,A47,"")</f>
        <v/>
      </c>
    </row>
    <row r="26" spans="1:25" ht="14.5">
      <c r="A26" s="107"/>
      <c r="B26" s="108"/>
      <c r="C26" s="109"/>
      <c r="D26" s="110"/>
      <c r="E26" s="109"/>
      <c r="F26" s="111"/>
      <c r="G26" s="112"/>
      <c r="H26" s="112"/>
      <c r="I26" s="113"/>
      <c r="J26" s="114"/>
      <c r="K26" s="110"/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28348.636155563392</v>
      </c>
      <c r="S26" s="37" t="str">
        <f t="shared" si="1"/>
        <v/>
      </c>
      <c r="T26" s="37"/>
      <c r="U26" s="88"/>
      <c r="V26" s="88"/>
      <c r="W26" s="88"/>
      <c r="X26" s="41" t="str">
        <f>IF(I49&lt;&gt;0,I49,"")</f>
        <v/>
      </c>
      <c r="Y26" s="42" t="str">
        <f>IF(I49&lt;&gt;0,A49,"")</f>
        <v/>
      </c>
    </row>
    <row r="27" spans="1:25" ht="14.5">
      <c r="A27" s="79"/>
      <c r="B27" s="80"/>
      <c r="C27" s="81"/>
      <c r="D27" s="82"/>
      <c r="E27" s="81"/>
      <c r="F27" s="83"/>
      <c r="G27" s="84"/>
      <c r="H27" s="84"/>
      <c r="I27" s="85"/>
      <c r="J27" s="86"/>
      <c r="K27" s="82"/>
      <c r="L27" s="87" t="str">
        <f t="shared" si="0"/>
        <v/>
      </c>
      <c r="M27" s="78"/>
      <c r="N27" s="68"/>
      <c r="O27" s="35"/>
      <c r="P27" s="35"/>
      <c r="Q27" s="35"/>
      <c r="R27" s="36">
        <f t="shared" si="2"/>
        <v>28348.636155563392</v>
      </c>
      <c r="S27" s="37" t="str">
        <f t="shared" si="1"/>
        <v/>
      </c>
      <c r="T27" s="37"/>
      <c r="U27" s="88"/>
      <c r="V27" s="88"/>
      <c r="W27" s="88"/>
      <c r="X27" s="41" t="str">
        <f>IF(I51&lt;&gt;0,I51,"")</f>
        <v/>
      </c>
      <c r="Y27" s="42" t="str">
        <f>IF(I51&lt;&gt;0,A51,"")</f>
        <v/>
      </c>
    </row>
    <row r="28" spans="1:25" ht="14.5">
      <c r="A28" s="79"/>
      <c r="B28" s="80"/>
      <c r="C28" s="81"/>
      <c r="D28" s="82"/>
      <c r="E28" s="81"/>
      <c r="F28" s="83"/>
      <c r="G28" s="84"/>
      <c r="H28" s="84"/>
      <c r="I28" s="85"/>
      <c r="J28" s="86"/>
      <c r="K28" s="82"/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28348.636155563392</v>
      </c>
      <c r="S28" s="37" t="str">
        <f t="shared" si="1"/>
        <v/>
      </c>
      <c r="T28" s="37"/>
      <c r="U28" s="88"/>
      <c r="V28" s="88"/>
      <c r="W28" s="88"/>
      <c r="X28" s="41" t="str">
        <f>IF(I53&lt;&gt;0,I53,"")</f>
        <v/>
      </c>
      <c r="Y28" s="42" t="str">
        <f>IF(I53&lt;&gt;0,A53,"")</f>
        <v/>
      </c>
    </row>
    <row r="29" spans="1:25" ht="14.5">
      <c r="A29" s="116"/>
      <c r="B29" s="99"/>
      <c r="C29" s="100"/>
      <c r="D29" s="101"/>
      <c r="E29" s="100"/>
      <c r="F29" s="102"/>
      <c r="G29" s="103"/>
      <c r="H29" s="103"/>
      <c r="I29" s="117"/>
      <c r="J29" s="105"/>
      <c r="K29" s="101"/>
      <c r="L29" s="106" t="str">
        <f t="shared" si="0"/>
        <v/>
      </c>
      <c r="M29" s="383"/>
      <c r="N29" s="68"/>
      <c r="O29" s="35"/>
      <c r="P29" s="35"/>
      <c r="Q29" s="35"/>
      <c r="R29" s="36">
        <f t="shared" si="2"/>
        <v>28348.636155563392</v>
      </c>
      <c r="S29" s="37" t="str">
        <f t="shared" si="1"/>
        <v/>
      </c>
      <c r="T29" s="37"/>
      <c r="U29" s="88"/>
      <c r="V29" s="88"/>
      <c r="W29" s="88"/>
      <c r="X29" s="41" t="str">
        <f>IF(I55&lt;&gt;0,I55,"")</f>
        <v/>
      </c>
      <c r="Y29" s="42" t="str">
        <f>IF(I55&lt;&gt;0,A55,"")</f>
        <v/>
      </c>
    </row>
    <row r="30" spans="1:25" ht="14.5">
      <c r="A30" s="118"/>
      <c r="B30" s="119"/>
      <c r="C30" s="120"/>
      <c r="D30" s="121"/>
      <c r="E30" s="120"/>
      <c r="F30" s="121"/>
      <c r="G30" s="122"/>
      <c r="H30" s="122"/>
      <c r="I30" s="123"/>
      <c r="J30" s="124"/>
      <c r="K30" s="125"/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28348.636155563392</v>
      </c>
      <c r="S30" s="37" t="str">
        <f t="shared" si="1"/>
        <v/>
      </c>
      <c r="T30" s="37"/>
      <c r="U30" s="88"/>
      <c r="V30" s="88"/>
      <c r="W30" s="88"/>
      <c r="X30" s="41" t="str">
        <f>IF(I57&lt;&gt;0,I57,"")</f>
        <v/>
      </c>
      <c r="Y30" s="42" t="str">
        <f>IF(I57&lt;&gt;0,A57,"")</f>
        <v/>
      </c>
    </row>
    <row r="31" spans="1:25" ht="14.5">
      <c r="A31" s="57"/>
      <c r="B31" s="58"/>
      <c r="C31" s="59"/>
      <c r="D31" s="60"/>
      <c r="E31" s="59"/>
      <c r="F31" s="60"/>
      <c r="G31" s="61"/>
      <c r="H31" s="61"/>
      <c r="I31" s="62"/>
      <c r="J31" s="63"/>
      <c r="K31" s="64"/>
      <c r="L31" s="65" t="str">
        <f t="shared" si="0"/>
        <v/>
      </c>
      <c r="M31" s="45" t="s">
        <v>21</v>
      </c>
      <c r="N31" s="34"/>
      <c r="O31" s="35"/>
      <c r="P31" s="35"/>
      <c r="Q31" s="35"/>
      <c r="R31" s="36">
        <f t="shared" si="2"/>
        <v>28348.636155563392</v>
      </c>
      <c r="S31" s="37" t="str">
        <f t="shared" si="1"/>
        <v/>
      </c>
      <c r="T31" s="37"/>
      <c r="U31" s="88"/>
      <c r="V31" s="88"/>
      <c r="W31" s="88"/>
      <c r="X31" s="41" t="str">
        <f>IF(I59&lt;&gt;0,I59,"")</f>
        <v/>
      </c>
      <c r="Y31" s="42" t="str">
        <f>IF(I59&lt;&gt;0,A59,"")</f>
        <v/>
      </c>
    </row>
    <row r="32" spans="1:25" ht="14.5">
      <c r="A32" s="57"/>
      <c r="B32" s="58"/>
      <c r="C32" s="59"/>
      <c r="D32" s="60"/>
      <c r="E32" s="59"/>
      <c r="F32" s="60"/>
      <c r="G32" s="61"/>
      <c r="H32" s="61"/>
      <c r="I32" s="62"/>
      <c r="J32" s="63"/>
      <c r="K32" s="64"/>
      <c r="L32" s="65" t="str">
        <f t="shared" si="0"/>
        <v/>
      </c>
      <c r="M32" s="56">
        <f>IFERROR(AVERAGE(L30:L58),0)</f>
        <v>0</v>
      </c>
      <c r="N32" s="34"/>
      <c r="O32" s="35"/>
      <c r="P32" s="35"/>
      <c r="Q32" s="35"/>
      <c r="R32" s="36">
        <f t="shared" si="2"/>
        <v>28348.636155563392</v>
      </c>
      <c r="S32" s="37" t="str">
        <f t="shared" si="1"/>
        <v/>
      </c>
      <c r="T32" s="37"/>
      <c r="U32" s="88"/>
      <c r="V32" s="88"/>
      <c r="W32" s="88"/>
      <c r="X32" s="41" t="str">
        <f>IF(I61&lt;&gt;0,I61,"")</f>
        <v/>
      </c>
      <c r="Y32" s="42" t="str">
        <f>IF(I61&lt;&gt;0,A61,"")</f>
        <v/>
      </c>
    </row>
    <row r="33" spans="1:25" ht="14.5">
      <c r="A33" s="98"/>
      <c r="B33" s="99"/>
      <c r="C33" s="100"/>
      <c r="D33" s="101"/>
      <c r="E33" s="100"/>
      <c r="F33" s="102"/>
      <c r="G33" s="103"/>
      <c r="H33" s="103"/>
      <c r="I33" s="104"/>
      <c r="J33" s="105"/>
      <c r="K33" s="101"/>
      <c r="L33" s="126" t="str">
        <f t="shared" si="0"/>
        <v/>
      </c>
      <c r="M33" s="45" t="s">
        <v>24</v>
      </c>
      <c r="N33" s="34"/>
      <c r="O33" s="35"/>
      <c r="P33" s="35"/>
      <c r="Q33" s="35"/>
      <c r="R33" s="36">
        <f t="shared" si="2"/>
        <v>28348.636155563392</v>
      </c>
      <c r="S33" s="37" t="str">
        <f t="shared" si="1"/>
        <v/>
      </c>
      <c r="T33" s="37"/>
      <c r="U33" s="88"/>
      <c r="V33" s="88"/>
      <c r="W33" s="88"/>
      <c r="X33" s="41" t="str">
        <f>IF(I63&lt;&gt;0,I63,"")</f>
        <v/>
      </c>
      <c r="Y33" s="42" t="str">
        <f>IF(I63&lt;&gt;0,A63,"")</f>
        <v/>
      </c>
    </row>
    <row r="34" spans="1:25" ht="14.5">
      <c r="A34" s="98"/>
      <c r="B34" s="99"/>
      <c r="C34" s="100"/>
      <c r="D34" s="101"/>
      <c r="E34" s="100"/>
      <c r="F34" s="102"/>
      <c r="G34" s="103"/>
      <c r="H34" s="103"/>
      <c r="I34" s="104"/>
      <c r="J34" s="105"/>
      <c r="K34" s="101"/>
      <c r="L34" s="126" t="str">
        <f t="shared" si="0"/>
        <v/>
      </c>
      <c r="M34" s="56">
        <f>SUM(I30:I58)</f>
        <v>0</v>
      </c>
      <c r="N34" s="34"/>
      <c r="O34" s="35"/>
      <c r="P34" s="35"/>
      <c r="Q34" s="35"/>
      <c r="R34" s="36">
        <f t="shared" si="2"/>
        <v>28348.636155563392</v>
      </c>
      <c r="S34" s="37" t="str">
        <f t="shared" si="1"/>
        <v/>
      </c>
      <c r="T34" s="37"/>
      <c r="U34" s="88"/>
      <c r="V34" s="88"/>
      <c r="W34" s="88"/>
      <c r="X34" s="41" t="str">
        <f>IF(I65&lt;&gt;0,I65,"")</f>
        <v/>
      </c>
      <c r="Y34" s="42" t="str">
        <f>IF(I65&lt;&gt;0,A65,"")</f>
        <v/>
      </c>
    </row>
    <row r="35" spans="1:25" ht="14.5">
      <c r="A35" s="127"/>
      <c r="B35" s="128"/>
      <c r="C35" s="129"/>
      <c r="D35" s="130"/>
      <c r="E35" s="129"/>
      <c r="F35" s="130"/>
      <c r="G35" s="131"/>
      <c r="H35" s="131"/>
      <c r="I35" s="132"/>
      <c r="J35" s="133"/>
      <c r="K35" s="134"/>
      <c r="L35" s="135" t="str">
        <f t="shared" si="0"/>
        <v/>
      </c>
      <c r="M35" s="45" t="s">
        <v>27</v>
      </c>
      <c r="N35" s="34"/>
      <c r="O35" s="78"/>
      <c r="P35" s="78"/>
      <c r="Q35" s="78"/>
      <c r="R35" s="36">
        <f t="shared" si="2"/>
        <v>28348.636155563392</v>
      </c>
      <c r="S35" s="37" t="str">
        <f t="shared" si="1"/>
        <v/>
      </c>
      <c r="T35" s="37"/>
      <c r="X35" s="41" t="str">
        <f>IF(I67&lt;&gt;0,I67,"")</f>
        <v/>
      </c>
      <c r="Y35" s="42" t="str">
        <f>IF(I67&lt;&gt;0,A67,"")</f>
        <v/>
      </c>
    </row>
    <row r="36" spans="1:25" ht="14.5">
      <c r="A36" s="127"/>
      <c r="B36" s="128"/>
      <c r="C36" s="129"/>
      <c r="D36" s="134"/>
      <c r="E36" s="129"/>
      <c r="F36" s="130"/>
      <c r="G36" s="131"/>
      <c r="H36" s="131"/>
      <c r="I36" s="132"/>
      <c r="J36" s="133"/>
      <c r="K36" s="134"/>
      <c r="L36" s="135" t="str">
        <f t="shared" si="0"/>
        <v/>
      </c>
      <c r="M36" s="66">
        <f>SUM(J30:J58)/100</f>
        <v>0</v>
      </c>
      <c r="N36" s="34"/>
      <c r="O36" s="68"/>
      <c r="P36" s="68"/>
      <c r="Q36" s="68"/>
      <c r="R36" s="36">
        <f t="shared" si="2"/>
        <v>28348.636155563392</v>
      </c>
      <c r="S36" s="37" t="str">
        <f t="shared" si="1"/>
        <v/>
      </c>
      <c r="T36" s="37"/>
      <c r="U36" s="136"/>
      <c r="V36" s="136"/>
      <c r="W36" s="136"/>
      <c r="X36" s="41" t="str">
        <f>IF(I70&lt;&gt;0,I70,"")</f>
        <v/>
      </c>
      <c r="Y36" s="42" t="str">
        <f>IF(I70&lt;&gt;0,A70,"")</f>
        <v/>
      </c>
    </row>
    <row r="37" spans="1:25" ht="14.5">
      <c r="A37" s="98"/>
      <c r="B37" s="99"/>
      <c r="C37" s="100"/>
      <c r="D37" s="101"/>
      <c r="E37" s="100"/>
      <c r="F37" s="102"/>
      <c r="G37" s="103"/>
      <c r="H37" s="103"/>
      <c r="I37" s="104"/>
      <c r="J37" s="105"/>
      <c r="K37" s="101"/>
      <c r="L37" s="106" t="str">
        <f t="shared" si="0"/>
        <v/>
      </c>
      <c r="M37" s="388"/>
      <c r="N37" s="68"/>
      <c r="O37" s="68"/>
      <c r="P37" s="68"/>
      <c r="Q37" s="68"/>
      <c r="R37" s="36">
        <f t="shared" si="2"/>
        <v>28348.636155563392</v>
      </c>
      <c r="S37" s="37" t="str">
        <f t="shared" si="1"/>
        <v/>
      </c>
      <c r="T37" s="37"/>
      <c r="U37" s="136"/>
      <c r="V37" s="136"/>
      <c r="W37" s="136"/>
      <c r="X37" s="41" t="str">
        <f>IF(I72&lt;&gt;0,I72,"")</f>
        <v/>
      </c>
      <c r="Y37" s="42" t="str">
        <f>IF(I72&lt;&gt;0,A72,"")</f>
        <v/>
      </c>
    </row>
    <row r="38" spans="1:25" ht="14.5">
      <c r="A38" s="98"/>
      <c r="B38" s="99"/>
      <c r="C38" s="100"/>
      <c r="D38" s="101"/>
      <c r="E38" s="100"/>
      <c r="F38" s="102"/>
      <c r="G38" s="103"/>
      <c r="H38" s="103"/>
      <c r="I38" s="104"/>
      <c r="J38" s="105"/>
      <c r="K38" s="101"/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28348.636155563392</v>
      </c>
      <c r="S38" s="37" t="str">
        <f t="shared" si="1"/>
        <v/>
      </c>
      <c r="T38" s="37"/>
      <c r="U38" s="136"/>
      <c r="V38" s="136"/>
      <c r="W38" s="136"/>
      <c r="X38" s="41" t="str">
        <f>IF(I74&lt;&gt;0,I74,"")</f>
        <v/>
      </c>
      <c r="Y38" s="42" t="str">
        <f>IF(I74&lt;&gt;0,A74,"")</f>
        <v/>
      </c>
    </row>
    <row r="39" spans="1:25" ht="14.5">
      <c r="A39" s="98"/>
      <c r="B39" s="137"/>
      <c r="C39" s="138"/>
      <c r="D39" s="139"/>
      <c r="E39" s="138"/>
      <c r="F39" s="140"/>
      <c r="G39" s="141"/>
      <c r="H39" s="141"/>
      <c r="I39" s="142"/>
      <c r="J39" s="143"/>
      <c r="K39" s="139"/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28348.636155563392</v>
      </c>
      <c r="S39" s="37" t="str">
        <f t="shared" si="1"/>
        <v/>
      </c>
      <c r="T39" s="37"/>
      <c r="U39" s="136"/>
      <c r="V39" s="136"/>
      <c r="W39" s="136"/>
      <c r="X39" s="41" t="str">
        <f>IF(I76&lt;&gt;0,I76,"")</f>
        <v/>
      </c>
      <c r="Y39" s="42" t="str">
        <f>IF(I76&lt;&gt;0,A76,"")</f>
        <v/>
      </c>
    </row>
    <row r="40" spans="1:25" ht="14.5">
      <c r="A40" s="127"/>
      <c r="B40" s="128"/>
      <c r="C40" s="129"/>
      <c r="D40" s="130"/>
      <c r="E40" s="129"/>
      <c r="F40" s="130"/>
      <c r="G40" s="131"/>
      <c r="H40" s="131"/>
      <c r="I40" s="132"/>
      <c r="J40" s="133"/>
      <c r="K40" s="134"/>
      <c r="L40" s="145" t="str">
        <f t="shared" si="0"/>
        <v/>
      </c>
      <c r="M40" s="78"/>
      <c r="N40" s="68"/>
      <c r="O40" s="68"/>
      <c r="P40" s="68"/>
      <c r="Q40" s="68"/>
      <c r="R40" s="36">
        <f t="shared" si="2"/>
        <v>28348.636155563392</v>
      </c>
      <c r="S40" s="37" t="str">
        <f t="shared" si="1"/>
        <v/>
      </c>
      <c r="T40" s="37"/>
      <c r="U40" s="136"/>
      <c r="V40" s="136"/>
      <c r="W40" s="136"/>
      <c r="X40" s="41" t="str">
        <f>IF(I78&lt;&gt;0,I78,"")</f>
        <v/>
      </c>
      <c r="Y40" s="42" t="str">
        <f>IF(I78&lt;&gt;0,A78,"")</f>
        <v/>
      </c>
    </row>
    <row r="41" spans="1:25" ht="14.5">
      <c r="A41" s="127"/>
      <c r="B41" s="128"/>
      <c r="C41" s="129"/>
      <c r="D41" s="130"/>
      <c r="E41" s="129"/>
      <c r="F41" s="130"/>
      <c r="G41" s="131"/>
      <c r="H41" s="131"/>
      <c r="I41" s="132"/>
      <c r="J41" s="133"/>
      <c r="K41" s="134"/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28348.636155563392</v>
      </c>
      <c r="S41" s="37" t="str">
        <f t="shared" si="1"/>
        <v/>
      </c>
      <c r="T41" s="37"/>
      <c r="U41" s="136"/>
      <c r="V41" s="136"/>
      <c r="W41" s="136"/>
      <c r="X41" s="41" t="str">
        <f>IF(I80&lt;&gt;0,I80,"")</f>
        <v/>
      </c>
      <c r="Y41" s="42" t="str">
        <f>IF(I80&lt;&gt;0,A80,"")</f>
        <v/>
      </c>
    </row>
    <row r="42" spans="1:25" ht="14.5">
      <c r="A42" s="57"/>
      <c r="B42" s="58"/>
      <c r="C42" s="59"/>
      <c r="D42" s="60"/>
      <c r="E42" s="59"/>
      <c r="F42" s="60"/>
      <c r="G42" s="61"/>
      <c r="H42" s="61"/>
      <c r="I42" s="62"/>
      <c r="J42" s="63"/>
      <c r="K42" s="64"/>
      <c r="L42" s="67" t="str">
        <f t="shared" si="0"/>
        <v/>
      </c>
      <c r="M42" s="78"/>
      <c r="N42" s="68"/>
      <c r="O42" s="68"/>
      <c r="P42" s="68"/>
      <c r="Q42" s="68"/>
      <c r="R42" s="36">
        <f t="shared" si="2"/>
        <v>28348.636155563392</v>
      </c>
      <c r="S42" s="37" t="str">
        <f t="shared" si="1"/>
        <v/>
      </c>
      <c r="T42" s="37"/>
      <c r="U42" s="136"/>
      <c r="V42" s="136"/>
      <c r="W42" s="136"/>
      <c r="X42" s="41" t="str">
        <f>IF(I82&lt;&gt;0,I82,"")</f>
        <v/>
      </c>
      <c r="Y42" s="42" t="str">
        <f>IF(I82&lt;&gt;0,A82,"")</f>
        <v/>
      </c>
    </row>
    <row r="43" spans="1:25" ht="14.5">
      <c r="A43" s="57"/>
      <c r="B43" s="58"/>
      <c r="C43" s="59"/>
      <c r="D43" s="60"/>
      <c r="E43" s="59"/>
      <c r="F43" s="60"/>
      <c r="G43" s="61"/>
      <c r="H43" s="61"/>
      <c r="I43" s="62"/>
      <c r="J43" s="63"/>
      <c r="K43" s="64"/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28348.636155563392</v>
      </c>
      <c r="S43" s="37" t="str">
        <f t="shared" si="1"/>
        <v/>
      </c>
      <c r="T43" s="37"/>
      <c r="U43" s="136"/>
      <c r="V43" s="136"/>
      <c r="W43" s="136"/>
      <c r="X43" s="41" t="str">
        <f>IF(I84&lt;&gt;0,I84,"")</f>
        <v/>
      </c>
      <c r="Y43" s="42" t="str">
        <f>IF(I84&lt;&gt;0,A84,"")</f>
        <v/>
      </c>
    </row>
    <row r="44" spans="1:25" ht="14.5">
      <c r="A44" s="98"/>
      <c r="B44" s="137"/>
      <c r="C44" s="138"/>
      <c r="D44" s="139"/>
      <c r="E44" s="138"/>
      <c r="F44" s="140"/>
      <c r="G44" s="141"/>
      <c r="H44" s="141"/>
      <c r="I44" s="142"/>
      <c r="J44" s="143"/>
      <c r="K44" s="139"/>
      <c r="L44" s="144" t="str">
        <f t="shared" si="0"/>
        <v/>
      </c>
      <c r="M44" s="78"/>
      <c r="N44" s="68"/>
      <c r="O44" s="68"/>
      <c r="P44" s="68"/>
      <c r="Q44" s="68"/>
      <c r="R44" s="36">
        <f t="shared" si="2"/>
        <v>28348.636155563392</v>
      </c>
      <c r="S44" s="37" t="str">
        <f t="shared" si="1"/>
        <v/>
      </c>
      <c r="T44" s="37"/>
      <c r="U44" s="136"/>
      <c r="V44" s="136"/>
      <c r="W44" s="136"/>
      <c r="X44" s="41" t="str">
        <f>IF(I86&lt;&gt;0,I86,"")</f>
        <v/>
      </c>
      <c r="Y44" s="42" t="str">
        <f>IF(I86&lt;&gt;0,A86,"")</f>
        <v/>
      </c>
    </row>
    <row r="45" spans="1:25" ht="14.5">
      <c r="A45" s="98"/>
      <c r="B45" s="137"/>
      <c r="C45" s="138"/>
      <c r="D45" s="139"/>
      <c r="E45" s="138"/>
      <c r="F45" s="140"/>
      <c r="G45" s="141"/>
      <c r="H45" s="141"/>
      <c r="I45" s="142"/>
      <c r="J45" s="143"/>
      <c r="K45" s="139"/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28348.636155563392</v>
      </c>
      <c r="S45" s="37" t="str">
        <f t="shared" si="1"/>
        <v/>
      </c>
      <c r="T45" s="37"/>
      <c r="U45" s="136"/>
      <c r="V45" s="136"/>
      <c r="W45" s="136"/>
      <c r="X45" s="41" t="str">
        <f>IF(I88&lt;&gt;0,I88,"")</f>
        <v/>
      </c>
      <c r="Y45" s="42" t="str">
        <f>IF(I88&lt;&gt;0,A88,"")</f>
        <v/>
      </c>
    </row>
    <row r="46" spans="1:25" ht="14.5">
      <c r="A46" s="79"/>
      <c r="B46" s="80"/>
      <c r="C46" s="81"/>
      <c r="D46" s="82"/>
      <c r="E46" s="81"/>
      <c r="F46" s="83"/>
      <c r="G46" s="84"/>
      <c r="H46" s="84"/>
      <c r="I46" s="85"/>
      <c r="J46" s="86"/>
      <c r="K46" s="82"/>
      <c r="L46" s="87" t="str">
        <f t="shared" si="0"/>
        <v/>
      </c>
      <c r="M46" s="78"/>
      <c r="N46" s="68"/>
      <c r="O46" s="68"/>
      <c r="P46" s="68"/>
      <c r="Q46" s="68"/>
      <c r="R46" s="36">
        <f t="shared" si="2"/>
        <v>28348.636155563392</v>
      </c>
      <c r="S46" s="37" t="str">
        <f t="shared" si="1"/>
        <v/>
      </c>
      <c r="T46" s="37"/>
      <c r="U46" s="136"/>
      <c r="V46" s="136"/>
      <c r="W46" s="136"/>
      <c r="X46" s="41" t="str">
        <f>IF(I90&lt;&gt;0,I90,"")</f>
        <v/>
      </c>
      <c r="Y46" s="42" t="str">
        <f>IF(I90&lt;&gt;0,A90,"")</f>
        <v/>
      </c>
    </row>
    <row r="47" spans="1:25" ht="14.5">
      <c r="A47" s="79"/>
      <c r="B47" s="80"/>
      <c r="C47" s="81"/>
      <c r="D47" s="82"/>
      <c r="E47" s="81"/>
      <c r="F47" s="83"/>
      <c r="G47" s="84"/>
      <c r="H47" s="84"/>
      <c r="I47" s="85"/>
      <c r="J47" s="86"/>
      <c r="K47" s="82"/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28348.636155563392</v>
      </c>
      <c r="S47" s="37" t="str">
        <f t="shared" si="1"/>
        <v/>
      </c>
      <c r="T47" s="37"/>
      <c r="U47" s="136"/>
      <c r="V47" s="136"/>
      <c r="W47" s="136"/>
      <c r="X47" s="41" t="str">
        <f>IF(I92&lt;&gt;0,I92,"")</f>
        <v/>
      </c>
      <c r="Y47" s="42" t="str">
        <f>IF(I92&lt;&gt;0,A92,"")</f>
        <v/>
      </c>
    </row>
    <row r="48" spans="1:25" ht="14.5">
      <c r="A48" s="98"/>
      <c r="B48" s="137"/>
      <c r="C48" s="138"/>
      <c r="D48" s="139"/>
      <c r="E48" s="138"/>
      <c r="F48" s="140"/>
      <c r="G48" s="141"/>
      <c r="H48" s="141"/>
      <c r="I48" s="142"/>
      <c r="J48" s="143"/>
      <c r="K48" s="139"/>
      <c r="L48" s="144" t="str">
        <f t="shared" si="0"/>
        <v/>
      </c>
      <c r="M48" s="78"/>
      <c r="N48" s="68"/>
      <c r="O48" s="68"/>
      <c r="P48" s="68"/>
      <c r="Q48" s="68"/>
      <c r="R48" s="36">
        <f t="shared" si="2"/>
        <v>28348.636155563392</v>
      </c>
      <c r="S48" s="37" t="str">
        <f t="shared" si="1"/>
        <v/>
      </c>
      <c r="T48" s="37"/>
      <c r="U48" s="136"/>
      <c r="V48" s="136"/>
      <c r="W48" s="136"/>
      <c r="X48" s="41" t="str">
        <f>IF(I94&lt;&gt;0,I94,"")</f>
        <v/>
      </c>
      <c r="Y48" s="42" t="str">
        <f>IF(I94&lt;&gt;0,A94,"")</f>
        <v/>
      </c>
    </row>
    <row r="49" spans="1:25" ht="14.5">
      <c r="A49" s="98"/>
      <c r="B49" s="137"/>
      <c r="C49" s="138"/>
      <c r="D49" s="139"/>
      <c r="E49" s="138"/>
      <c r="F49" s="140"/>
      <c r="G49" s="141"/>
      <c r="H49" s="141"/>
      <c r="I49" s="142"/>
      <c r="J49" s="143"/>
      <c r="K49" s="139"/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28348.636155563392</v>
      </c>
      <c r="S49" s="37" t="str">
        <f t="shared" si="1"/>
        <v/>
      </c>
      <c r="T49" s="37"/>
      <c r="U49" s="136"/>
      <c r="V49" s="136"/>
      <c r="W49" s="136"/>
      <c r="X49" s="41" t="str">
        <f>IF(I96&lt;&gt;0,I96,"")</f>
        <v/>
      </c>
      <c r="Y49" s="42" t="str">
        <f>IF(I96&lt;&gt;0,A96,"")</f>
        <v/>
      </c>
    </row>
    <row r="50" spans="1:25" ht="14.5">
      <c r="A50" s="57"/>
      <c r="B50" s="58"/>
      <c r="C50" s="59"/>
      <c r="D50" s="64"/>
      <c r="E50" s="59"/>
      <c r="F50" s="60"/>
      <c r="G50" s="61"/>
      <c r="H50" s="61"/>
      <c r="I50" s="62"/>
      <c r="J50" s="63"/>
      <c r="K50" s="64"/>
      <c r="L50" s="67" t="str">
        <f t="shared" si="0"/>
        <v/>
      </c>
      <c r="M50" s="78"/>
      <c r="N50" s="68"/>
      <c r="O50" s="68"/>
      <c r="P50" s="68"/>
      <c r="Q50" s="68"/>
      <c r="R50" s="36">
        <f t="shared" si="2"/>
        <v>28348.636155563392</v>
      </c>
      <c r="S50" s="37" t="str">
        <f t="shared" si="1"/>
        <v/>
      </c>
      <c r="T50" s="37"/>
      <c r="U50" s="136"/>
      <c r="V50" s="136"/>
      <c r="W50" s="136"/>
      <c r="X50" s="41" t="str">
        <f>IF(I97&lt;&gt;0,I97,"")</f>
        <v/>
      </c>
      <c r="Y50" s="42" t="str">
        <f>IF(I97&lt;&gt;0,A97,"")</f>
        <v/>
      </c>
    </row>
    <row r="51" spans="1:25" ht="14.5">
      <c r="A51" s="57"/>
      <c r="B51" s="58"/>
      <c r="C51" s="59"/>
      <c r="D51" s="64"/>
      <c r="E51" s="59"/>
      <c r="F51" s="60"/>
      <c r="G51" s="61"/>
      <c r="H51" s="61"/>
      <c r="I51" s="62"/>
      <c r="J51" s="63"/>
      <c r="K51" s="64"/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28348.636155563392</v>
      </c>
      <c r="S51" s="37" t="str">
        <f t="shared" si="1"/>
        <v/>
      </c>
      <c r="T51" s="37"/>
      <c r="U51" s="136"/>
      <c r="V51" s="136"/>
      <c r="W51" s="136"/>
      <c r="X51" s="41" t="str">
        <f>IF(I99&lt;&gt;0,I99,"")</f>
        <v/>
      </c>
      <c r="Y51" s="42" t="str">
        <f>IF(I99&lt;&gt;0,A99,"")</f>
        <v/>
      </c>
    </row>
    <row r="52" spans="1:25" ht="14.5">
      <c r="A52" s="98"/>
      <c r="B52" s="137"/>
      <c r="C52" s="138"/>
      <c r="D52" s="139"/>
      <c r="E52" s="138"/>
      <c r="F52" s="140"/>
      <c r="G52" s="141"/>
      <c r="H52" s="141"/>
      <c r="I52" s="142"/>
      <c r="J52" s="143"/>
      <c r="K52" s="139"/>
      <c r="L52" s="144" t="str">
        <f t="shared" si="0"/>
        <v/>
      </c>
      <c r="M52" s="78"/>
      <c r="N52" s="68"/>
      <c r="O52" s="68"/>
      <c r="P52" s="68"/>
      <c r="Q52" s="68"/>
      <c r="R52" s="36">
        <f t="shared" si="2"/>
        <v>28348.636155563392</v>
      </c>
      <c r="S52" s="37" t="str">
        <f t="shared" si="1"/>
        <v/>
      </c>
      <c r="T52" s="37"/>
      <c r="U52" s="136"/>
      <c r="V52" s="136"/>
      <c r="W52" s="136"/>
      <c r="X52" s="41" t="str">
        <f>IF(I101&lt;&gt;0,I101,"")</f>
        <v/>
      </c>
      <c r="Y52" s="42" t="str">
        <f>IF(I101&lt;&gt;0,A101,"")</f>
        <v/>
      </c>
    </row>
    <row r="53" spans="1:25" ht="14.5">
      <c r="A53" s="98"/>
      <c r="B53" s="137"/>
      <c r="C53" s="138"/>
      <c r="D53" s="139"/>
      <c r="E53" s="138"/>
      <c r="F53" s="140"/>
      <c r="G53" s="141"/>
      <c r="H53" s="141"/>
      <c r="I53" s="142"/>
      <c r="J53" s="143"/>
      <c r="K53" s="139"/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28348.636155563392</v>
      </c>
      <c r="S53" s="37" t="str">
        <f t="shared" si="1"/>
        <v/>
      </c>
      <c r="T53" s="37"/>
      <c r="U53" s="136"/>
      <c r="V53" s="136"/>
      <c r="W53" s="136"/>
      <c r="X53" s="41" t="str">
        <f>IF(I103&lt;&gt;0,I103,"")</f>
        <v/>
      </c>
      <c r="Y53" s="42" t="str">
        <f>IF(I103&lt;&gt;0,A103,"")</f>
        <v/>
      </c>
    </row>
    <row r="54" spans="1:25" ht="14.5">
      <c r="A54" s="98"/>
      <c r="B54" s="137"/>
      <c r="C54" s="138"/>
      <c r="D54" s="139"/>
      <c r="E54" s="138"/>
      <c r="F54" s="140"/>
      <c r="G54" s="141"/>
      <c r="H54" s="141"/>
      <c r="I54" s="142"/>
      <c r="J54" s="143"/>
      <c r="K54" s="139"/>
      <c r="L54" s="144" t="str">
        <f t="shared" si="0"/>
        <v/>
      </c>
      <c r="M54" s="78"/>
      <c r="N54" s="68"/>
      <c r="O54" s="68"/>
      <c r="P54" s="68"/>
      <c r="Q54" s="68"/>
      <c r="R54" s="36">
        <f t="shared" si="2"/>
        <v>28348.636155563392</v>
      </c>
      <c r="S54" s="37" t="str">
        <f t="shared" si="1"/>
        <v/>
      </c>
      <c r="T54" s="37"/>
      <c r="U54" s="136"/>
      <c r="V54" s="136"/>
      <c r="W54" s="136"/>
      <c r="X54" s="41" t="str">
        <f>IF(I105&lt;&gt;0,I105,"")</f>
        <v/>
      </c>
      <c r="Y54" s="42" t="str">
        <f>IF(I105&lt;&gt;0,A105,"")</f>
        <v/>
      </c>
    </row>
    <row r="55" spans="1:25" ht="14.5">
      <c r="A55" s="98"/>
      <c r="B55" s="137"/>
      <c r="C55" s="138"/>
      <c r="D55" s="139"/>
      <c r="E55" s="138"/>
      <c r="F55" s="140"/>
      <c r="G55" s="141"/>
      <c r="H55" s="141"/>
      <c r="I55" s="142"/>
      <c r="J55" s="143"/>
      <c r="K55" s="139"/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28348.636155563392</v>
      </c>
      <c r="S55" s="37" t="str">
        <f t="shared" si="1"/>
        <v/>
      </c>
      <c r="T55" s="37"/>
      <c r="U55" s="136"/>
      <c r="V55" s="136"/>
      <c r="W55" s="136"/>
      <c r="X55" s="41" t="str">
        <f>IF(I107&lt;&gt;0,I107,"")</f>
        <v/>
      </c>
      <c r="Y55" s="42" t="str">
        <f>IF(I107&lt;&gt;0,A107,"")</f>
        <v/>
      </c>
    </row>
    <row r="56" spans="1:25" ht="14.5">
      <c r="A56" s="98"/>
      <c r="B56" s="137"/>
      <c r="C56" s="138"/>
      <c r="D56" s="139"/>
      <c r="E56" s="138"/>
      <c r="F56" s="140"/>
      <c r="G56" s="141"/>
      <c r="H56" s="141"/>
      <c r="I56" s="142"/>
      <c r="J56" s="143"/>
      <c r="K56" s="139"/>
      <c r="L56" s="144" t="str">
        <f t="shared" si="0"/>
        <v/>
      </c>
      <c r="M56" s="78"/>
      <c r="N56" s="34"/>
      <c r="O56" s="68"/>
      <c r="P56" s="68"/>
      <c r="Q56" s="68"/>
      <c r="R56" s="36">
        <f>R55*((J56/100)+1)</f>
        <v>28348.636155563392</v>
      </c>
      <c r="S56" s="37"/>
      <c r="T56" s="37"/>
      <c r="U56" s="136"/>
      <c r="V56" s="136"/>
      <c r="W56" s="136"/>
      <c r="X56" s="41" t="str">
        <f>IF(I108&lt;&gt;0,I108,"")</f>
        <v/>
      </c>
      <c r="Y56" s="42" t="str">
        <f>IF(I108&lt;&gt;0,A108,"")</f>
        <v/>
      </c>
    </row>
    <row r="57" spans="1:25" ht="14.5">
      <c r="A57" s="564"/>
      <c r="B57" s="565"/>
      <c r="C57" s="566"/>
      <c r="D57" s="567"/>
      <c r="E57" s="566"/>
      <c r="F57" s="568"/>
      <c r="G57" s="569"/>
      <c r="H57" s="569"/>
      <c r="I57" s="142"/>
      <c r="J57" s="570"/>
      <c r="K57" s="567"/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28348.636155563392</v>
      </c>
      <c r="S57" s="37" t="str">
        <f t="shared" ref="S57:S80" si="4">IF(R57&lt;&gt;R56,R57-R56,"")</f>
        <v/>
      </c>
      <c r="T57" s="37"/>
      <c r="U57" s="136"/>
      <c r="V57" s="136"/>
      <c r="W57" s="136"/>
      <c r="X57" s="41" t="str">
        <f>IF(I110&lt;&gt;0,I110,"")</f>
        <v/>
      </c>
      <c r="Y57" s="42" t="str">
        <f>IF(I110&lt;&gt;0,A110,"")</f>
        <v/>
      </c>
    </row>
    <row r="58" spans="1:25" ht="14.5">
      <c r="A58" s="146"/>
      <c r="B58" s="147"/>
      <c r="C58" s="148"/>
      <c r="D58" s="149"/>
      <c r="E58" s="148"/>
      <c r="F58" s="150"/>
      <c r="G58" s="151"/>
      <c r="H58" s="151"/>
      <c r="I58" s="152"/>
      <c r="J58" s="153"/>
      <c r="K58" s="149"/>
      <c r="L58" s="154" t="str">
        <f t="shared" si="0"/>
        <v/>
      </c>
      <c r="M58" s="155"/>
      <c r="N58" s="34"/>
      <c r="O58" s="68"/>
      <c r="P58" s="68"/>
      <c r="Q58" s="68"/>
      <c r="R58" s="36">
        <f t="shared" si="3"/>
        <v>28348.636155563392</v>
      </c>
      <c r="S58" s="37" t="str">
        <f t="shared" si="4"/>
        <v/>
      </c>
      <c r="T58" s="37"/>
      <c r="U58" s="136"/>
      <c r="V58" s="136"/>
      <c r="W58" s="136"/>
      <c r="X58" s="41" t="str">
        <f>IF(I112&lt;&gt;0,I112,"")</f>
        <v/>
      </c>
      <c r="Y58" s="42" t="str">
        <f>IF(I112&lt;&gt;0,A112,"")</f>
        <v/>
      </c>
    </row>
    <row r="59" spans="1:25" ht="14.5">
      <c r="A59" s="156"/>
      <c r="B59" s="157"/>
      <c r="C59" s="158"/>
      <c r="D59" s="159"/>
      <c r="E59" s="158"/>
      <c r="F59" s="159"/>
      <c r="G59" s="160"/>
      <c r="H59" s="160"/>
      <c r="I59" s="161"/>
      <c r="J59" s="162"/>
      <c r="K59" s="163"/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28348.636155563392</v>
      </c>
      <c r="S59" s="37" t="str">
        <f t="shared" si="4"/>
        <v/>
      </c>
      <c r="T59" s="37"/>
      <c r="U59" s="136"/>
      <c r="V59" s="136"/>
      <c r="W59" s="136"/>
      <c r="X59" s="41" t="str">
        <f>IF(I114&lt;&gt;0,I114,"")</f>
        <v/>
      </c>
      <c r="Y59" s="42" t="str">
        <f>IF(I114&lt;&gt;0,A114,"")</f>
        <v/>
      </c>
    </row>
    <row r="60" spans="1:25" ht="14.5">
      <c r="A60" s="98"/>
      <c r="B60" s="137"/>
      <c r="C60" s="138"/>
      <c r="D60" s="139"/>
      <c r="E60" s="138"/>
      <c r="F60" s="140"/>
      <c r="G60" s="141"/>
      <c r="H60" s="141"/>
      <c r="I60" s="142"/>
      <c r="J60" s="143"/>
      <c r="K60" s="139"/>
      <c r="L60" s="164" t="str">
        <f t="shared" si="0"/>
        <v/>
      </c>
      <c r="M60" s="45" t="s">
        <v>21</v>
      </c>
      <c r="N60" s="34"/>
      <c r="O60" s="68"/>
      <c r="P60" s="68"/>
      <c r="Q60" s="68"/>
      <c r="R60" s="36">
        <f t="shared" si="3"/>
        <v>28348.636155563392</v>
      </c>
      <c r="S60" s="37" t="str">
        <f t="shared" si="4"/>
        <v/>
      </c>
      <c r="T60" s="37"/>
      <c r="U60" s="136"/>
      <c r="V60" s="136"/>
      <c r="W60" s="136"/>
      <c r="X60" s="41" t="str">
        <f>IF(I116&lt;&gt;0,I116,"")</f>
        <v/>
      </c>
      <c r="Y60" s="42" t="str">
        <f>IF(I116&lt;&gt;0,A116,"")</f>
        <v/>
      </c>
    </row>
    <row r="61" spans="1:25" ht="14.5">
      <c r="A61" s="98"/>
      <c r="B61" s="137"/>
      <c r="C61" s="138"/>
      <c r="D61" s="139"/>
      <c r="E61" s="138"/>
      <c r="F61" s="140"/>
      <c r="G61" s="141"/>
      <c r="H61" s="141"/>
      <c r="I61" s="142"/>
      <c r="J61" s="143"/>
      <c r="K61" s="139"/>
      <c r="L61" s="164" t="str">
        <f t="shared" si="0"/>
        <v/>
      </c>
      <c r="M61" s="56">
        <f>IFERROR(AVERAGE(L59:L75),0)</f>
        <v>0</v>
      </c>
      <c r="N61" s="34"/>
      <c r="O61" s="68"/>
      <c r="P61" s="68"/>
      <c r="Q61" s="68"/>
      <c r="R61" s="36">
        <f t="shared" si="3"/>
        <v>28348.636155563392</v>
      </c>
      <c r="S61" s="37" t="str">
        <f t="shared" si="4"/>
        <v/>
      </c>
      <c r="T61" s="37"/>
      <c r="U61" s="136"/>
      <c r="V61" s="136"/>
      <c r="W61" s="136"/>
      <c r="X61" s="41" t="str">
        <f>IF(I118&lt;&gt;0,I118,"")</f>
        <v/>
      </c>
      <c r="Y61" s="42" t="str">
        <f>IF(I118&lt;&gt;0,A118,"")</f>
        <v/>
      </c>
    </row>
    <row r="62" spans="1:25" ht="14.5">
      <c r="A62" s="57"/>
      <c r="B62" s="58"/>
      <c r="C62" s="59"/>
      <c r="D62" s="64"/>
      <c r="E62" s="59"/>
      <c r="F62" s="60"/>
      <c r="G62" s="61"/>
      <c r="H62" s="61"/>
      <c r="I62" s="62"/>
      <c r="J62" s="63"/>
      <c r="K62" s="64"/>
      <c r="L62" s="65" t="str">
        <f t="shared" si="0"/>
        <v/>
      </c>
      <c r="M62" s="45" t="s">
        <v>24</v>
      </c>
      <c r="N62" s="34"/>
      <c r="O62" s="68"/>
      <c r="P62" s="68"/>
      <c r="Q62" s="68"/>
      <c r="R62" s="36">
        <f t="shared" si="3"/>
        <v>28348.636155563392</v>
      </c>
      <c r="S62" s="37" t="str">
        <f t="shared" si="4"/>
        <v/>
      </c>
      <c r="T62" s="37"/>
      <c r="U62" s="136"/>
      <c r="V62" s="136"/>
      <c r="W62" s="136"/>
      <c r="X62" s="41" t="str">
        <f>IF(I120&lt;&gt;0,I120,"")</f>
        <v/>
      </c>
      <c r="Y62" s="42" t="str">
        <f>IF(I120&lt;&gt;0,A120,"")</f>
        <v/>
      </c>
    </row>
    <row r="63" spans="1:25" ht="14.5">
      <c r="A63" s="57"/>
      <c r="B63" s="58"/>
      <c r="C63" s="59"/>
      <c r="D63" s="64"/>
      <c r="E63" s="59"/>
      <c r="F63" s="60"/>
      <c r="G63" s="61"/>
      <c r="H63" s="61"/>
      <c r="I63" s="62"/>
      <c r="J63" s="63"/>
      <c r="K63" s="64"/>
      <c r="L63" s="65" t="str">
        <f t="shared" si="0"/>
        <v/>
      </c>
      <c r="M63" s="56">
        <f>SUM(I59:I75)</f>
        <v>0</v>
      </c>
      <c r="N63" s="34"/>
      <c r="O63" s="68"/>
      <c r="P63" s="68"/>
      <c r="Q63" s="68"/>
      <c r="R63" s="36">
        <f t="shared" si="3"/>
        <v>28348.636155563392</v>
      </c>
      <c r="S63" s="37" t="str">
        <f t="shared" si="4"/>
        <v/>
      </c>
      <c r="T63" s="37"/>
      <c r="U63" s="136"/>
      <c r="V63" s="136"/>
      <c r="W63" s="136"/>
      <c r="X63" s="41" t="str">
        <f>IF(I122&lt;&gt;0,I122,"")</f>
        <v/>
      </c>
      <c r="Y63" s="42" t="str">
        <f>IF(I122&lt;&gt;0,A122,"")</f>
        <v/>
      </c>
    </row>
    <row r="64" spans="1:25" ht="14.5">
      <c r="A64" s="98"/>
      <c r="B64" s="137"/>
      <c r="C64" s="138"/>
      <c r="D64" s="139"/>
      <c r="E64" s="138"/>
      <c r="F64" s="140"/>
      <c r="G64" s="141"/>
      <c r="H64" s="141"/>
      <c r="I64" s="142"/>
      <c r="J64" s="143"/>
      <c r="K64" s="139"/>
      <c r="L64" s="164" t="str">
        <f t="shared" si="0"/>
        <v/>
      </c>
      <c r="M64" s="45" t="s">
        <v>27</v>
      </c>
      <c r="N64" s="34"/>
      <c r="O64" s="68"/>
      <c r="P64" s="68"/>
      <c r="Q64" s="68"/>
      <c r="R64" s="36">
        <f t="shared" si="3"/>
        <v>28348.636155563392</v>
      </c>
      <c r="S64" s="37" t="str">
        <f t="shared" si="4"/>
        <v/>
      </c>
      <c r="T64" s="37"/>
      <c r="U64" s="136"/>
      <c r="V64" s="136"/>
      <c r="W64" s="136"/>
      <c r="X64" s="41" t="str">
        <f>IF(I124&lt;&gt;0,I124,"")</f>
        <v/>
      </c>
      <c r="Y64" s="42" t="str">
        <f>IF(I124&lt;&gt;0,A124,"")</f>
        <v/>
      </c>
    </row>
    <row r="65" spans="1:25" ht="14.5">
      <c r="A65" s="98"/>
      <c r="B65" s="137"/>
      <c r="C65" s="138"/>
      <c r="D65" s="139"/>
      <c r="E65" s="138"/>
      <c r="F65" s="140"/>
      <c r="G65" s="141"/>
      <c r="H65" s="141"/>
      <c r="I65" s="142"/>
      <c r="J65" s="143"/>
      <c r="K65" s="139"/>
      <c r="L65" s="164" t="str">
        <f t="shared" si="0"/>
        <v/>
      </c>
      <c r="M65" s="66">
        <f>SUM(J59:J75)/100</f>
        <v>0</v>
      </c>
      <c r="N65" s="34"/>
      <c r="O65" s="68"/>
      <c r="P65" s="68"/>
      <c r="Q65" s="68"/>
      <c r="R65" s="36">
        <f t="shared" si="3"/>
        <v>28348.636155563392</v>
      </c>
      <c r="S65" s="37" t="str">
        <f t="shared" si="4"/>
        <v/>
      </c>
      <c r="T65" s="37"/>
      <c r="U65" s="136"/>
      <c r="V65" s="136"/>
      <c r="W65" s="136"/>
      <c r="X65" s="41" t="str">
        <f>IF(I126&lt;&gt;0,I126,"")</f>
        <v/>
      </c>
      <c r="Y65" s="42" t="str">
        <f>IF(I126&lt;&gt;0,A126,"")</f>
        <v/>
      </c>
    </row>
    <row r="66" spans="1:25" ht="14.5">
      <c r="A66" s="69"/>
      <c r="B66" s="70"/>
      <c r="C66" s="71"/>
      <c r="D66" s="76"/>
      <c r="E66" s="71"/>
      <c r="F66" s="72"/>
      <c r="G66" s="73"/>
      <c r="H66" s="73"/>
      <c r="I66" s="74"/>
      <c r="J66" s="75"/>
      <c r="K66" s="76"/>
      <c r="L66" s="77" t="str">
        <f t="shared" si="0"/>
        <v/>
      </c>
      <c r="M66" s="388"/>
      <c r="N66" s="68"/>
      <c r="O66" s="68"/>
      <c r="P66" s="68"/>
      <c r="Q66" s="68"/>
      <c r="R66" s="36">
        <f t="shared" si="3"/>
        <v>28348.636155563392</v>
      </c>
      <c r="S66" s="37" t="str">
        <f t="shared" si="4"/>
        <v/>
      </c>
      <c r="T66" s="37"/>
      <c r="U66" s="136"/>
      <c r="V66" s="136"/>
      <c r="W66" s="136"/>
      <c r="X66" s="41" t="str">
        <f>IF(I128&lt;&gt;0,I128,"")</f>
        <v/>
      </c>
      <c r="Y66" s="42" t="str">
        <f>IF(I128&lt;&gt;0,A128,"")</f>
        <v/>
      </c>
    </row>
    <row r="67" spans="1:25" ht="14.5">
      <c r="A67" s="69"/>
      <c r="B67" s="70"/>
      <c r="C67" s="71"/>
      <c r="D67" s="76"/>
      <c r="E67" s="71"/>
      <c r="F67" s="72"/>
      <c r="G67" s="73"/>
      <c r="H67" s="73"/>
      <c r="I67" s="74"/>
      <c r="J67" s="75"/>
      <c r="K67" s="76"/>
      <c r="L67" s="75" t="str">
        <f t="shared" ref="L67:L130" si="5">IF(B67="Compra",(F67*G67)+10+(F67*G67*0.000325),"")</f>
        <v/>
      </c>
      <c r="M67" s="78"/>
      <c r="N67" s="68"/>
      <c r="O67" s="68"/>
      <c r="P67" s="68"/>
      <c r="Q67" s="68"/>
      <c r="R67" s="36">
        <f t="shared" si="3"/>
        <v>28348.636155563392</v>
      </c>
      <c r="S67" s="37" t="str">
        <f t="shared" si="4"/>
        <v/>
      </c>
      <c r="T67" s="37"/>
      <c r="U67" s="136"/>
      <c r="V67" s="136"/>
      <c r="W67" s="136"/>
      <c r="X67" s="41" t="str">
        <f>IF(I130&lt;&gt;0,I130,"")</f>
        <v/>
      </c>
      <c r="Y67" s="42" t="str">
        <f>IF(I130&lt;&gt;0,A130,"")</f>
        <v/>
      </c>
    </row>
    <row r="68" spans="1:25" ht="14.5">
      <c r="A68" s="165"/>
      <c r="B68" s="166"/>
      <c r="C68" s="167"/>
      <c r="D68" s="168"/>
      <c r="E68" s="167"/>
      <c r="F68" s="169"/>
      <c r="G68" s="170"/>
      <c r="H68" s="170"/>
      <c r="I68" s="171"/>
      <c r="J68" s="172"/>
      <c r="K68" s="168"/>
      <c r="L68" s="173" t="str">
        <f t="shared" si="5"/>
        <v/>
      </c>
      <c r="M68" s="78"/>
      <c r="N68" s="68"/>
      <c r="O68" s="68"/>
      <c r="P68" s="68"/>
      <c r="Q68" s="68"/>
      <c r="R68" s="36">
        <f t="shared" si="3"/>
        <v>28348.636155563392</v>
      </c>
      <c r="S68" s="37" t="str">
        <f t="shared" si="4"/>
        <v/>
      </c>
      <c r="T68" s="37"/>
      <c r="U68" s="136"/>
      <c r="V68" s="136"/>
      <c r="W68" s="136"/>
      <c r="X68" s="41" t="str">
        <f>IF(I132&lt;&gt;0,I132,"")</f>
        <v/>
      </c>
      <c r="Y68" s="42" t="str">
        <f>IF(I132&lt;&gt;0,A132,"")</f>
        <v/>
      </c>
    </row>
    <row r="69" spans="1:25" ht="14.5">
      <c r="A69" s="57"/>
      <c r="B69" s="58"/>
      <c r="C69" s="59"/>
      <c r="D69" s="64"/>
      <c r="E69" s="59"/>
      <c r="F69" s="60"/>
      <c r="G69" s="61"/>
      <c r="H69" s="61"/>
      <c r="I69" s="62"/>
      <c r="J69" s="63"/>
      <c r="K69" s="64"/>
      <c r="L69" s="67" t="str">
        <f t="shared" si="5"/>
        <v/>
      </c>
      <c r="M69" s="78"/>
      <c r="N69" s="68"/>
      <c r="O69" s="68"/>
      <c r="P69" s="68"/>
      <c r="Q69" s="68"/>
      <c r="R69" s="36">
        <f t="shared" si="3"/>
        <v>28348.636155563392</v>
      </c>
      <c r="S69" s="37" t="str">
        <f t="shared" si="4"/>
        <v/>
      </c>
      <c r="T69" s="37"/>
      <c r="U69" s="136"/>
      <c r="V69" s="136"/>
      <c r="W69" s="136"/>
      <c r="X69" s="41" t="str">
        <f>IF(I134&lt;&gt;0,I134,"")</f>
        <v/>
      </c>
      <c r="Y69" s="42" t="str">
        <f>IF(I134&lt;&gt;0,A134,"")</f>
        <v/>
      </c>
    </row>
    <row r="70" spans="1:25" ht="14.5">
      <c r="A70" s="57"/>
      <c r="B70" s="58"/>
      <c r="C70" s="59"/>
      <c r="D70" s="64"/>
      <c r="E70" s="59"/>
      <c r="F70" s="60"/>
      <c r="G70" s="61"/>
      <c r="H70" s="61"/>
      <c r="I70" s="62"/>
      <c r="J70" s="63"/>
      <c r="K70" s="64"/>
      <c r="L70" s="67" t="str">
        <f t="shared" si="5"/>
        <v/>
      </c>
      <c r="M70" s="78"/>
      <c r="N70" s="68"/>
      <c r="O70" s="68"/>
      <c r="P70" s="68"/>
      <c r="Q70" s="68"/>
      <c r="R70" s="36">
        <f t="shared" si="3"/>
        <v>28348.636155563392</v>
      </c>
      <c r="S70" s="37" t="str">
        <f t="shared" si="4"/>
        <v/>
      </c>
      <c r="T70" s="37"/>
      <c r="U70" s="136"/>
      <c r="V70" s="136"/>
      <c r="W70" s="136"/>
      <c r="X70" s="41" t="str">
        <f>IF(I136&lt;&gt;0,I136,"")</f>
        <v/>
      </c>
      <c r="Y70" s="42" t="str">
        <f>IF(I136&lt;&gt;0,A136,"")</f>
        <v/>
      </c>
    </row>
    <row r="71" spans="1:25" ht="14.5">
      <c r="A71" s="47"/>
      <c r="B71" s="48"/>
      <c r="C71" s="49"/>
      <c r="D71" s="54"/>
      <c r="E71" s="49"/>
      <c r="F71" s="50"/>
      <c r="G71" s="51"/>
      <c r="H71" s="51"/>
      <c r="I71" s="52"/>
      <c r="J71" s="53"/>
      <c r="K71" s="54"/>
      <c r="L71" s="174" t="str">
        <f t="shared" si="5"/>
        <v/>
      </c>
      <c r="M71" s="78"/>
      <c r="N71" s="68"/>
      <c r="O71" s="68"/>
      <c r="P71" s="68"/>
      <c r="Q71" s="68"/>
      <c r="R71" s="36">
        <f t="shared" si="3"/>
        <v>28348.636155563392</v>
      </c>
      <c r="S71" s="37" t="str">
        <f t="shared" si="4"/>
        <v/>
      </c>
      <c r="T71" s="37"/>
      <c r="U71" s="136"/>
      <c r="V71" s="136"/>
      <c r="W71" s="136"/>
      <c r="X71" s="41" t="str">
        <f>IF(I138&lt;&gt;0,I138,"")</f>
        <v/>
      </c>
      <c r="Y71" s="42" t="str">
        <f>IF(I138&lt;&gt;0,A138,"")</f>
        <v/>
      </c>
    </row>
    <row r="72" spans="1:25" ht="14.5">
      <c r="A72" s="47"/>
      <c r="B72" s="48"/>
      <c r="C72" s="49"/>
      <c r="D72" s="54"/>
      <c r="E72" s="49"/>
      <c r="F72" s="50"/>
      <c r="G72" s="51"/>
      <c r="H72" s="51"/>
      <c r="I72" s="52"/>
      <c r="J72" s="53"/>
      <c r="K72" s="54"/>
      <c r="L72" s="174" t="str">
        <f t="shared" si="5"/>
        <v/>
      </c>
      <c r="M72" s="78"/>
      <c r="N72" s="68"/>
      <c r="O72" s="68"/>
      <c r="P72" s="68"/>
      <c r="Q72" s="68"/>
      <c r="R72" s="36">
        <f t="shared" si="3"/>
        <v>28348.636155563392</v>
      </c>
      <c r="S72" s="37" t="str">
        <f t="shared" si="4"/>
        <v/>
      </c>
      <c r="T72" s="37"/>
      <c r="U72" s="136"/>
      <c r="V72" s="136"/>
      <c r="W72" s="136"/>
      <c r="X72" s="41" t="str">
        <f>IF(I140&lt;&gt;0,I140,"")</f>
        <v/>
      </c>
      <c r="Y72" s="42" t="str">
        <f>IF(I140&lt;&gt;0,A140,"")</f>
        <v/>
      </c>
    </row>
    <row r="73" spans="1:25" ht="14.5">
      <c r="A73" s="57"/>
      <c r="B73" s="58"/>
      <c r="C73" s="59"/>
      <c r="D73" s="64"/>
      <c r="E73" s="59"/>
      <c r="F73" s="60"/>
      <c r="G73" s="61"/>
      <c r="H73" s="61"/>
      <c r="I73" s="62"/>
      <c r="J73" s="63"/>
      <c r="K73" s="64"/>
      <c r="L73" s="67" t="str">
        <f t="shared" si="5"/>
        <v/>
      </c>
      <c r="M73" s="78"/>
      <c r="N73" s="68"/>
      <c r="O73" s="68"/>
      <c r="P73" s="68"/>
      <c r="Q73" s="68"/>
      <c r="R73" s="36">
        <f t="shared" si="3"/>
        <v>28348.636155563392</v>
      </c>
      <c r="S73" s="37" t="str">
        <f t="shared" si="4"/>
        <v/>
      </c>
      <c r="T73" s="37"/>
      <c r="U73" s="136"/>
      <c r="V73" s="136"/>
      <c r="W73" s="136"/>
      <c r="X73" s="41" t="str">
        <f>IF(I142&lt;&gt;0,I142,"")</f>
        <v/>
      </c>
      <c r="Y73" s="42" t="str">
        <f>IF(I142&lt;&gt;0,A142,"")</f>
        <v/>
      </c>
    </row>
    <row r="74" spans="1:25" ht="14.5">
      <c r="A74" s="57"/>
      <c r="B74" s="58"/>
      <c r="C74" s="59"/>
      <c r="D74" s="64"/>
      <c r="E74" s="59"/>
      <c r="F74" s="60"/>
      <c r="G74" s="61"/>
      <c r="H74" s="61"/>
      <c r="I74" s="62"/>
      <c r="J74" s="63"/>
      <c r="K74" s="64"/>
      <c r="L74" s="67" t="str">
        <f t="shared" si="5"/>
        <v/>
      </c>
      <c r="M74" s="78"/>
      <c r="N74" s="34"/>
      <c r="O74" s="68"/>
      <c r="P74" s="68"/>
      <c r="Q74" s="68"/>
      <c r="R74" s="36">
        <f t="shared" si="3"/>
        <v>28348.636155563392</v>
      </c>
      <c r="S74" s="37" t="str">
        <f t="shared" si="4"/>
        <v/>
      </c>
      <c r="T74" s="37"/>
      <c r="U74" s="136"/>
      <c r="V74" s="136"/>
      <c r="W74" s="136"/>
      <c r="X74" s="41" t="str">
        <f>IF(I144&lt;&gt;0,I144,"")</f>
        <v/>
      </c>
      <c r="Y74" s="42" t="str">
        <f>IF(I144&lt;&gt;0,A144,"")</f>
        <v/>
      </c>
    </row>
    <row r="75" spans="1:25" ht="14.5">
      <c r="A75" s="175"/>
      <c r="B75" s="176"/>
      <c r="C75" s="177"/>
      <c r="D75" s="178"/>
      <c r="E75" s="177"/>
      <c r="F75" s="179"/>
      <c r="G75" s="180"/>
      <c r="H75" s="180"/>
      <c r="I75" s="181"/>
      <c r="J75" s="182"/>
      <c r="K75" s="178"/>
      <c r="L75" s="183" t="str">
        <f t="shared" si="5"/>
        <v/>
      </c>
      <c r="M75" s="383"/>
      <c r="N75" s="34"/>
      <c r="O75" s="68"/>
      <c r="P75" s="68"/>
      <c r="Q75" s="68"/>
      <c r="R75" s="36">
        <f t="shared" si="3"/>
        <v>28348.636155563392</v>
      </c>
      <c r="S75" s="37" t="str">
        <f t="shared" si="4"/>
        <v/>
      </c>
      <c r="T75" s="37"/>
      <c r="U75" s="136"/>
      <c r="V75" s="136"/>
      <c r="W75" s="136"/>
      <c r="X75" s="41" t="str">
        <f>IF(I146&lt;&gt;0,I146,"")</f>
        <v/>
      </c>
      <c r="Y75" s="42" t="str">
        <f>IF(I146&lt;&gt;0,A146,"")</f>
        <v/>
      </c>
    </row>
    <row r="76" spans="1:25" ht="14.5">
      <c r="A76" s="184"/>
      <c r="B76" s="185"/>
      <c r="C76" s="186"/>
      <c r="D76" s="187"/>
      <c r="E76" s="186"/>
      <c r="F76" s="187"/>
      <c r="G76" s="188"/>
      <c r="H76" s="188"/>
      <c r="I76" s="189"/>
      <c r="J76" s="190"/>
      <c r="K76" s="191"/>
      <c r="L76" s="573" t="str">
        <f t="shared" si="5"/>
        <v/>
      </c>
      <c r="M76" s="33" t="s">
        <v>37</v>
      </c>
      <c r="N76" s="34"/>
      <c r="O76" s="68"/>
      <c r="P76" s="68"/>
      <c r="Q76" s="68"/>
      <c r="R76" s="36">
        <f t="shared" si="3"/>
        <v>28348.636155563392</v>
      </c>
      <c r="S76" s="37" t="str">
        <f t="shared" si="4"/>
        <v/>
      </c>
      <c r="T76" s="37"/>
      <c r="U76" s="136"/>
      <c r="V76" s="136"/>
      <c r="W76" s="136"/>
      <c r="X76" s="41" t="str">
        <f>IF(I148&lt;&gt;0,I148,"")</f>
        <v/>
      </c>
      <c r="Y76" s="42" t="str">
        <f>IF(I148&lt;&gt;0,A148,"")</f>
        <v/>
      </c>
    </row>
    <row r="77" spans="1:25" ht="14.5">
      <c r="A77" s="192"/>
      <c r="B77" s="193"/>
      <c r="C77" s="194"/>
      <c r="D77" s="195"/>
      <c r="E77" s="194"/>
      <c r="F77" s="196"/>
      <c r="G77" s="197"/>
      <c r="H77" s="197"/>
      <c r="I77" s="198"/>
      <c r="J77" s="199"/>
      <c r="K77" s="195"/>
      <c r="L77" s="200" t="str">
        <f t="shared" si="5"/>
        <v/>
      </c>
      <c r="M77" s="45" t="s">
        <v>21</v>
      </c>
      <c r="N77" s="34"/>
      <c r="O77" s="68"/>
      <c r="P77" s="68"/>
      <c r="Q77" s="68"/>
      <c r="R77" s="36">
        <f t="shared" si="3"/>
        <v>28348.636155563392</v>
      </c>
      <c r="S77" s="37" t="str">
        <f t="shared" si="4"/>
        <v/>
      </c>
      <c r="T77" s="37"/>
      <c r="U77" s="136"/>
      <c r="V77" s="136"/>
      <c r="W77" s="136"/>
      <c r="X77" s="41" t="str">
        <f>IF(I150&lt;&gt;0,I150,"")</f>
        <v/>
      </c>
      <c r="Y77" s="42" t="str">
        <f>IF(I150&lt;&gt;0,A150,"")</f>
        <v/>
      </c>
    </row>
    <row r="78" spans="1:25" ht="14.5">
      <c r="A78" s="192"/>
      <c r="B78" s="193"/>
      <c r="C78" s="194"/>
      <c r="D78" s="195"/>
      <c r="E78" s="194"/>
      <c r="F78" s="196"/>
      <c r="G78" s="197"/>
      <c r="H78" s="197"/>
      <c r="I78" s="198"/>
      <c r="J78" s="199"/>
      <c r="K78" s="195"/>
      <c r="L78" s="200" t="str">
        <f t="shared" si="5"/>
        <v/>
      </c>
      <c r="M78" s="56">
        <f>IFERROR(AVERAGE(L76:L106),0)</f>
        <v>0</v>
      </c>
      <c r="N78" s="34"/>
      <c r="O78" s="68"/>
      <c r="P78" s="68"/>
      <c r="Q78" s="68"/>
      <c r="R78" s="36">
        <f t="shared" si="3"/>
        <v>28348.636155563392</v>
      </c>
      <c r="S78" s="37" t="str">
        <f t="shared" si="4"/>
        <v/>
      </c>
      <c r="T78" s="37"/>
      <c r="U78" s="136"/>
      <c r="V78" s="136"/>
      <c r="W78" s="136"/>
      <c r="X78" s="41" t="str">
        <f>IF(I152&lt;&gt;0,I152,"")</f>
        <v/>
      </c>
      <c r="Y78" s="42" t="str">
        <f>IF(I152&lt;&gt;0,A152,"")</f>
        <v/>
      </c>
    </row>
    <row r="79" spans="1:25" ht="14.5">
      <c r="A79" s="201"/>
      <c r="B79" s="202"/>
      <c r="C79" s="203"/>
      <c r="D79" s="204"/>
      <c r="E79" s="203"/>
      <c r="F79" s="205"/>
      <c r="G79" s="206"/>
      <c r="H79" s="206"/>
      <c r="I79" s="207"/>
      <c r="J79" s="208"/>
      <c r="K79" s="204"/>
      <c r="L79" s="209" t="str">
        <f t="shared" si="5"/>
        <v/>
      </c>
      <c r="M79" s="45" t="s">
        <v>24</v>
      </c>
      <c r="N79" s="34"/>
      <c r="O79" s="68"/>
      <c r="P79" s="68"/>
      <c r="Q79" s="68"/>
      <c r="R79" s="36">
        <f t="shared" si="3"/>
        <v>28348.636155563392</v>
      </c>
      <c r="S79" s="37" t="str">
        <f t="shared" si="4"/>
        <v/>
      </c>
      <c r="T79" s="37"/>
      <c r="U79" s="136"/>
      <c r="V79" s="136"/>
      <c r="W79" s="136"/>
      <c r="X79" s="41" t="str">
        <f>IF(I154&lt;&gt;0,I154,"")</f>
        <v/>
      </c>
      <c r="Y79" s="42" t="str">
        <f>IF(I154&lt;&gt;0,A154,"")</f>
        <v/>
      </c>
    </row>
    <row r="80" spans="1:25" ht="14.5">
      <c r="A80" s="201"/>
      <c r="B80" s="202"/>
      <c r="C80" s="203"/>
      <c r="D80" s="204"/>
      <c r="E80" s="203"/>
      <c r="F80" s="205"/>
      <c r="G80" s="206"/>
      <c r="H80" s="206"/>
      <c r="I80" s="207"/>
      <c r="J80" s="208"/>
      <c r="K80" s="204"/>
      <c r="L80" s="209" t="str">
        <f t="shared" si="5"/>
        <v/>
      </c>
      <c r="M80" s="56">
        <f>SUM(I76:I106)</f>
        <v>0</v>
      </c>
      <c r="N80" s="34"/>
      <c r="O80" s="68"/>
      <c r="P80" s="68"/>
      <c r="Q80" s="68"/>
      <c r="R80" s="36">
        <f t="shared" si="3"/>
        <v>28348.636155563392</v>
      </c>
      <c r="S80" s="37" t="str">
        <f t="shared" si="4"/>
        <v/>
      </c>
      <c r="T80" s="37"/>
      <c r="U80" s="136"/>
      <c r="V80" s="136"/>
      <c r="W80" s="136"/>
      <c r="X80" s="41" t="str">
        <f>IF(I156&lt;&gt;0,I156,"")</f>
        <v/>
      </c>
      <c r="Y80" s="42" t="str">
        <f>IF(I156&lt;&gt;0,A156,"")</f>
        <v/>
      </c>
    </row>
    <row r="81" spans="1:25" ht="14.5">
      <c r="A81" s="192"/>
      <c r="B81" s="193"/>
      <c r="C81" s="194"/>
      <c r="D81" s="195"/>
      <c r="E81" s="194"/>
      <c r="F81" s="196"/>
      <c r="G81" s="197"/>
      <c r="H81" s="197"/>
      <c r="I81" s="198"/>
      <c r="J81" s="199"/>
      <c r="K81" s="195"/>
      <c r="L81" s="200" t="str">
        <f t="shared" si="5"/>
        <v/>
      </c>
      <c r="M81" s="45" t="s">
        <v>27</v>
      </c>
      <c r="N81" s="34"/>
      <c r="O81" s="68"/>
      <c r="P81" s="68"/>
      <c r="Q81" s="68"/>
      <c r="R81" s="36">
        <f>R80*((J81/100)+1)</f>
        <v>28348.636155563392</v>
      </c>
      <c r="S81" s="37"/>
      <c r="T81" s="37"/>
      <c r="U81" s="136"/>
      <c r="V81" s="136"/>
      <c r="W81" s="136"/>
      <c r="X81" s="41" t="str">
        <f>IF(I158&lt;&gt;0,I158,"")</f>
        <v/>
      </c>
      <c r="Y81" s="42" t="str">
        <f>IF(I158&lt;&gt;0,A158,"")</f>
        <v/>
      </c>
    </row>
    <row r="82" spans="1:25" ht="14.5">
      <c r="A82" s="192"/>
      <c r="B82" s="193"/>
      <c r="C82" s="194"/>
      <c r="D82" s="195"/>
      <c r="E82" s="194"/>
      <c r="F82" s="196"/>
      <c r="G82" s="197"/>
      <c r="H82" s="197"/>
      <c r="I82" s="198"/>
      <c r="J82" s="199"/>
      <c r="K82" s="195"/>
      <c r="L82" s="209" t="str">
        <f t="shared" si="5"/>
        <v/>
      </c>
      <c r="M82" s="66">
        <f>SUM(J76:J106)/100</f>
        <v>0</v>
      </c>
      <c r="N82" s="34"/>
      <c r="O82" s="68"/>
      <c r="P82" s="68"/>
      <c r="Q82" s="68"/>
      <c r="R82" s="36">
        <f t="shared" ref="R82:R106" si="6">R81*((J82/100)+1)</f>
        <v>28348.636155563392</v>
      </c>
      <c r="S82" s="37" t="str">
        <f t="shared" ref="S82:S217" si="7">IF(R82&lt;&gt;R81,R82-R81,"")</f>
        <v/>
      </c>
      <c r="T82" s="37"/>
      <c r="U82" s="136"/>
      <c r="V82" s="136"/>
      <c r="W82" s="136"/>
      <c r="X82" s="41" t="str">
        <f>IF(I160&lt;&gt;0,I160,"")</f>
        <v/>
      </c>
      <c r="Y82" s="42" t="str">
        <f>IF(I160&lt;&gt;0,A160,"")</f>
        <v/>
      </c>
    </row>
    <row r="83" spans="1:25" ht="14.5">
      <c r="A83" s="201"/>
      <c r="B83" s="202"/>
      <c r="C83" s="203"/>
      <c r="D83" s="204"/>
      <c r="E83" s="203"/>
      <c r="F83" s="205"/>
      <c r="G83" s="206"/>
      <c r="H83" s="206"/>
      <c r="I83" s="207"/>
      <c r="J83" s="208"/>
      <c r="K83" s="204"/>
      <c r="L83" s="210" t="str">
        <f t="shared" si="5"/>
        <v/>
      </c>
      <c r="M83" s="388"/>
      <c r="N83" s="68"/>
      <c r="O83" s="68"/>
      <c r="P83" s="68"/>
      <c r="Q83" s="68"/>
      <c r="R83" s="36">
        <f t="shared" si="6"/>
        <v>28348.636155563392</v>
      </c>
      <c r="S83" s="37" t="str">
        <f t="shared" si="7"/>
        <v/>
      </c>
      <c r="T83" s="37"/>
      <c r="U83" s="136"/>
      <c r="V83" s="136"/>
      <c r="W83" s="136"/>
      <c r="X83" s="41" t="str">
        <f>IF(I162&lt;&gt;0,I162,"")</f>
        <v/>
      </c>
      <c r="Y83" s="42" t="str">
        <f>IF(I162&lt;&gt;0,A162,"")</f>
        <v/>
      </c>
    </row>
    <row r="84" spans="1:25" ht="14.5">
      <c r="A84" s="201"/>
      <c r="B84" s="202"/>
      <c r="C84" s="203"/>
      <c r="D84" s="204"/>
      <c r="E84" s="203"/>
      <c r="F84" s="205"/>
      <c r="G84" s="206"/>
      <c r="H84" s="206"/>
      <c r="I84" s="207"/>
      <c r="J84" s="208"/>
      <c r="K84" s="204"/>
      <c r="L84" s="210" t="str">
        <f t="shared" si="5"/>
        <v/>
      </c>
      <c r="M84" s="78"/>
      <c r="N84" s="68"/>
      <c r="O84" s="68"/>
      <c r="P84" s="68"/>
      <c r="Q84" s="68"/>
      <c r="R84" s="36">
        <f t="shared" si="6"/>
        <v>28348.636155563392</v>
      </c>
      <c r="S84" s="37" t="str">
        <f t="shared" si="7"/>
        <v/>
      </c>
      <c r="T84" s="37"/>
      <c r="U84" s="136"/>
      <c r="V84" s="136"/>
      <c r="W84" s="136"/>
      <c r="X84" s="41" t="str">
        <f>IF(I164&lt;&gt;0,I164,"")</f>
        <v/>
      </c>
      <c r="Y84" s="42" t="str">
        <f>IF(I164&lt;&gt;0,A164,"")</f>
        <v/>
      </c>
    </row>
    <row r="85" spans="1:25" ht="14.5">
      <c r="A85" s="211"/>
      <c r="B85" s="212"/>
      <c r="C85" s="213"/>
      <c r="D85" s="214"/>
      <c r="E85" s="213"/>
      <c r="F85" s="215"/>
      <c r="G85" s="216"/>
      <c r="H85" s="216"/>
      <c r="I85" s="217"/>
      <c r="J85" s="218"/>
      <c r="K85" s="214"/>
      <c r="L85" s="219" t="str">
        <f t="shared" si="5"/>
        <v/>
      </c>
      <c r="M85" s="78"/>
      <c r="N85" s="68"/>
      <c r="O85" s="68"/>
      <c r="P85" s="68"/>
      <c r="Q85" s="68"/>
      <c r="R85" s="36">
        <f t="shared" si="6"/>
        <v>28348.636155563392</v>
      </c>
      <c r="S85" s="37" t="str">
        <f t="shared" si="7"/>
        <v/>
      </c>
      <c r="T85" s="37"/>
      <c r="U85" s="136"/>
      <c r="V85" s="136"/>
      <c r="W85" s="136"/>
      <c r="X85" s="41" t="str">
        <f>IF(I166&lt;&gt;0,I166,"")</f>
        <v/>
      </c>
      <c r="Y85" s="42" t="str">
        <f>IF(I166&lt;&gt;0,A166,"")</f>
        <v/>
      </c>
    </row>
    <row r="86" spans="1:25" ht="14.5">
      <c r="A86" s="211"/>
      <c r="B86" s="212"/>
      <c r="C86" s="213"/>
      <c r="D86" s="214"/>
      <c r="E86" s="213"/>
      <c r="F86" s="215"/>
      <c r="G86" s="216"/>
      <c r="H86" s="216"/>
      <c r="I86" s="217"/>
      <c r="J86" s="218"/>
      <c r="K86" s="214"/>
      <c r="L86" s="219" t="str">
        <f t="shared" si="5"/>
        <v/>
      </c>
      <c r="M86" s="78"/>
      <c r="N86" s="68"/>
      <c r="O86" s="68"/>
      <c r="P86" s="68"/>
      <c r="Q86" s="68"/>
      <c r="R86" s="36">
        <f t="shared" si="6"/>
        <v>28348.636155563392</v>
      </c>
      <c r="S86" s="37" t="str">
        <f t="shared" si="7"/>
        <v/>
      </c>
      <c r="T86" s="37"/>
      <c r="U86" s="136"/>
      <c r="V86" s="136"/>
      <c r="W86" s="136"/>
      <c r="X86" s="41" t="str">
        <f>IF(I168&lt;&gt;0,I168,"")</f>
        <v/>
      </c>
      <c r="Y86" s="42" t="str">
        <f>IF(I168&lt;&gt;0,A168,"")</f>
        <v/>
      </c>
    </row>
    <row r="87" spans="1:25" ht="14.5">
      <c r="A87" s="192"/>
      <c r="B87" s="193"/>
      <c r="C87" s="194"/>
      <c r="D87" s="195"/>
      <c r="E87" s="194"/>
      <c r="F87" s="196"/>
      <c r="G87" s="197"/>
      <c r="H87" s="197"/>
      <c r="I87" s="198"/>
      <c r="J87" s="199"/>
      <c r="K87" s="195"/>
      <c r="L87" s="220" t="str">
        <f t="shared" si="5"/>
        <v/>
      </c>
      <c r="M87" s="78"/>
      <c r="N87" s="68"/>
      <c r="O87" s="68"/>
      <c r="P87" s="68"/>
      <c r="Q87" s="68"/>
      <c r="R87" s="36">
        <f t="shared" si="6"/>
        <v>28348.636155563392</v>
      </c>
      <c r="S87" s="37" t="str">
        <f t="shared" si="7"/>
        <v/>
      </c>
      <c r="T87" s="37"/>
      <c r="U87" s="136"/>
      <c r="V87" s="136"/>
      <c r="W87" s="136"/>
      <c r="X87" s="41" t="str">
        <f>IF(I170&lt;&gt;0,I170,"")</f>
        <v/>
      </c>
      <c r="Y87" s="42" t="str">
        <f>IF(I170&lt;&gt;0,A170,"")</f>
        <v/>
      </c>
    </row>
    <row r="88" spans="1:25" ht="14.5">
      <c r="A88" s="192"/>
      <c r="B88" s="193"/>
      <c r="C88" s="194"/>
      <c r="D88" s="195"/>
      <c r="E88" s="194"/>
      <c r="F88" s="196"/>
      <c r="G88" s="197"/>
      <c r="H88" s="197"/>
      <c r="I88" s="198"/>
      <c r="J88" s="199"/>
      <c r="K88" s="195"/>
      <c r="L88" s="210" t="str">
        <f t="shared" si="5"/>
        <v/>
      </c>
      <c r="M88" s="78"/>
      <c r="N88" s="68"/>
      <c r="O88" s="68"/>
      <c r="P88" s="68"/>
      <c r="Q88" s="68"/>
      <c r="R88" s="36">
        <f t="shared" si="6"/>
        <v>28348.636155563392</v>
      </c>
      <c r="S88" s="37" t="str">
        <f t="shared" si="7"/>
        <v/>
      </c>
      <c r="T88" s="37"/>
      <c r="U88" s="136"/>
      <c r="V88" s="136"/>
      <c r="W88" s="136"/>
      <c r="X88" s="41" t="str">
        <f>IF(I172&lt;&gt;0,I172,"")</f>
        <v/>
      </c>
      <c r="Y88" s="42" t="str">
        <f>IF(I172&lt;&gt;0,A172,"")</f>
        <v/>
      </c>
    </row>
    <row r="89" spans="1:25" ht="14.5">
      <c r="A89" s="211"/>
      <c r="B89" s="212"/>
      <c r="C89" s="213"/>
      <c r="D89" s="214"/>
      <c r="E89" s="213"/>
      <c r="F89" s="215"/>
      <c r="G89" s="216"/>
      <c r="H89" s="216"/>
      <c r="I89" s="217"/>
      <c r="J89" s="218"/>
      <c r="K89" s="214"/>
      <c r="L89" s="219" t="str">
        <f t="shared" si="5"/>
        <v/>
      </c>
      <c r="M89" s="78"/>
      <c r="N89" s="68"/>
      <c r="O89" s="68"/>
      <c r="P89" s="68"/>
      <c r="Q89" s="68"/>
      <c r="R89" s="36">
        <f t="shared" si="6"/>
        <v>28348.636155563392</v>
      </c>
      <c r="S89" s="37" t="str">
        <f t="shared" si="7"/>
        <v/>
      </c>
      <c r="T89" s="37"/>
      <c r="U89" s="136"/>
      <c r="V89" s="136"/>
      <c r="W89" s="136"/>
      <c r="X89" s="41" t="str">
        <f>IF(I174&lt;&gt;0,I174,"")</f>
        <v/>
      </c>
      <c r="Y89" s="42" t="str">
        <f>IF(I174&lt;&gt;0,A174,"")</f>
        <v/>
      </c>
    </row>
    <row r="90" spans="1:25" ht="14.5">
      <c r="A90" s="211"/>
      <c r="B90" s="212"/>
      <c r="C90" s="213"/>
      <c r="D90" s="214"/>
      <c r="E90" s="213"/>
      <c r="F90" s="215"/>
      <c r="G90" s="216"/>
      <c r="H90" s="216"/>
      <c r="I90" s="217"/>
      <c r="J90" s="218"/>
      <c r="K90" s="214"/>
      <c r="L90" s="219" t="str">
        <f t="shared" si="5"/>
        <v/>
      </c>
      <c r="M90" s="78"/>
      <c r="N90" s="68"/>
      <c r="O90" s="68"/>
      <c r="P90" s="68"/>
      <c r="Q90" s="68"/>
      <c r="R90" s="36">
        <f t="shared" si="6"/>
        <v>28348.636155563392</v>
      </c>
      <c r="S90" s="37" t="str">
        <f t="shared" si="7"/>
        <v/>
      </c>
      <c r="T90" s="37"/>
      <c r="X90" s="41" t="str">
        <f>IF(I176&lt;&gt;0,I176,"")</f>
        <v/>
      </c>
      <c r="Y90" s="42" t="str">
        <f>IF(I176&lt;&gt;0,A176,"")</f>
        <v/>
      </c>
    </row>
    <row r="91" spans="1:25" ht="14.5">
      <c r="A91" s="79"/>
      <c r="B91" s="80"/>
      <c r="C91" s="81"/>
      <c r="D91" s="82"/>
      <c r="E91" s="81"/>
      <c r="F91" s="83"/>
      <c r="G91" s="84"/>
      <c r="H91" s="84"/>
      <c r="I91" s="85"/>
      <c r="J91" s="86"/>
      <c r="K91" s="82"/>
      <c r="L91" s="87" t="str">
        <f t="shared" si="5"/>
        <v/>
      </c>
      <c r="M91" s="78"/>
      <c r="N91" s="68"/>
      <c r="O91" s="78"/>
      <c r="P91" s="78"/>
      <c r="Q91" s="78"/>
      <c r="R91" s="36">
        <f t="shared" si="6"/>
        <v>28348.636155563392</v>
      </c>
      <c r="S91" s="37" t="str">
        <f t="shared" si="7"/>
        <v/>
      </c>
      <c r="T91" s="37"/>
      <c r="X91" s="41" t="str">
        <f>IF(I178&lt;&gt;0,I178,"")</f>
        <v/>
      </c>
      <c r="Y91" s="42" t="str">
        <f>IF(I178&lt;&gt;0,A178,"")</f>
        <v/>
      </c>
    </row>
    <row r="92" spans="1:25" ht="14.5">
      <c r="A92" s="79"/>
      <c r="B92" s="80"/>
      <c r="C92" s="81"/>
      <c r="D92" s="82"/>
      <c r="E92" s="81"/>
      <c r="F92" s="83"/>
      <c r="G92" s="84"/>
      <c r="H92" s="84"/>
      <c r="I92" s="85"/>
      <c r="J92" s="86"/>
      <c r="K92" s="82"/>
      <c r="L92" s="87" t="str">
        <f t="shared" si="5"/>
        <v/>
      </c>
      <c r="M92" s="78"/>
      <c r="N92" s="68"/>
      <c r="O92" s="68"/>
      <c r="P92" s="68"/>
      <c r="Q92" s="68"/>
      <c r="R92" s="36">
        <f t="shared" si="6"/>
        <v>28348.636155563392</v>
      </c>
      <c r="S92" s="37" t="str">
        <f t="shared" si="7"/>
        <v/>
      </c>
      <c r="T92" s="37"/>
      <c r="X92" s="41" t="str">
        <f>IF(I182&lt;&gt;0,I182,"")</f>
        <v/>
      </c>
      <c r="Y92" s="42" t="str">
        <f>IF(I182&lt;&gt;0,A182,"")</f>
        <v/>
      </c>
    </row>
    <row r="93" spans="1:25" ht="14.5">
      <c r="A93" s="211"/>
      <c r="B93" s="212"/>
      <c r="C93" s="213"/>
      <c r="D93" s="214"/>
      <c r="E93" s="213"/>
      <c r="F93" s="215"/>
      <c r="G93" s="216"/>
      <c r="H93" s="216"/>
      <c r="I93" s="217"/>
      <c r="J93" s="218"/>
      <c r="K93" s="214"/>
      <c r="L93" s="219" t="str">
        <f t="shared" si="5"/>
        <v/>
      </c>
      <c r="M93" s="78"/>
      <c r="N93" s="68"/>
      <c r="O93" s="78"/>
      <c r="P93" s="78"/>
      <c r="Q93" s="78"/>
      <c r="R93" s="36">
        <f t="shared" si="6"/>
        <v>28348.636155563392</v>
      </c>
      <c r="S93" s="37" t="str">
        <f t="shared" si="7"/>
        <v/>
      </c>
      <c r="T93" s="37"/>
      <c r="X93" s="41" t="str">
        <f>IF(I184&lt;&gt;0,I184,"")</f>
        <v/>
      </c>
      <c r="Y93" s="42" t="str">
        <f>IF(I184&lt;&gt;0,A184,"")</f>
        <v/>
      </c>
    </row>
    <row r="94" spans="1:25" ht="14.5">
      <c r="A94" s="211"/>
      <c r="B94" s="212"/>
      <c r="C94" s="213"/>
      <c r="D94" s="214"/>
      <c r="E94" s="213"/>
      <c r="F94" s="215"/>
      <c r="G94" s="216"/>
      <c r="H94" s="216"/>
      <c r="I94" s="217"/>
      <c r="J94" s="218"/>
      <c r="K94" s="214"/>
      <c r="L94" s="219" t="str">
        <f t="shared" si="5"/>
        <v/>
      </c>
      <c r="M94" s="78"/>
      <c r="N94" s="68"/>
      <c r="O94" s="68"/>
      <c r="P94" s="68"/>
      <c r="Q94" s="68"/>
      <c r="R94" s="36">
        <f t="shared" si="6"/>
        <v>28348.636155563392</v>
      </c>
      <c r="S94" s="37" t="str">
        <f t="shared" si="7"/>
        <v/>
      </c>
      <c r="T94" s="37"/>
      <c r="X94" s="41" t="str">
        <f>IF(I186&lt;&gt;0,I186,"")</f>
        <v/>
      </c>
      <c r="Y94" s="42" t="str">
        <f>IF(I186&lt;&gt;0,A186,"")</f>
        <v/>
      </c>
    </row>
    <row r="95" spans="1:25" ht="14.5">
      <c r="A95" s="79"/>
      <c r="B95" s="80"/>
      <c r="C95" s="81"/>
      <c r="D95" s="82"/>
      <c r="E95" s="81"/>
      <c r="F95" s="83"/>
      <c r="G95" s="84"/>
      <c r="H95" s="84"/>
      <c r="I95" s="85"/>
      <c r="J95" s="86"/>
      <c r="K95" s="82"/>
      <c r="L95" s="87" t="str">
        <f t="shared" si="5"/>
        <v/>
      </c>
      <c r="M95" s="78"/>
      <c r="N95" s="68"/>
      <c r="O95" s="78"/>
      <c r="P95" s="78"/>
      <c r="Q95" s="78"/>
      <c r="R95" s="36">
        <f t="shared" si="6"/>
        <v>28348.636155563392</v>
      </c>
      <c r="S95" s="37" t="str">
        <f t="shared" si="7"/>
        <v/>
      </c>
      <c r="T95" s="37"/>
      <c r="X95" s="41" t="str">
        <f>IF(I188&lt;&gt;0,I188,"")</f>
        <v/>
      </c>
      <c r="Y95" s="42" t="str">
        <f>IF(I188&lt;&gt;0,A188,"")</f>
        <v/>
      </c>
    </row>
    <row r="96" spans="1:25" ht="14.5">
      <c r="A96" s="79"/>
      <c r="B96" s="80"/>
      <c r="C96" s="81"/>
      <c r="D96" s="82"/>
      <c r="E96" s="81"/>
      <c r="F96" s="83"/>
      <c r="G96" s="84"/>
      <c r="H96" s="84"/>
      <c r="I96" s="85"/>
      <c r="J96" s="86"/>
      <c r="K96" s="82"/>
      <c r="L96" s="87" t="str">
        <f t="shared" si="5"/>
        <v/>
      </c>
      <c r="M96" s="78"/>
      <c r="N96" s="68"/>
      <c r="O96" s="68"/>
      <c r="P96" s="68"/>
      <c r="Q96" s="68"/>
      <c r="R96" s="36">
        <f t="shared" si="6"/>
        <v>28348.636155563392</v>
      </c>
      <c r="S96" s="37" t="str">
        <f t="shared" si="7"/>
        <v/>
      </c>
      <c r="T96" s="37"/>
      <c r="X96" s="41" t="str">
        <f>IF(I190&lt;&gt;0,I190,"")</f>
        <v/>
      </c>
      <c r="Y96" s="42" t="str">
        <f>IF(I190&lt;&gt;0,A190,"")</f>
        <v/>
      </c>
    </row>
    <row r="97" spans="1:25" ht="14.5">
      <c r="A97" s="79"/>
      <c r="B97" s="80"/>
      <c r="C97" s="81"/>
      <c r="D97" s="82"/>
      <c r="E97" s="81"/>
      <c r="F97" s="83"/>
      <c r="G97" s="84"/>
      <c r="H97" s="84"/>
      <c r="I97" s="85"/>
      <c r="J97" s="86"/>
      <c r="K97" s="82"/>
      <c r="L97" s="87" t="str">
        <f t="shared" si="5"/>
        <v/>
      </c>
      <c r="M97" s="78"/>
      <c r="N97" s="68"/>
      <c r="O97" s="78"/>
      <c r="P97" s="78"/>
      <c r="Q97" s="78"/>
      <c r="R97" s="36">
        <f t="shared" si="6"/>
        <v>28348.636155563392</v>
      </c>
      <c r="S97" s="37" t="str">
        <f t="shared" si="7"/>
        <v/>
      </c>
      <c r="T97" s="37"/>
      <c r="X97" s="41" t="str">
        <f>IF(I192&lt;&gt;0,I192,"")</f>
        <v/>
      </c>
      <c r="Y97" s="42" t="str">
        <f>IF(I192&lt;&gt;0,A192,"")</f>
        <v/>
      </c>
    </row>
    <row r="98" spans="1:25" ht="14.5">
      <c r="A98" s="98"/>
      <c r="B98" s="137"/>
      <c r="C98" s="138"/>
      <c r="D98" s="139"/>
      <c r="E98" s="138"/>
      <c r="F98" s="140"/>
      <c r="G98" s="141"/>
      <c r="H98" s="141"/>
      <c r="I98" s="142"/>
      <c r="J98" s="143"/>
      <c r="K98" s="139"/>
      <c r="L98" s="144" t="str">
        <f t="shared" si="5"/>
        <v/>
      </c>
      <c r="M98" s="78"/>
      <c r="N98" s="68"/>
      <c r="O98" s="68"/>
      <c r="P98" s="68"/>
      <c r="Q98" s="68"/>
      <c r="R98" s="36">
        <f t="shared" si="6"/>
        <v>28348.636155563392</v>
      </c>
      <c r="S98" s="37" t="str">
        <f t="shared" si="7"/>
        <v/>
      </c>
      <c r="T98" s="37"/>
      <c r="X98" s="41" t="str">
        <f>IF(I194&lt;&gt;0,I194,"")</f>
        <v/>
      </c>
      <c r="Y98" s="42" t="str">
        <f>IF(I194&lt;&gt;0,A194,"")</f>
        <v/>
      </c>
    </row>
    <row r="99" spans="1:25" ht="14.5">
      <c r="A99" s="98"/>
      <c r="B99" s="137"/>
      <c r="C99" s="138"/>
      <c r="D99" s="139"/>
      <c r="E99" s="138"/>
      <c r="F99" s="140"/>
      <c r="G99" s="141"/>
      <c r="H99" s="141"/>
      <c r="I99" s="142"/>
      <c r="J99" s="143"/>
      <c r="K99" s="139"/>
      <c r="L99" s="144" t="str">
        <f t="shared" si="5"/>
        <v/>
      </c>
      <c r="M99" s="78"/>
      <c r="N99" s="68"/>
      <c r="O99" s="221"/>
      <c r="P99" s="221"/>
      <c r="Q99" s="221"/>
      <c r="R99" s="36">
        <f t="shared" si="6"/>
        <v>28348.636155563392</v>
      </c>
      <c r="S99" s="37" t="str">
        <f t="shared" si="7"/>
        <v/>
      </c>
      <c r="T99" s="37"/>
      <c r="U99" s="222"/>
      <c r="V99" s="222"/>
      <c r="W99" s="222"/>
      <c r="X99" s="41" t="str">
        <f>IF(I196&lt;&gt;0,I196,"")</f>
        <v/>
      </c>
      <c r="Y99" s="42" t="str">
        <f>IF(I196&lt;&gt;0,A196,"")</f>
        <v/>
      </c>
    </row>
    <row r="100" spans="1:25" ht="14.5">
      <c r="A100" s="211"/>
      <c r="B100" s="212"/>
      <c r="C100" s="213"/>
      <c r="D100" s="214"/>
      <c r="E100" s="213"/>
      <c r="F100" s="215"/>
      <c r="G100" s="216"/>
      <c r="H100" s="216"/>
      <c r="I100" s="217"/>
      <c r="J100" s="218"/>
      <c r="K100" s="214"/>
      <c r="L100" s="219" t="str">
        <f t="shared" si="5"/>
        <v/>
      </c>
      <c r="M100" s="78"/>
      <c r="N100" s="68"/>
      <c r="O100" s="68"/>
      <c r="P100" s="68"/>
      <c r="Q100" s="68"/>
      <c r="R100" s="36">
        <f t="shared" si="6"/>
        <v>28348.636155563392</v>
      </c>
      <c r="S100" s="37" t="str">
        <f t="shared" si="7"/>
        <v/>
      </c>
      <c r="T100" s="37"/>
      <c r="U100" s="222"/>
      <c r="V100" s="222"/>
      <c r="W100" s="222"/>
      <c r="X100" s="41" t="str">
        <f>IF(I198&lt;&gt;0,I198,"")</f>
        <v/>
      </c>
      <c r="Y100" s="42" t="str">
        <f>IF(I198&lt;&gt;0,A198,"")</f>
        <v/>
      </c>
    </row>
    <row r="101" spans="1:25" ht="14.5">
      <c r="A101" s="211"/>
      <c r="B101" s="212"/>
      <c r="C101" s="213"/>
      <c r="D101" s="214"/>
      <c r="E101" s="213"/>
      <c r="F101" s="215"/>
      <c r="G101" s="216"/>
      <c r="H101" s="216"/>
      <c r="I101" s="217"/>
      <c r="J101" s="218"/>
      <c r="K101" s="214"/>
      <c r="L101" s="219" t="str">
        <f t="shared" si="5"/>
        <v/>
      </c>
      <c r="M101" s="78"/>
      <c r="N101" s="68"/>
      <c r="O101" s="221"/>
      <c r="P101" s="221"/>
      <c r="Q101" s="221"/>
      <c r="R101" s="36">
        <f t="shared" si="6"/>
        <v>28348.636155563392</v>
      </c>
      <c r="S101" s="37" t="str">
        <f t="shared" si="7"/>
        <v/>
      </c>
      <c r="T101" s="37"/>
      <c r="U101" s="222"/>
      <c r="V101" s="222"/>
      <c r="W101" s="222"/>
      <c r="X101" s="41" t="str">
        <f>IF(I200&lt;&gt;0,I200,"")</f>
        <v/>
      </c>
      <c r="Y101" s="42" t="str">
        <f>IF(I200&lt;&gt;0,A200,"")</f>
        <v/>
      </c>
    </row>
    <row r="102" spans="1:25" ht="14.5">
      <c r="A102" s="98"/>
      <c r="B102" s="137"/>
      <c r="C102" s="138"/>
      <c r="D102" s="139"/>
      <c r="E102" s="138"/>
      <c r="F102" s="140"/>
      <c r="G102" s="141"/>
      <c r="H102" s="141"/>
      <c r="I102" s="142"/>
      <c r="J102" s="143"/>
      <c r="K102" s="139"/>
      <c r="L102" s="144" t="str">
        <f t="shared" si="5"/>
        <v/>
      </c>
      <c r="M102" s="78"/>
      <c r="N102" s="68"/>
      <c r="O102" s="221"/>
      <c r="P102" s="221"/>
      <c r="Q102" s="221"/>
      <c r="R102" s="36">
        <f t="shared" si="6"/>
        <v>28348.636155563392</v>
      </c>
      <c r="S102" s="37" t="str">
        <f t="shared" si="7"/>
        <v/>
      </c>
      <c r="T102" s="37"/>
      <c r="U102" s="222"/>
      <c r="V102" s="222"/>
      <c r="W102" s="222"/>
      <c r="X102" s="41" t="str">
        <f>IF(I202&lt;&gt;0,I202,"")</f>
        <v/>
      </c>
      <c r="Y102" s="42" t="str">
        <f>IF(I202&lt;&gt;0,A202,"")</f>
        <v/>
      </c>
    </row>
    <row r="103" spans="1:25" ht="14.5">
      <c r="A103" s="98"/>
      <c r="B103" s="137"/>
      <c r="C103" s="138"/>
      <c r="D103" s="139"/>
      <c r="E103" s="138"/>
      <c r="F103" s="140"/>
      <c r="G103" s="141"/>
      <c r="H103" s="141"/>
      <c r="I103" s="142"/>
      <c r="J103" s="143"/>
      <c r="K103" s="139"/>
      <c r="L103" s="144" t="str">
        <f t="shared" si="5"/>
        <v/>
      </c>
      <c r="M103" s="78"/>
      <c r="N103" s="68"/>
      <c r="O103" s="221"/>
      <c r="P103" s="221"/>
      <c r="Q103" s="221"/>
      <c r="R103" s="36">
        <f t="shared" si="6"/>
        <v>28348.636155563392</v>
      </c>
      <c r="S103" s="37" t="str">
        <f t="shared" si="7"/>
        <v/>
      </c>
      <c r="T103" s="37"/>
      <c r="U103" s="222"/>
      <c r="V103" s="222"/>
      <c r="W103" s="222"/>
      <c r="X103" s="41" t="str">
        <f>IF(I204&lt;&gt;0,I204,"")</f>
        <v/>
      </c>
      <c r="Y103" s="42" t="str">
        <f>IF(I204&lt;&gt;0,A204,"")</f>
        <v/>
      </c>
    </row>
    <row r="104" spans="1:25" ht="14.5">
      <c r="A104" s="223"/>
      <c r="B104" s="224"/>
      <c r="C104" s="225"/>
      <c r="D104" s="226"/>
      <c r="E104" s="225"/>
      <c r="F104" s="226"/>
      <c r="G104" s="227"/>
      <c r="H104" s="227"/>
      <c r="I104" s="228"/>
      <c r="J104" s="229"/>
      <c r="K104" s="230"/>
      <c r="L104" s="231" t="str">
        <f t="shared" si="5"/>
        <v/>
      </c>
      <c r="M104" s="78"/>
      <c r="N104" s="34"/>
      <c r="O104" s="221"/>
      <c r="P104" s="221"/>
      <c r="Q104" s="221"/>
      <c r="R104" s="36">
        <f t="shared" si="6"/>
        <v>28348.636155563392</v>
      </c>
      <c r="S104" s="37" t="str">
        <f t="shared" si="7"/>
        <v/>
      </c>
      <c r="T104" s="37"/>
      <c r="U104" s="222"/>
      <c r="V104" s="222"/>
      <c r="W104" s="222"/>
      <c r="X104" s="232" t="str">
        <f>IF(I206&lt;&gt;0,I206,"")</f>
        <v/>
      </c>
      <c r="Y104" s="42" t="str">
        <f>IF(I206&lt;&gt;0,A206,"")</f>
        <v/>
      </c>
    </row>
    <row r="105" spans="1:25" ht="14.5">
      <c r="A105" s="223"/>
      <c r="B105" s="224"/>
      <c r="C105" s="225"/>
      <c r="D105" s="226"/>
      <c r="E105" s="225"/>
      <c r="F105" s="226"/>
      <c r="G105" s="227"/>
      <c r="H105" s="227"/>
      <c r="I105" s="228"/>
      <c r="J105" s="229"/>
      <c r="K105" s="230"/>
      <c r="L105" s="231" t="str">
        <f t="shared" si="5"/>
        <v/>
      </c>
      <c r="M105" s="78"/>
      <c r="N105" s="34"/>
      <c r="O105" s="221"/>
      <c r="P105" s="221"/>
      <c r="Q105" s="221"/>
      <c r="R105" s="36">
        <f t="shared" si="6"/>
        <v>28348.636155563392</v>
      </c>
      <c r="S105" s="37" t="str">
        <f t="shared" si="7"/>
        <v/>
      </c>
      <c r="T105" s="37"/>
      <c r="U105" s="222"/>
      <c r="V105" s="222"/>
      <c r="W105" s="222"/>
      <c r="X105" s="232" t="str">
        <f>IF(I208&lt;&gt;0,I208,"")</f>
        <v/>
      </c>
      <c r="Y105" s="42" t="str">
        <f>IF(I208&lt;&gt;0,A208,"")</f>
        <v/>
      </c>
    </row>
    <row r="106" spans="1:25" ht="14.5">
      <c r="A106" s="116"/>
      <c r="B106" s="99"/>
      <c r="C106" s="100"/>
      <c r="D106" s="101"/>
      <c r="E106" s="100"/>
      <c r="F106" s="102"/>
      <c r="G106" s="103"/>
      <c r="H106" s="103"/>
      <c r="I106" s="117"/>
      <c r="J106" s="105"/>
      <c r="K106" s="101"/>
      <c r="L106" s="106" t="str">
        <f t="shared" si="5"/>
        <v/>
      </c>
      <c r="M106" s="383"/>
      <c r="N106" s="34"/>
      <c r="O106" s="221"/>
      <c r="P106" s="221"/>
      <c r="Q106" s="221"/>
      <c r="R106" s="36">
        <f t="shared" si="6"/>
        <v>28348.636155563392</v>
      </c>
      <c r="S106" s="37" t="str">
        <f t="shared" si="7"/>
        <v/>
      </c>
      <c r="T106" s="37"/>
      <c r="U106" s="222"/>
      <c r="V106" s="222"/>
      <c r="W106" s="222"/>
      <c r="X106" s="232" t="str">
        <f>IF(I210&lt;&gt;0,I210,"")</f>
        <v/>
      </c>
      <c r="Y106" s="42" t="str">
        <f>IF(I210&lt;&gt;0,A210,"")</f>
        <v/>
      </c>
    </row>
    <row r="107" spans="1:25" ht="14.5">
      <c r="A107" s="118"/>
      <c r="B107" s="119"/>
      <c r="C107" s="120"/>
      <c r="D107" s="125"/>
      <c r="E107" s="120"/>
      <c r="F107" s="121"/>
      <c r="G107" s="122"/>
      <c r="H107" s="122"/>
      <c r="I107" s="123"/>
      <c r="J107" s="124"/>
      <c r="K107" s="125"/>
      <c r="L107" s="563" t="str">
        <f t="shared" si="5"/>
        <v/>
      </c>
      <c r="M107" s="33" t="s">
        <v>38</v>
      </c>
      <c r="N107" s="34"/>
      <c r="O107" s="221"/>
      <c r="P107" s="221"/>
      <c r="Q107" s="221"/>
      <c r="R107" s="36">
        <f>R106</f>
        <v>28348.636155563392</v>
      </c>
      <c r="S107" s="37" t="str">
        <f t="shared" si="7"/>
        <v/>
      </c>
      <c r="T107" s="37"/>
      <c r="U107" s="222"/>
      <c r="V107" s="222"/>
      <c r="W107" s="222"/>
      <c r="X107" s="232" t="str">
        <f>IF(I212&lt;&gt;0,I212,"")</f>
        <v/>
      </c>
      <c r="Y107" s="42" t="str">
        <f>IF(I212&lt;&gt;0,A212,"")</f>
        <v/>
      </c>
    </row>
    <row r="108" spans="1:25" ht="14.5">
      <c r="A108" s="98"/>
      <c r="B108" s="137"/>
      <c r="C108" s="138"/>
      <c r="D108" s="139"/>
      <c r="E108" s="138"/>
      <c r="F108" s="140"/>
      <c r="G108" s="141"/>
      <c r="H108" s="141"/>
      <c r="I108" s="142"/>
      <c r="J108" s="143"/>
      <c r="K108" s="139"/>
      <c r="L108" s="164" t="str">
        <f t="shared" si="5"/>
        <v/>
      </c>
      <c r="M108" s="45" t="s">
        <v>21</v>
      </c>
      <c r="N108" s="34"/>
      <c r="O108" s="221"/>
      <c r="P108" s="221"/>
      <c r="Q108" s="221"/>
      <c r="R108" s="36">
        <f t="shared" ref="R108:R218" si="8">R107*((J108/100)+1)</f>
        <v>28348.636155563392</v>
      </c>
      <c r="S108" s="37" t="str">
        <f t="shared" si="7"/>
        <v/>
      </c>
      <c r="T108" s="37"/>
      <c r="U108" s="222"/>
      <c r="V108" s="222"/>
      <c r="W108" s="222"/>
      <c r="X108" s="232" t="str">
        <f>IF(I214&lt;&gt;0,I214,"")</f>
        <v/>
      </c>
      <c r="Y108" s="42" t="str">
        <f>IF(I214&lt;&gt;0,A214,"")</f>
        <v/>
      </c>
    </row>
    <row r="109" spans="1:25" ht="14.5">
      <c r="A109" s="22"/>
      <c r="B109" s="23"/>
      <c r="C109" s="24"/>
      <c r="D109" s="25"/>
      <c r="E109" s="24"/>
      <c r="F109" s="26"/>
      <c r="G109" s="27"/>
      <c r="H109" s="28"/>
      <c r="I109" s="29"/>
      <c r="J109" s="30"/>
      <c r="K109" s="31"/>
      <c r="L109" s="32" t="str">
        <f t="shared" si="5"/>
        <v/>
      </c>
      <c r="M109" s="56">
        <f>IFERROR(AVERAGE(L107:L139),0)</f>
        <v>0</v>
      </c>
      <c r="N109" s="34"/>
      <c r="O109" s="78"/>
      <c r="P109" s="78"/>
      <c r="Q109" s="78"/>
      <c r="R109" s="36">
        <f t="shared" si="8"/>
        <v>28348.636155563392</v>
      </c>
      <c r="S109" s="37" t="str">
        <f t="shared" si="7"/>
        <v/>
      </c>
      <c r="T109" s="37"/>
      <c r="X109" s="232" t="str">
        <f>IF(I216&lt;&gt;0,I216,"")</f>
        <v/>
      </c>
      <c r="Y109" s="42" t="str">
        <f>IF(I216&lt;&gt;0,A216,"")</f>
        <v/>
      </c>
    </row>
    <row r="110" spans="1:25" ht="14.5">
      <c r="A110" s="22"/>
      <c r="B110" s="23"/>
      <c r="C110" s="24"/>
      <c r="D110" s="25"/>
      <c r="E110" s="24"/>
      <c r="F110" s="26"/>
      <c r="G110" s="27"/>
      <c r="H110" s="27"/>
      <c r="I110" s="43"/>
      <c r="J110" s="44"/>
      <c r="K110" s="25"/>
      <c r="L110" s="32" t="str">
        <f t="shared" si="5"/>
        <v/>
      </c>
      <c r="M110" s="45" t="s">
        <v>24</v>
      </c>
      <c r="N110" s="34"/>
      <c r="O110" s="78"/>
      <c r="P110" s="78"/>
      <c r="Q110" s="78"/>
      <c r="R110" s="36">
        <f t="shared" si="8"/>
        <v>28348.636155563392</v>
      </c>
      <c r="S110" s="37" t="str">
        <f t="shared" si="7"/>
        <v/>
      </c>
      <c r="T110" s="37"/>
      <c r="X110" s="232" t="str">
        <f>IF(I218&lt;&gt;0,I218,"")</f>
        <v/>
      </c>
      <c r="Y110" s="42" t="str">
        <f>IF(I218&lt;&gt;0,A218,"")</f>
        <v/>
      </c>
    </row>
    <row r="111" spans="1:25" ht="14.5">
      <c r="A111" s="233"/>
      <c r="B111" s="234"/>
      <c r="C111" s="235"/>
      <c r="D111" s="236"/>
      <c r="E111" s="235"/>
      <c r="F111" s="236"/>
      <c r="G111" s="237"/>
      <c r="H111" s="237"/>
      <c r="I111" s="238"/>
      <c r="J111" s="239"/>
      <c r="K111" s="240"/>
      <c r="L111" s="241" t="str">
        <f t="shared" si="5"/>
        <v/>
      </c>
      <c r="M111" s="56">
        <f>SUM(I107:I139)</f>
        <v>0</v>
      </c>
      <c r="N111" s="34"/>
      <c r="O111" s="78"/>
      <c r="P111" s="78"/>
      <c r="Q111" s="78"/>
      <c r="R111" s="36">
        <f t="shared" si="8"/>
        <v>28348.636155563392</v>
      </c>
      <c r="S111" s="37" t="str">
        <f t="shared" si="7"/>
        <v/>
      </c>
      <c r="T111" s="37"/>
      <c r="X111" s="232" t="str">
        <f>IF(I219&lt;&gt;0,I219,"")</f>
        <v/>
      </c>
      <c r="Y111" s="42" t="str">
        <f>IF(I219&lt;&gt;0,A219,"")</f>
        <v/>
      </c>
    </row>
    <row r="112" spans="1:25" ht="14.5">
      <c r="A112" s="233"/>
      <c r="B112" s="234"/>
      <c r="C112" s="235"/>
      <c r="D112" s="236"/>
      <c r="E112" s="235"/>
      <c r="F112" s="236"/>
      <c r="G112" s="237"/>
      <c r="H112" s="237"/>
      <c r="I112" s="238"/>
      <c r="J112" s="239"/>
      <c r="K112" s="240"/>
      <c r="L112" s="241" t="str">
        <f t="shared" si="5"/>
        <v/>
      </c>
      <c r="M112" s="45" t="s">
        <v>27</v>
      </c>
      <c r="N112" s="34"/>
      <c r="O112" s="78"/>
      <c r="P112" s="78"/>
      <c r="Q112" s="78"/>
      <c r="R112" s="36">
        <f t="shared" si="8"/>
        <v>28348.636155563392</v>
      </c>
      <c r="S112" s="37" t="str">
        <f t="shared" si="7"/>
        <v/>
      </c>
      <c r="T112" s="37"/>
      <c r="X112" s="232" t="str">
        <f>IF(I221&lt;&gt;0,I221,"")</f>
        <v/>
      </c>
      <c r="Y112" s="42" t="str">
        <f>IF(I221&lt;&gt;0,A221,"")</f>
        <v/>
      </c>
    </row>
    <row r="113" spans="1:25" ht="14.5">
      <c r="A113" s="22"/>
      <c r="B113" s="23"/>
      <c r="C113" s="24"/>
      <c r="D113" s="25"/>
      <c r="E113" s="24"/>
      <c r="F113" s="26"/>
      <c r="G113" s="27"/>
      <c r="H113" s="28"/>
      <c r="I113" s="29"/>
      <c r="J113" s="30"/>
      <c r="K113" s="31"/>
      <c r="L113" s="32" t="str">
        <f t="shared" si="5"/>
        <v/>
      </c>
      <c r="M113" s="66">
        <f>SUM(J107:J139)/100</f>
        <v>0</v>
      </c>
      <c r="N113" s="34"/>
      <c r="O113" s="78"/>
      <c r="P113" s="78"/>
      <c r="Q113" s="78"/>
      <c r="R113" s="36">
        <f t="shared" si="8"/>
        <v>28348.636155563392</v>
      </c>
      <c r="S113" s="37" t="str">
        <f t="shared" si="7"/>
        <v/>
      </c>
      <c r="T113" s="37"/>
      <c r="X113" s="232" t="str">
        <f>IF(I223&lt;&gt;0,I223,"")</f>
        <v/>
      </c>
      <c r="Y113" s="42" t="str">
        <f>IF(I223&lt;&gt;0,A223,"")</f>
        <v/>
      </c>
    </row>
    <row r="114" spans="1:25" ht="14.5">
      <c r="A114" s="22"/>
      <c r="B114" s="23"/>
      <c r="C114" s="24"/>
      <c r="D114" s="25"/>
      <c r="E114" s="24"/>
      <c r="F114" s="26"/>
      <c r="G114" s="27"/>
      <c r="H114" s="27"/>
      <c r="I114" s="43"/>
      <c r="J114" s="44"/>
      <c r="K114" s="25"/>
      <c r="L114" s="242" t="str">
        <f t="shared" si="5"/>
        <v/>
      </c>
      <c r="M114" s="388"/>
      <c r="N114" s="68"/>
      <c r="O114" s="78"/>
      <c r="P114" s="78"/>
      <c r="Q114" s="78"/>
      <c r="R114" s="36">
        <f t="shared" si="8"/>
        <v>28348.636155563392</v>
      </c>
      <c r="S114" s="37" t="str">
        <f t="shared" si="7"/>
        <v/>
      </c>
      <c r="T114" s="37"/>
      <c r="X114" s="232" t="str">
        <f>IF(I225&lt;&gt;0,I225,"")</f>
        <v/>
      </c>
      <c r="Y114" s="42" t="str">
        <f>IF(I225&lt;&gt;0,A225,"")</f>
        <v/>
      </c>
    </row>
    <row r="115" spans="1:25" ht="14.5">
      <c r="A115" s="233"/>
      <c r="B115" s="234"/>
      <c r="C115" s="235"/>
      <c r="D115" s="236"/>
      <c r="E115" s="235"/>
      <c r="F115" s="236"/>
      <c r="G115" s="237"/>
      <c r="H115" s="237"/>
      <c r="I115" s="238"/>
      <c r="J115" s="239"/>
      <c r="K115" s="240"/>
      <c r="L115" s="243" t="str">
        <f t="shared" si="5"/>
        <v/>
      </c>
      <c r="M115" s="78"/>
      <c r="N115" s="68"/>
      <c r="O115" s="78"/>
      <c r="P115" s="78"/>
      <c r="Q115" s="78"/>
      <c r="R115" s="36">
        <f t="shared" si="8"/>
        <v>28348.636155563392</v>
      </c>
      <c r="S115" s="37" t="str">
        <f t="shared" si="7"/>
        <v/>
      </c>
      <c r="T115" s="37"/>
      <c r="X115" s="232" t="str">
        <f>IF(I227&lt;&gt;0,I227,"")</f>
        <v/>
      </c>
      <c r="Y115" s="42" t="str">
        <f>IF(I227&lt;&gt;0,A227,"")</f>
        <v/>
      </c>
    </row>
    <row r="116" spans="1:25" ht="14.5">
      <c r="A116" s="233"/>
      <c r="B116" s="234"/>
      <c r="C116" s="235"/>
      <c r="D116" s="236"/>
      <c r="E116" s="235"/>
      <c r="F116" s="236"/>
      <c r="G116" s="237"/>
      <c r="H116" s="237"/>
      <c r="I116" s="238"/>
      <c r="J116" s="239"/>
      <c r="K116" s="240"/>
      <c r="L116" s="243" t="str">
        <f t="shared" si="5"/>
        <v/>
      </c>
      <c r="M116" s="78"/>
      <c r="N116" s="68"/>
      <c r="O116" s="78"/>
      <c r="P116" s="78"/>
      <c r="Q116" s="78"/>
      <c r="R116" s="36">
        <f t="shared" si="8"/>
        <v>28348.636155563392</v>
      </c>
      <c r="S116" s="37" t="str">
        <f t="shared" si="7"/>
        <v/>
      </c>
      <c r="T116" s="37"/>
      <c r="X116" s="232" t="str">
        <f>IF(I229&lt;&gt;0,I229,"")</f>
        <v/>
      </c>
      <c r="Y116" s="42" t="str">
        <f>IF(I229&lt;&gt;0,A229,"")</f>
        <v/>
      </c>
    </row>
    <row r="117" spans="1:25" ht="14.5">
      <c r="A117" s="118"/>
      <c r="B117" s="119"/>
      <c r="C117" s="120"/>
      <c r="D117" s="125"/>
      <c r="E117" s="120"/>
      <c r="F117" s="121"/>
      <c r="G117" s="122"/>
      <c r="H117" s="122"/>
      <c r="I117" s="142"/>
      <c r="J117" s="124"/>
      <c r="K117" s="125"/>
      <c r="L117" s="574" t="str">
        <f t="shared" si="5"/>
        <v/>
      </c>
      <c r="M117" s="78"/>
      <c r="N117" s="68"/>
      <c r="O117" s="78"/>
      <c r="P117" s="78"/>
      <c r="Q117" s="78"/>
      <c r="R117" s="36">
        <f t="shared" si="8"/>
        <v>28348.636155563392</v>
      </c>
      <c r="S117" s="37" t="str">
        <f t="shared" si="7"/>
        <v/>
      </c>
      <c r="T117" s="37"/>
      <c r="X117" s="232" t="str">
        <f>IF(I231&lt;&gt;0,I231,"")</f>
        <v/>
      </c>
      <c r="Y117" s="42" t="str">
        <f>IF(I231&lt;&gt;0,A231,"")</f>
        <v/>
      </c>
    </row>
    <row r="118" spans="1:25" ht="14.5">
      <c r="A118" s="118"/>
      <c r="B118" s="137"/>
      <c r="C118" s="138"/>
      <c r="D118" s="139"/>
      <c r="E118" s="138"/>
      <c r="F118" s="140"/>
      <c r="G118" s="141"/>
      <c r="H118" s="141"/>
      <c r="I118" s="142"/>
      <c r="J118" s="143"/>
      <c r="K118" s="139"/>
      <c r="L118" s="144" t="str">
        <f t="shared" si="5"/>
        <v/>
      </c>
      <c r="M118" s="78"/>
      <c r="N118" s="68"/>
      <c r="O118" s="78"/>
      <c r="P118" s="78"/>
      <c r="Q118" s="78"/>
      <c r="R118" s="36">
        <f t="shared" si="8"/>
        <v>28348.636155563392</v>
      </c>
      <c r="S118" s="37" t="str">
        <f t="shared" si="7"/>
        <v/>
      </c>
      <c r="T118" s="37"/>
      <c r="X118" s="232" t="str">
        <f t="shared" ref="X118:X181" si="9">IF(I233&lt;&gt;0,I233,"")</f>
        <v/>
      </c>
      <c r="Y118" s="42" t="str">
        <f t="shared" ref="Y118:Y181" si="10">IF(I233&lt;&gt;0,A233,"")</f>
        <v/>
      </c>
    </row>
    <row r="119" spans="1:25" ht="14.5">
      <c r="A119" s="22"/>
      <c r="B119" s="23"/>
      <c r="C119" s="24"/>
      <c r="D119" s="25"/>
      <c r="E119" s="24"/>
      <c r="F119" s="26"/>
      <c r="G119" s="27"/>
      <c r="H119" s="28"/>
      <c r="I119" s="29"/>
      <c r="J119" s="30"/>
      <c r="K119" s="31"/>
      <c r="L119" s="242" t="str">
        <f t="shared" si="5"/>
        <v/>
      </c>
      <c r="M119" s="78"/>
      <c r="N119" s="68"/>
      <c r="O119" s="78"/>
      <c r="P119" s="78"/>
      <c r="Q119" s="78"/>
      <c r="R119" s="36">
        <f t="shared" si="8"/>
        <v>28348.636155563392</v>
      </c>
      <c r="S119" s="37" t="str">
        <f t="shared" si="7"/>
        <v/>
      </c>
      <c r="T119" s="37"/>
      <c r="X119" s="39" t="str">
        <f t="shared" si="9"/>
        <v/>
      </c>
      <c r="Y119" s="42" t="str">
        <f t="shared" si="10"/>
        <v/>
      </c>
    </row>
    <row r="120" spans="1:25" ht="14.5">
      <c r="A120" s="22"/>
      <c r="B120" s="23"/>
      <c r="C120" s="24"/>
      <c r="D120" s="25"/>
      <c r="E120" s="24"/>
      <c r="F120" s="26"/>
      <c r="G120" s="27"/>
      <c r="H120" s="27"/>
      <c r="I120" s="43"/>
      <c r="J120" s="44"/>
      <c r="K120" s="25"/>
      <c r="L120" s="242" t="str">
        <f t="shared" si="5"/>
        <v/>
      </c>
      <c r="M120" s="78"/>
      <c r="N120" s="68"/>
      <c r="O120" s="78"/>
      <c r="P120" s="78"/>
      <c r="Q120" s="78"/>
      <c r="R120" s="36">
        <f t="shared" si="8"/>
        <v>28348.636155563392</v>
      </c>
      <c r="S120" s="37" t="str">
        <f t="shared" si="7"/>
        <v/>
      </c>
      <c r="T120" s="37"/>
      <c r="X120" s="232" t="str">
        <f t="shared" si="9"/>
        <v/>
      </c>
      <c r="Y120" s="42" t="str">
        <f t="shared" si="10"/>
        <v/>
      </c>
    </row>
    <row r="121" spans="1:25" ht="14.5">
      <c r="A121" s="233"/>
      <c r="B121" s="234"/>
      <c r="C121" s="235"/>
      <c r="D121" s="236"/>
      <c r="E121" s="235"/>
      <c r="F121" s="236"/>
      <c r="G121" s="237"/>
      <c r="H121" s="237"/>
      <c r="I121" s="238"/>
      <c r="J121" s="239"/>
      <c r="K121" s="240"/>
      <c r="L121" s="243" t="str">
        <f t="shared" si="5"/>
        <v/>
      </c>
      <c r="M121" s="78"/>
      <c r="N121" s="68"/>
      <c r="O121" s="78"/>
      <c r="P121" s="78"/>
      <c r="Q121" s="78"/>
      <c r="R121" s="36">
        <f t="shared" si="8"/>
        <v>28348.636155563392</v>
      </c>
      <c r="S121" s="37" t="str">
        <f t="shared" si="7"/>
        <v/>
      </c>
      <c r="T121" s="37"/>
      <c r="X121" s="39" t="str">
        <f t="shared" si="9"/>
        <v/>
      </c>
      <c r="Y121" s="42" t="str">
        <f t="shared" si="10"/>
        <v/>
      </c>
    </row>
    <row r="122" spans="1:25" ht="14.5">
      <c r="A122" s="233"/>
      <c r="B122" s="234"/>
      <c r="C122" s="235"/>
      <c r="D122" s="236"/>
      <c r="E122" s="235"/>
      <c r="F122" s="236"/>
      <c r="G122" s="237"/>
      <c r="H122" s="237"/>
      <c r="I122" s="238"/>
      <c r="J122" s="239"/>
      <c r="K122" s="240"/>
      <c r="L122" s="243" t="str">
        <f t="shared" si="5"/>
        <v/>
      </c>
      <c r="M122" s="78"/>
      <c r="N122" s="68"/>
      <c r="O122" s="78"/>
      <c r="P122" s="78"/>
      <c r="Q122" s="78"/>
      <c r="R122" s="36">
        <f t="shared" si="8"/>
        <v>28348.636155563392</v>
      </c>
      <c r="S122" s="37" t="str">
        <f t="shared" si="7"/>
        <v/>
      </c>
      <c r="T122" s="37"/>
      <c r="X122" s="232" t="str">
        <f t="shared" si="9"/>
        <v/>
      </c>
      <c r="Y122" s="42" t="str">
        <f t="shared" si="10"/>
        <v/>
      </c>
    </row>
    <row r="123" spans="1:25" ht="14.5">
      <c r="A123" s="22"/>
      <c r="B123" s="23"/>
      <c r="C123" s="24"/>
      <c r="D123" s="25"/>
      <c r="E123" s="24"/>
      <c r="F123" s="26"/>
      <c r="G123" s="27"/>
      <c r="H123" s="28"/>
      <c r="I123" s="29"/>
      <c r="J123" s="30"/>
      <c r="K123" s="31"/>
      <c r="L123" s="242" t="str">
        <f t="shared" si="5"/>
        <v/>
      </c>
      <c r="M123" s="78"/>
      <c r="N123" s="68"/>
      <c r="O123" s="78"/>
      <c r="P123" s="78"/>
      <c r="Q123" s="78"/>
      <c r="R123" s="36">
        <f t="shared" si="8"/>
        <v>28348.636155563392</v>
      </c>
      <c r="S123" s="37" t="str">
        <f t="shared" si="7"/>
        <v/>
      </c>
      <c r="T123" s="37"/>
      <c r="X123" s="39" t="str">
        <f t="shared" si="9"/>
        <v/>
      </c>
      <c r="Y123" s="42" t="str">
        <f t="shared" si="10"/>
        <v/>
      </c>
    </row>
    <row r="124" spans="1:25" ht="14.5">
      <c r="A124" s="22"/>
      <c r="B124" s="23"/>
      <c r="C124" s="24"/>
      <c r="D124" s="25"/>
      <c r="E124" s="24"/>
      <c r="F124" s="26"/>
      <c r="G124" s="27"/>
      <c r="H124" s="27"/>
      <c r="I124" s="43"/>
      <c r="J124" s="44"/>
      <c r="K124" s="25"/>
      <c r="L124" s="242" t="str">
        <f t="shared" si="5"/>
        <v/>
      </c>
      <c r="M124" s="78"/>
      <c r="N124" s="68"/>
      <c r="O124" s="78"/>
      <c r="P124" s="78"/>
      <c r="Q124" s="78"/>
      <c r="R124" s="36">
        <f t="shared" si="8"/>
        <v>28348.636155563392</v>
      </c>
      <c r="S124" s="37" t="str">
        <f t="shared" si="7"/>
        <v/>
      </c>
      <c r="T124" s="37"/>
      <c r="X124" s="232" t="str">
        <f t="shared" si="9"/>
        <v/>
      </c>
      <c r="Y124" s="42" t="str">
        <f t="shared" si="10"/>
        <v/>
      </c>
    </row>
    <row r="125" spans="1:25" ht="14.5">
      <c r="A125" s="118"/>
      <c r="B125" s="119"/>
      <c r="C125" s="120"/>
      <c r="D125" s="125"/>
      <c r="E125" s="120"/>
      <c r="F125" s="121"/>
      <c r="G125" s="122"/>
      <c r="H125" s="122"/>
      <c r="I125" s="142"/>
      <c r="J125" s="124"/>
      <c r="K125" s="125"/>
      <c r="L125" s="574" t="str">
        <f t="shared" si="5"/>
        <v/>
      </c>
      <c r="M125" s="78"/>
      <c r="N125" s="68"/>
      <c r="O125" s="78"/>
      <c r="P125" s="78"/>
      <c r="Q125" s="78"/>
      <c r="R125" s="36">
        <f t="shared" si="8"/>
        <v>28348.636155563392</v>
      </c>
      <c r="S125" s="37" t="str">
        <f t="shared" si="7"/>
        <v/>
      </c>
      <c r="T125" s="37"/>
      <c r="X125" s="39" t="str">
        <f t="shared" si="9"/>
        <v/>
      </c>
      <c r="Y125" s="42" t="str">
        <f t="shared" si="10"/>
        <v/>
      </c>
    </row>
    <row r="126" spans="1:25" ht="14.5">
      <c r="A126" s="118"/>
      <c r="B126" s="137"/>
      <c r="C126" s="138"/>
      <c r="D126" s="139"/>
      <c r="E126" s="138"/>
      <c r="F126" s="140"/>
      <c r="G126" s="141"/>
      <c r="H126" s="141"/>
      <c r="I126" s="142"/>
      <c r="J126" s="143"/>
      <c r="K126" s="139"/>
      <c r="L126" s="144" t="str">
        <f t="shared" si="5"/>
        <v/>
      </c>
      <c r="M126" s="78"/>
      <c r="N126" s="68"/>
      <c r="O126" s="78"/>
      <c r="P126" s="78"/>
      <c r="Q126" s="78"/>
      <c r="R126" s="36">
        <f t="shared" si="8"/>
        <v>28348.636155563392</v>
      </c>
      <c r="S126" s="37" t="str">
        <f t="shared" si="7"/>
        <v/>
      </c>
      <c r="T126" s="37"/>
      <c r="X126" s="232" t="str">
        <f t="shared" si="9"/>
        <v/>
      </c>
      <c r="Y126" s="42" t="str">
        <f t="shared" si="10"/>
        <v/>
      </c>
    </row>
    <row r="127" spans="1:25" ht="14.5">
      <c r="A127" s="184"/>
      <c r="B127" s="185"/>
      <c r="C127" s="186"/>
      <c r="D127" s="187"/>
      <c r="E127" s="186"/>
      <c r="F127" s="187"/>
      <c r="G127" s="188"/>
      <c r="H127" s="188"/>
      <c r="I127" s="189"/>
      <c r="J127" s="190"/>
      <c r="K127" s="191"/>
      <c r="L127" s="575" t="str">
        <f t="shared" si="5"/>
        <v/>
      </c>
      <c r="M127" s="244"/>
      <c r="N127" s="68"/>
      <c r="O127" s="78"/>
      <c r="P127" s="78"/>
      <c r="Q127" s="78"/>
      <c r="R127" s="36">
        <f t="shared" si="8"/>
        <v>28348.636155563392</v>
      </c>
      <c r="S127" s="37" t="str">
        <f t="shared" si="7"/>
        <v/>
      </c>
      <c r="T127" s="37"/>
      <c r="X127" s="39" t="str">
        <f t="shared" si="9"/>
        <v/>
      </c>
      <c r="Y127" s="42" t="str">
        <f t="shared" si="10"/>
        <v/>
      </c>
    </row>
    <row r="128" spans="1:25" ht="14.5">
      <c r="A128" s="184"/>
      <c r="B128" s="185"/>
      <c r="C128" s="186"/>
      <c r="D128" s="187"/>
      <c r="E128" s="186"/>
      <c r="F128" s="187"/>
      <c r="G128" s="188"/>
      <c r="H128" s="188"/>
      <c r="I128" s="245"/>
      <c r="J128" s="190"/>
      <c r="K128" s="191"/>
      <c r="L128" s="575" t="str">
        <f t="shared" si="5"/>
        <v/>
      </c>
      <c r="M128" s="244"/>
      <c r="N128" s="68"/>
      <c r="O128" s="78"/>
      <c r="P128" s="78"/>
      <c r="Q128" s="78"/>
      <c r="R128" s="36">
        <f t="shared" si="8"/>
        <v>28348.636155563392</v>
      </c>
      <c r="S128" s="37" t="str">
        <f t="shared" si="7"/>
        <v/>
      </c>
      <c r="T128" s="37"/>
      <c r="X128" s="232" t="str">
        <f t="shared" si="9"/>
        <v/>
      </c>
      <c r="Y128" s="42" t="str">
        <f t="shared" si="10"/>
        <v/>
      </c>
    </row>
    <row r="129" spans="1:25" ht="14.5">
      <c r="A129" s="22"/>
      <c r="B129" s="23"/>
      <c r="C129" s="24"/>
      <c r="D129" s="25"/>
      <c r="E129" s="24"/>
      <c r="F129" s="26"/>
      <c r="G129" s="27"/>
      <c r="H129" s="28"/>
      <c r="I129" s="29"/>
      <c r="J129" s="30"/>
      <c r="K129" s="31"/>
      <c r="L129" s="242" t="str">
        <f t="shared" si="5"/>
        <v/>
      </c>
      <c r="M129" s="244"/>
      <c r="N129" s="68"/>
      <c r="O129" s="78"/>
      <c r="P129" s="78"/>
      <c r="Q129" s="78"/>
      <c r="R129" s="36">
        <f t="shared" si="8"/>
        <v>28348.636155563392</v>
      </c>
      <c r="S129" s="37" t="str">
        <f t="shared" si="7"/>
        <v/>
      </c>
      <c r="T129" s="37"/>
      <c r="X129" s="39" t="str">
        <f t="shared" si="9"/>
        <v/>
      </c>
      <c r="Y129" s="42" t="str">
        <f t="shared" si="10"/>
        <v/>
      </c>
    </row>
    <row r="130" spans="1:25" ht="14.5">
      <c r="A130" s="22"/>
      <c r="B130" s="23"/>
      <c r="C130" s="24"/>
      <c r="D130" s="25"/>
      <c r="E130" s="24"/>
      <c r="F130" s="26"/>
      <c r="G130" s="27"/>
      <c r="H130" s="27"/>
      <c r="I130" s="43"/>
      <c r="J130" s="44"/>
      <c r="K130" s="25"/>
      <c r="L130" s="242" t="str">
        <f t="shared" si="5"/>
        <v/>
      </c>
      <c r="M130" s="244"/>
      <c r="N130" s="68"/>
      <c r="O130" s="78"/>
      <c r="P130" s="78"/>
      <c r="Q130" s="78"/>
      <c r="R130" s="36">
        <f t="shared" si="8"/>
        <v>28348.636155563392</v>
      </c>
      <c r="S130" s="37" t="str">
        <f t="shared" si="7"/>
        <v/>
      </c>
      <c r="T130" s="37"/>
      <c r="X130" s="232" t="str">
        <f t="shared" si="9"/>
        <v/>
      </c>
      <c r="Y130" s="42" t="str">
        <f t="shared" si="10"/>
        <v/>
      </c>
    </row>
    <row r="131" spans="1:25" ht="14.5">
      <c r="A131" s="184"/>
      <c r="B131" s="185"/>
      <c r="C131" s="186"/>
      <c r="D131" s="187"/>
      <c r="E131" s="186"/>
      <c r="F131" s="187"/>
      <c r="G131" s="188"/>
      <c r="H131" s="188"/>
      <c r="I131" s="189"/>
      <c r="J131" s="190"/>
      <c r="K131" s="191"/>
      <c r="L131" s="575" t="str">
        <f t="shared" ref="L131:L194" si="11">IF(B131="Compra",(F131*G131)+10+(F131*G131*0.000325),"")</f>
        <v/>
      </c>
      <c r="M131" s="78"/>
      <c r="N131" s="68"/>
      <c r="O131" s="78"/>
      <c r="P131" s="78"/>
      <c r="Q131" s="78"/>
      <c r="R131" s="36">
        <f t="shared" si="8"/>
        <v>28348.636155563392</v>
      </c>
      <c r="S131" s="37" t="str">
        <f t="shared" si="7"/>
        <v/>
      </c>
      <c r="T131" s="37"/>
      <c r="X131" s="39" t="str">
        <f t="shared" si="9"/>
        <v/>
      </c>
      <c r="Y131" s="42" t="str">
        <f t="shared" si="10"/>
        <v/>
      </c>
    </row>
    <row r="132" spans="1:25" ht="14.5">
      <c r="A132" s="184"/>
      <c r="B132" s="185"/>
      <c r="C132" s="186"/>
      <c r="D132" s="187"/>
      <c r="E132" s="186"/>
      <c r="F132" s="187"/>
      <c r="G132" s="188"/>
      <c r="H132" s="188"/>
      <c r="I132" s="245"/>
      <c r="J132" s="190"/>
      <c r="K132" s="191"/>
      <c r="L132" s="575" t="str">
        <f t="shared" si="11"/>
        <v/>
      </c>
      <c r="M132" s="78"/>
      <c r="N132" s="68"/>
      <c r="O132" s="78"/>
      <c r="P132" s="78"/>
      <c r="Q132" s="78"/>
      <c r="R132" s="36">
        <f t="shared" si="8"/>
        <v>28348.636155563392</v>
      </c>
      <c r="S132" s="37" t="str">
        <f t="shared" si="7"/>
        <v/>
      </c>
      <c r="T132" s="37"/>
      <c r="X132" s="232" t="str">
        <f t="shared" si="9"/>
        <v/>
      </c>
      <c r="Y132" s="42" t="str">
        <f t="shared" si="10"/>
        <v/>
      </c>
    </row>
    <row r="133" spans="1:25" ht="14.5">
      <c r="A133" s="165"/>
      <c r="B133" s="246"/>
      <c r="C133" s="167"/>
      <c r="D133" s="169"/>
      <c r="E133" s="167"/>
      <c r="F133" s="169"/>
      <c r="G133" s="170"/>
      <c r="H133" s="170"/>
      <c r="I133" s="171"/>
      <c r="J133" s="172"/>
      <c r="K133" s="168"/>
      <c r="L133" s="173" t="str">
        <f t="shared" si="11"/>
        <v/>
      </c>
      <c r="M133" s="78"/>
      <c r="N133" s="68"/>
      <c r="O133" s="78"/>
      <c r="P133" s="78"/>
      <c r="Q133" s="78"/>
      <c r="R133" s="36">
        <f t="shared" si="8"/>
        <v>28348.636155563392</v>
      </c>
      <c r="S133" s="37" t="str">
        <f t="shared" si="7"/>
        <v/>
      </c>
      <c r="T133" s="37"/>
      <c r="X133" s="39" t="str">
        <f t="shared" si="9"/>
        <v/>
      </c>
      <c r="Y133" s="42" t="str">
        <f t="shared" si="10"/>
        <v/>
      </c>
    </row>
    <row r="134" spans="1:25" ht="14.5">
      <c r="A134" s="165"/>
      <c r="B134" s="246"/>
      <c r="C134" s="167"/>
      <c r="D134" s="169"/>
      <c r="E134" s="167"/>
      <c r="F134" s="169"/>
      <c r="G134" s="170"/>
      <c r="H134" s="170"/>
      <c r="I134" s="171"/>
      <c r="J134" s="172"/>
      <c r="K134" s="168"/>
      <c r="L134" s="173" t="str">
        <f t="shared" si="11"/>
        <v/>
      </c>
      <c r="M134" s="78"/>
      <c r="N134" s="68"/>
      <c r="O134" s="78"/>
      <c r="P134" s="78"/>
      <c r="Q134" s="78"/>
      <c r="R134" s="36">
        <f t="shared" si="8"/>
        <v>28348.636155563392</v>
      </c>
      <c r="S134" s="37" t="str">
        <f t="shared" si="7"/>
        <v/>
      </c>
      <c r="T134" s="37"/>
      <c r="X134" s="232" t="str">
        <f t="shared" si="9"/>
        <v/>
      </c>
      <c r="Y134" s="42" t="str">
        <f t="shared" si="10"/>
        <v/>
      </c>
    </row>
    <row r="135" spans="1:25" ht="14.5">
      <c r="A135" s="22"/>
      <c r="B135" s="23"/>
      <c r="C135" s="24"/>
      <c r="D135" s="25"/>
      <c r="E135" s="24"/>
      <c r="F135" s="26"/>
      <c r="G135" s="27"/>
      <c r="H135" s="28"/>
      <c r="I135" s="29"/>
      <c r="J135" s="30"/>
      <c r="K135" s="31"/>
      <c r="L135" s="242" t="str">
        <f t="shared" si="11"/>
        <v/>
      </c>
      <c r="M135" s="78"/>
      <c r="N135" s="68"/>
      <c r="O135" s="78"/>
      <c r="P135" s="78"/>
      <c r="Q135" s="78"/>
      <c r="R135" s="36">
        <f t="shared" si="8"/>
        <v>28348.636155563392</v>
      </c>
      <c r="S135" s="37" t="str">
        <f t="shared" si="7"/>
        <v/>
      </c>
      <c r="T135" s="37"/>
      <c r="X135" s="39" t="str">
        <f t="shared" si="9"/>
        <v/>
      </c>
      <c r="Y135" s="42" t="str">
        <f t="shared" si="10"/>
        <v/>
      </c>
    </row>
    <row r="136" spans="1:25" ht="14.5">
      <c r="A136" s="22"/>
      <c r="B136" s="23"/>
      <c r="C136" s="24"/>
      <c r="D136" s="25"/>
      <c r="E136" s="24"/>
      <c r="F136" s="26"/>
      <c r="G136" s="27"/>
      <c r="H136" s="27"/>
      <c r="I136" s="43"/>
      <c r="J136" s="44"/>
      <c r="K136" s="25"/>
      <c r="L136" s="242" t="str">
        <f t="shared" si="11"/>
        <v/>
      </c>
      <c r="M136" s="78"/>
      <c r="N136" s="68"/>
      <c r="O136" s="78"/>
      <c r="P136" s="78"/>
      <c r="Q136" s="78"/>
      <c r="R136" s="36">
        <f t="shared" si="8"/>
        <v>28348.636155563392</v>
      </c>
      <c r="S136" s="37" t="str">
        <f t="shared" si="7"/>
        <v/>
      </c>
      <c r="T136" s="37"/>
      <c r="X136" s="232" t="str">
        <f t="shared" si="9"/>
        <v/>
      </c>
      <c r="Y136" s="42" t="str">
        <f t="shared" si="10"/>
        <v/>
      </c>
    </row>
    <row r="137" spans="1:25" ht="14.5">
      <c r="A137" s="247"/>
      <c r="B137" s="248"/>
      <c r="C137" s="249"/>
      <c r="D137" s="250"/>
      <c r="E137" s="249"/>
      <c r="F137" s="250"/>
      <c r="G137" s="251"/>
      <c r="H137" s="251"/>
      <c r="I137" s="252"/>
      <c r="J137" s="253"/>
      <c r="K137" s="254"/>
      <c r="L137" s="255" t="str">
        <f t="shared" si="11"/>
        <v/>
      </c>
      <c r="M137" s="78"/>
      <c r="N137" s="68"/>
      <c r="O137" s="78"/>
      <c r="P137" s="78"/>
      <c r="Q137" s="78"/>
      <c r="R137" s="36">
        <f t="shared" si="8"/>
        <v>28348.636155563392</v>
      </c>
      <c r="S137" s="37" t="str">
        <f t="shared" si="7"/>
        <v/>
      </c>
      <c r="T137" s="37"/>
      <c r="X137" s="39" t="str">
        <f t="shared" si="9"/>
        <v/>
      </c>
      <c r="Y137" s="42" t="str">
        <f t="shared" si="10"/>
        <v/>
      </c>
    </row>
    <row r="138" spans="1:25" ht="14.5">
      <c r="A138" s="247"/>
      <c r="B138" s="248"/>
      <c r="C138" s="249"/>
      <c r="D138" s="250"/>
      <c r="E138" s="249"/>
      <c r="F138" s="250"/>
      <c r="G138" s="251"/>
      <c r="H138" s="251"/>
      <c r="I138" s="252"/>
      <c r="J138" s="253"/>
      <c r="K138" s="254"/>
      <c r="L138" s="255" t="str">
        <f t="shared" si="11"/>
        <v/>
      </c>
      <c r="M138" s="78"/>
      <c r="N138" s="68"/>
      <c r="O138" s="78"/>
      <c r="P138" s="78"/>
      <c r="Q138" s="78"/>
      <c r="R138" s="36">
        <f t="shared" si="8"/>
        <v>28348.636155563392</v>
      </c>
      <c r="S138" s="37" t="str">
        <f t="shared" si="7"/>
        <v/>
      </c>
      <c r="T138" s="37"/>
      <c r="X138" s="232" t="str">
        <f t="shared" si="9"/>
        <v/>
      </c>
      <c r="Y138" s="42" t="str">
        <f t="shared" si="10"/>
        <v/>
      </c>
    </row>
    <row r="139" spans="1:25" ht="14.5">
      <c r="A139" s="256"/>
      <c r="B139" s="257"/>
      <c r="C139" s="258"/>
      <c r="D139" s="259"/>
      <c r="E139" s="258"/>
      <c r="F139" s="259"/>
      <c r="G139" s="260"/>
      <c r="H139" s="260"/>
      <c r="I139" s="261"/>
      <c r="J139" s="262"/>
      <c r="K139" s="263"/>
      <c r="L139" s="264" t="str">
        <f t="shared" si="11"/>
        <v/>
      </c>
      <c r="M139" s="383"/>
      <c r="N139" s="68"/>
      <c r="O139" s="78"/>
      <c r="P139" s="78"/>
      <c r="Q139" s="78"/>
      <c r="R139" s="36">
        <f t="shared" si="8"/>
        <v>28348.636155563392</v>
      </c>
      <c r="S139" s="37" t="str">
        <f t="shared" si="7"/>
        <v/>
      </c>
      <c r="T139" s="37"/>
      <c r="X139" s="39" t="str">
        <f t="shared" si="9"/>
        <v/>
      </c>
      <c r="Y139" s="42" t="str">
        <f t="shared" si="10"/>
        <v/>
      </c>
    </row>
    <row r="140" spans="1:25" ht="14.5">
      <c r="A140" s="265"/>
      <c r="B140" s="266"/>
      <c r="C140" s="267"/>
      <c r="D140" s="268"/>
      <c r="E140" s="267"/>
      <c r="F140" s="268"/>
      <c r="G140" s="269"/>
      <c r="H140" s="269"/>
      <c r="I140" s="270"/>
      <c r="J140" s="271"/>
      <c r="K140" s="272"/>
      <c r="L140" s="385" t="str">
        <f t="shared" si="11"/>
        <v/>
      </c>
      <c r="M140" s="33" t="s">
        <v>39</v>
      </c>
      <c r="N140" s="34"/>
      <c r="O140" s="78"/>
      <c r="P140" s="78"/>
      <c r="Q140" s="78"/>
      <c r="R140" s="36">
        <f t="shared" si="8"/>
        <v>28348.636155563392</v>
      </c>
      <c r="S140" s="37" t="str">
        <f t="shared" si="7"/>
        <v/>
      </c>
      <c r="T140" s="37"/>
      <c r="X140" s="232" t="str">
        <f t="shared" si="9"/>
        <v/>
      </c>
      <c r="Y140" s="42" t="str">
        <f t="shared" si="10"/>
        <v/>
      </c>
    </row>
    <row r="141" spans="1:25" ht="14.5">
      <c r="A141" s="127"/>
      <c r="B141" s="128"/>
      <c r="C141" s="129"/>
      <c r="D141" s="130"/>
      <c r="E141" s="129"/>
      <c r="F141" s="130"/>
      <c r="G141" s="131"/>
      <c r="H141" s="131"/>
      <c r="I141" s="132"/>
      <c r="J141" s="133"/>
      <c r="K141" s="134"/>
      <c r="L141" s="135" t="str">
        <f t="shared" si="11"/>
        <v/>
      </c>
      <c r="M141" s="45" t="s">
        <v>21</v>
      </c>
      <c r="N141" s="34"/>
      <c r="O141" s="68"/>
      <c r="P141" s="68"/>
      <c r="Q141" s="68"/>
      <c r="R141" s="36">
        <f t="shared" si="8"/>
        <v>28348.636155563392</v>
      </c>
      <c r="S141" s="37" t="str">
        <f t="shared" si="7"/>
        <v/>
      </c>
      <c r="T141" s="37"/>
      <c r="U141" s="136"/>
      <c r="V141" s="136"/>
      <c r="W141" s="136"/>
      <c r="X141" s="39" t="str">
        <f t="shared" si="9"/>
        <v/>
      </c>
      <c r="Y141" s="42" t="str">
        <f t="shared" si="10"/>
        <v/>
      </c>
    </row>
    <row r="142" spans="1:25" ht="14.5">
      <c r="A142" s="127"/>
      <c r="B142" s="128"/>
      <c r="C142" s="129"/>
      <c r="D142" s="134"/>
      <c r="E142" s="129"/>
      <c r="F142" s="130"/>
      <c r="G142" s="131"/>
      <c r="H142" s="131"/>
      <c r="I142" s="132"/>
      <c r="J142" s="133"/>
      <c r="K142" s="134"/>
      <c r="L142" s="135" t="str">
        <f t="shared" si="11"/>
        <v/>
      </c>
      <c r="M142" s="56">
        <f>IFERROR(AVERAGE(L140:L183),0)</f>
        <v>0</v>
      </c>
      <c r="N142" s="34"/>
      <c r="O142" s="78"/>
      <c r="P142" s="78"/>
      <c r="Q142" s="78"/>
      <c r="R142" s="36">
        <f t="shared" si="8"/>
        <v>28348.636155563392</v>
      </c>
      <c r="S142" s="37" t="str">
        <f t="shared" si="7"/>
        <v/>
      </c>
      <c r="T142" s="37"/>
      <c r="X142" s="232" t="str">
        <f t="shared" si="9"/>
        <v/>
      </c>
      <c r="Y142" s="42" t="str">
        <f t="shared" si="10"/>
        <v/>
      </c>
    </row>
    <row r="143" spans="1:25" ht="14.5">
      <c r="A143" s="165"/>
      <c r="B143" s="246"/>
      <c r="C143" s="167"/>
      <c r="D143" s="169"/>
      <c r="E143" s="167"/>
      <c r="F143" s="169"/>
      <c r="G143" s="170"/>
      <c r="H143" s="170"/>
      <c r="I143" s="171"/>
      <c r="J143" s="172"/>
      <c r="K143" s="168"/>
      <c r="L143" s="273" t="str">
        <f t="shared" si="11"/>
        <v/>
      </c>
      <c r="M143" s="45" t="s">
        <v>24</v>
      </c>
      <c r="N143" s="34"/>
      <c r="O143" s="78"/>
      <c r="P143" s="78"/>
      <c r="Q143" s="78"/>
      <c r="R143" s="36">
        <f t="shared" si="8"/>
        <v>28348.636155563392</v>
      </c>
      <c r="S143" s="37" t="str">
        <f t="shared" si="7"/>
        <v/>
      </c>
      <c r="T143" s="37"/>
      <c r="X143" s="39" t="str">
        <f t="shared" si="9"/>
        <v/>
      </c>
      <c r="Y143" s="42" t="str">
        <f t="shared" si="10"/>
        <v/>
      </c>
    </row>
    <row r="144" spans="1:25" ht="14.5">
      <c r="A144" s="165"/>
      <c r="B144" s="246"/>
      <c r="C144" s="167"/>
      <c r="D144" s="169"/>
      <c r="E144" s="167"/>
      <c r="F144" s="169"/>
      <c r="G144" s="170"/>
      <c r="H144" s="170"/>
      <c r="I144" s="171"/>
      <c r="J144" s="172"/>
      <c r="K144" s="168"/>
      <c r="L144" s="273" t="str">
        <f t="shared" si="11"/>
        <v/>
      </c>
      <c r="M144" s="56">
        <f>SUM(I140:I183)</f>
        <v>0</v>
      </c>
      <c r="N144" s="34"/>
      <c r="O144" s="78"/>
      <c r="P144" s="78"/>
      <c r="Q144" s="78"/>
      <c r="R144" s="36">
        <f t="shared" si="8"/>
        <v>28348.636155563392</v>
      </c>
      <c r="S144" s="37" t="str">
        <f t="shared" si="7"/>
        <v/>
      </c>
      <c r="T144" s="37"/>
      <c r="X144" s="232" t="str">
        <f t="shared" si="9"/>
        <v/>
      </c>
      <c r="Y144" s="42" t="str">
        <f t="shared" si="10"/>
        <v/>
      </c>
    </row>
    <row r="145" spans="1:25" ht="14.5">
      <c r="A145" s="69"/>
      <c r="B145" s="274"/>
      <c r="C145" s="71"/>
      <c r="D145" s="72"/>
      <c r="E145" s="71"/>
      <c r="F145" s="72"/>
      <c r="G145" s="73"/>
      <c r="H145" s="73"/>
      <c r="I145" s="74"/>
      <c r="J145" s="75"/>
      <c r="K145" s="76"/>
      <c r="L145" s="209" t="str">
        <f t="shared" si="11"/>
        <v/>
      </c>
      <c r="M145" s="45" t="s">
        <v>27</v>
      </c>
      <c r="N145" s="34"/>
      <c r="O145" s="78"/>
      <c r="P145" s="78"/>
      <c r="Q145" s="78"/>
      <c r="R145" s="36">
        <f t="shared" si="8"/>
        <v>28348.636155563392</v>
      </c>
      <c r="S145" s="37" t="str">
        <f t="shared" si="7"/>
        <v/>
      </c>
      <c r="T145" s="37"/>
      <c r="X145" s="39" t="str">
        <f t="shared" si="9"/>
        <v/>
      </c>
      <c r="Y145" s="42" t="str">
        <f t="shared" si="10"/>
        <v/>
      </c>
    </row>
    <row r="146" spans="1:25" ht="14.5">
      <c r="A146" s="69"/>
      <c r="B146" s="274"/>
      <c r="C146" s="71"/>
      <c r="D146" s="72"/>
      <c r="E146" s="71"/>
      <c r="F146" s="72"/>
      <c r="G146" s="73"/>
      <c r="H146" s="73"/>
      <c r="I146" s="74"/>
      <c r="J146" s="75"/>
      <c r="K146" s="76"/>
      <c r="L146" s="209" t="str">
        <f t="shared" si="11"/>
        <v/>
      </c>
      <c r="M146" s="66">
        <f>SUM(J140:J183)/100</f>
        <v>0</v>
      </c>
      <c r="N146" s="34"/>
      <c r="O146" s="78"/>
      <c r="P146" s="78"/>
      <c r="Q146" s="78"/>
      <c r="R146" s="36">
        <f t="shared" si="8"/>
        <v>28348.636155563392</v>
      </c>
      <c r="S146" s="37" t="str">
        <f t="shared" si="7"/>
        <v/>
      </c>
      <c r="T146" s="37"/>
      <c r="X146" s="232" t="str">
        <f t="shared" si="9"/>
        <v/>
      </c>
      <c r="Y146" s="42" t="str">
        <f t="shared" si="10"/>
        <v/>
      </c>
    </row>
    <row r="147" spans="1:25" ht="14.5">
      <c r="A147" s="233"/>
      <c r="B147" s="234"/>
      <c r="C147" s="235"/>
      <c r="D147" s="236"/>
      <c r="E147" s="235"/>
      <c r="F147" s="236"/>
      <c r="G147" s="237"/>
      <c r="H147" s="237"/>
      <c r="I147" s="238"/>
      <c r="J147" s="239"/>
      <c r="K147" s="240"/>
      <c r="L147" s="243" t="str">
        <f t="shared" si="11"/>
        <v/>
      </c>
      <c r="M147" s="388"/>
      <c r="N147" s="68"/>
      <c r="O147" s="78"/>
      <c r="P147" s="78"/>
      <c r="Q147" s="78"/>
      <c r="R147" s="36">
        <f t="shared" si="8"/>
        <v>28348.636155563392</v>
      </c>
      <c r="S147" s="37" t="str">
        <f t="shared" si="7"/>
        <v/>
      </c>
      <c r="T147" s="37"/>
      <c r="X147" s="39" t="str">
        <f t="shared" si="9"/>
        <v/>
      </c>
      <c r="Y147" s="42" t="str">
        <f t="shared" si="10"/>
        <v/>
      </c>
    </row>
    <row r="148" spans="1:25" ht="14.5">
      <c r="A148" s="233"/>
      <c r="B148" s="234"/>
      <c r="C148" s="235"/>
      <c r="D148" s="236"/>
      <c r="E148" s="235"/>
      <c r="F148" s="236"/>
      <c r="G148" s="237"/>
      <c r="H148" s="237"/>
      <c r="I148" s="238"/>
      <c r="J148" s="239"/>
      <c r="K148" s="240"/>
      <c r="L148" s="243" t="str">
        <f t="shared" si="11"/>
        <v/>
      </c>
      <c r="M148" s="78"/>
      <c r="N148" s="68"/>
      <c r="O148" s="78"/>
      <c r="P148" s="78"/>
      <c r="Q148" s="78"/>
      <c r="R148" s="36">
        <f t="shared" si="8"/>
        <v>28348.636155563392</v>
      </c>
      <c r="S148" s="37" t="str">
        <f t="shared" si="7"/>
        <v/>
      </c>
      <c r="T148" s="37"/>
      <c r="X148" s="232" t="str">
        <f t="shared" si="9"/>
        <v/>
      </c>
      <c r="Y148" s="42" t="str">
        <f t="shared" si="10"/>
        <v/>
      </c>
    </row>
    <row r="149" spans="1:25" ht="14.5">
      <c r="A149" s="211"/>
      <c r="B149" s="212"/>
      <c r="C149" s="213"/>
      <c r="D149" s="214"/>
      <c r="E149" s="213"/>
      <c r="F149" s="215"/>
      <c r="G149" s="216"/>
      <c r="H149" s="216"/>
      <c r="I149" s="217"/>
      <c r="J149" s="218"/>
      <c r="K149" s="214"/>
      <c r="L149" s="219" t="str">
        <f t="shared" si="11"/>
        <v/>
      </c>
      <c r="M149" s="78"/>
      <c r="N149" s="68"/>
      <c r="O149" s="78"/>
      <c r="P149" s="78"/>
      <c r="Q149" s="78"/>
      <c r="R149" s="36">
        <f t="shared" si="8"/>
        <v>28348.636155563392</v>
      </c>
      <c r="S149" s="37" t="str">
        <f t="shared" si="7"/>
        <v/>
      </c>
      <c r="T149" s="37"/>
      <c r="X149" s="39" t="str">
        <f t="shared" si="9"/>
        <v/>
      </c>
      <c r="Y149" s="42" t="str">
        <f t="shared" si="10"/>
        <v/>
      </c>
    </row>
    <row r="150" spans="1:25" ht="14.5">
      <c r="A150" s="211"/>
      <c r="B150" s="212"/>
      <c r="C150" s="213"/>
      <c r="D150" s="214"/>
      <c r="E150" s="213"/>
      <c r="F150" s="215"/>
      <c r="G150" s="216"/>
      <c r="H150" s="216"/>
      <c r="I150" s="217"/>
      <c r="J150" s="218"/>
      <c r="K150" s="214"/>
      <c r="L150" s="219" t="str">
        <f t="shared" si="11"/>
        <v/>
      </c>
      <c r="M150" s="78"/>
      <c r="N150" s="68"/>
      <c r="O150" s="78"/>
      <c r="P150" s="78"/>
      <c r="Q150" s="78"/>
      <c r="R150" s="36">
        <f t="shared" si="8"/>
        <v>28348.636155563392</v>
      </c>
      <c r="S150" s="37" t="str">
        <f t="shared" si="7"/>
        <v/>
      </c>
      <c r="T150" s="37"/>
      <c r="X150" s="232" t="str">
        <f t="shared" si="9"/>
        <v/>
      </c>
      <c r="Y150" s="42" t="str">
        <f t="shared" si="10"/>
        <v/>
      </c>
    </row>
    <row r="151" spans="1:25" ht="14.5">
      <c r="A151" s="69"/>
      <c r="B151" s="274"/>
      <c r="C151" s="71"/>
      <c r="D151" s="72"/>
      <c r="E151" s="71"/>
      <c r="F151" s="72"/>
      <c r="G151" s="73"/>
      <c r="H151" s="73"/>
      <c r="I151" s="74"/>
      <c r="J151" s="75"/>
      <c r="K151" s="76"/>
      <c r="L151" s="210" t="str">
        <f t="shared" si="11"/>
        <v/>
      </c>
      <c r="M151" s="78"/>
      <c r="N151" s="68"/>
      <c r="O151" s="78"/>
      <c r="P151" s="78"/>
      <c r="Q151" s="78"/>
      <c r="R151" s="36">
        <f t="shared" si="8"/>
        <v>28348.636155563392</v>
      </c>
      <c r="S151" s="37" t="str">
        <f t="shared" si="7"/>
        <v/>
      </c>
      <c r="T151" s="37"/>
      <c r="X151" s="39" t="str">
        <f t="shared" si="9"/>
        <v/>
      </c>
      <c r="Y151" s="42" t="str">
        <f t="shared" si="10"/>
        <v/>
      </c>
    </row>
    <row r="152" spans="1:25" ht="14.5">
      <c r="A152" s="69"/>
      <c r="B152" s="274"/>
      <c r="C152" s="71"/>
      <c r="D152" s="72"/>
      <c r="E152" s="71"/>
      <c r="F152" s="72"/>
      <c r="G152" s="73"/>
      <c r="H152" s="73"/>
      <c r="I152" s="74"/>
      <c r="J152" s="75"/>
      <c r="K152" s="76"/>
      <c r="L152" s="210" t="str">
        <f t="shared" si="11"/>
        <v/>
      </c>
      <c r="M152" s="78"/>
      <c r="N152" s="68"/>
      <c r="O152" s="78"/>
      <c r="P152" s="78"/>
      <c r="Q152" s="78"/>
      <c r="R152" s="36">
        <f t="shared" si="8"/>
        <v>28348.636155563392</v>
      </c>
      <c r="S152" s="37" t="str">
        <f t="shared" si="7"/>
        <v/>
      </c>
      <c r="T152" s="37"/>
      <c r="X152" s="232" t="str">
        <f t="shared" si="9"/>
        <v/>
      </c>
      <c r="Y152" s="42" t="str">
        <f t="shared" si="10"/>
        <v/>
      </c>
    </row>
    <row r="153" spans="1:25" ht="14.5">
      <c r="A153" s="275"/>
      <c r="B153" s="276"/>
      <c r="C153" s="277"/>
      <c r="D153" s="278"/>
      <c r="E153" s="277"/>
      <c r="F153" s="278"/>
      <c r="G153" s="279"/>
      <c r="H153" s="279"/>
      <c r="I153" s="245"/>
      <c r="J153" s="280"/>
      <c r="K153" s="281"/>
      <c r="L153" s="282" t="str">
        <f t="shared" si="11"/>
        <v/>
      </c>
      <c r="M153" s="78"/>
      <c r="N153" s="68"/>
      <c r="O153" s="78"/>
      <c r="P153" s="78"/>
      <c r="Q153" s="78"/>
      <c r="R153" s="36">
        <f t="shared" si="8"/>
        <v>28348.636155563392</v>
      </c>
      <c r="S153" s="37" t="str">
        <f t="shared" si="7"/>
        <v/>
      </c>
      <c r="T153" s="37"/>
      <c r="X153" s="39" t="str">
        <f t="shared" si="9"/>
        <v/>
      </c>
      <c r="Y153" s="42" t="str">
        <f t="shared" si="10"/>
        <v/>
      </c>
    </row>
    <row r="154" spans="1:25" ht="14.5">
      <c r="A154" s="275"/>
      <c r="B154" s="276"/>
      <c r="C154" s="277"/>
      <c r="D154" s="278"/>
      <c r="E154" s="277"/>
      <c r="F154" s="278"/>
      <c r="G154" s="279"/>
      <c r="H154" s="279"/>
      <c r="I154" s="245"/>
      <c r="J154" s="280"/>
      <c r="K154" s="281"/>
      <c r="L154" s="282" t="str">
        <f t="shared" si="11"/>
        <v/>
      </c>
      <c r="M154" s="78"/>
      <c r="N154" s="68"/>
      <c r="O154" s="78"/>
      <c r="P154" s="78"/>
      <c r="Q154" s="78"/>
      <c r="R154" s="36">
        <f t="shared" si="8"/>
        <v>28348.636155563392</v>
      </c>
      <c r="S154" s="37" t="str">
        <f t="shared" si="7"/>
        <v/>
      </c>
      <c r="T154" s="37"/>
      <c r="X154" s="232" t="str">
        <f t="shared" si="9"/>
        <v/>
      </c>
      <c r="Y154" s="42" t="str">
        <f t="shared" si="10"/>
        <v/>
      </c>
    </row>
    <row r="155" spans="1:25" ht="14.5">
      <c r="A155" s="165"/>
      <c r="B155" s="246"/>
      <c r="C155" s="167"/>
      <c r="D155" s="169"/>
      <c r="E155" s="167"/>
      <c r="F155" s="169"/>
      <c r="G155" s="170"/>
      <c r="H155" s="170"/>
      <c r="I155" s="171"/>
      <c r="J155" s="172"/>
      <c r="K155" s="168"/>
      <c r="L155" s="173" t="str">
        <f t="shared" si="11"/>
        <v/>
      </c>
      <c r="M155" s="78"/>
      <c r="N155" s="68"/>
      <c r="O155" s="78"/>
      <c r="P155" s="78"/>
      <c r="Q155" s="78"/>
      <c r="R155" s="36">
        <f t="shared" si="8"/>
        <v>28348.636155563392</v>
      </c>
      <c r="S155" s="37" t="str">
        <f t="shared" si="7"/>
        <v/>
      </c>
      <c r="T155" s="37"/>
      <c r="X155" s="39" t="str">
        <f t="shared" si="9"/>
        <v/>
      </c>
      <c r="Y155" s="42" t="str">
        <f t="shared" si="10"/>
        <v/>
      </c>
    </row>
    <row r="156" spans="1:25" ht="14.5">
      <c r="A156" s="165"/>
      <c r="B156" s="246"/>
      <c r="C156" s="167"/>
      <c r="D156" s="169"/>
      <c r="E156" s="167"/>
      <c r="F156" s="169"/>
      <c r="G156" s="170"/>
      <c r="H156" s="170"/>
      <c r="I156" s="171"/>
      <c r="J156" s="172"/>
      <c r="K156" s="168"/>
      <c r="L156" s="173" t="str">
        <f t="shared" si="11"/>
        <v/>
      </c>
      <c r="M156" s="78"/>
      <c r="N156" s="68"/>
      <c r="O156" s="78"/>
      <c r="P156" s="78"/>
      <c r="Q156" s="78"/>
      <c r="R156" s="36">
        <f t="shared" si="8"/>
        <v>28348.636155563392</v>
      </c>
      <c r="S156" s="37" t="str">
        <f t="shared" si="7"/>
        <v/>
      </c>
      <c r="T156" s="37"/>
      <c r="X156" s="232" t="str">
        <f t="shared" si="9"/>
        <v/>
      </c>
      <c r="Y156" s="42" t="str">
        <f t="shared" si="10"/>
        <v/>
      </c>
    </row>
    <row r="157" spans="1:25" ht="14.5">
      <c r="A157" s="201"/>
      <c r="B157" s="283"/>
      <c r="C157" s="203"/>
      <c r="D157" s="205"/>
      <c r="E157" s="203"/>
      <c r="F157" s="205"/>
      <c r="G157" s="206"/>
      <c r="H157" s="206"/>
      <c r="I157" s="207"/>
      <c r="J157" s="208"/>
      <c r="K157" s="204"/>
      <c r="L157" s="210" t="str">
        <f t="shared" si="11"/>
        <v/>
      </c>
      <c r="M157" s="78"/>
      <c r="N157" s="68"/>
      <c r="O157" s="78"/>
      <c r="P157" s="78"/>
      <c r="Q157" s="78"/>
      <c r="R157" s="36">
        <f t="shared" si="8"/>
        <v>28348.636155563392</v>
      </c>
      <c r="S157" s="37" t="str">
        <f t="shared" si="7"/>
        <v/>
      </c>
      <c r="T157" s="37"/>
      <c r="X157" s="39" t="str">
        <f t="shared" si="9"/>
        <v/>
      </c>
      <c r="Y157" s="42" t="str">
        <f t="shared" si="10"/>
        <v/>
      </c>
    </row>
    <row r="158" spans="1:25" ht="14.5">
      <c r="A158" s="201"/>
      <c r="B158" s="283"/>
      <c r="C158" s="203"/>
      <c r="D158" s="205"/>
      <c r="E158" s="203"/>
      <c r="F158" s="205"/>
      <c r="G158" s="206"/>
      <c r="H158" s="206"/>
      <c r="I158" s="207"/>
      <c r="J158" s="208"/>
      <c r="K158" s="204"/>
      <c r="L158" s="210" t="str">
        <f t="shared" si="11"/>
        <v/>
      </c>
      <c r="M158" s="78"/>
      <c r="N158" s="68"/>
      <c r="O158" s="78"/>
      <c r="P158" s="78"/>
      <c r="Q158" s="78"/>
      <c r="R158" s="36">
        <f t="shared" si="8"/>
        <v>28348.636155563392</v>
      </c>
      <c r="S158" s="37" t="str">
        <f t="shared" si="7"/>
        <v/>
      </c>
      <c r="T158" s="37"/>
      <c r="X158" s="232" t="str">
        <f t="shared" si="9"/>
        <v/>
      </c>
      <c r="Y158" s="42" t="str">
        <f t="shared" si="10"/>
        <v/>
      </c>
    </row>
    <row r="159" spans="1:25" ht="14.5">
      <c r="A159" s="118"/>
      <c r="B159" s="119"/>
      <c r="C159" s="120"/>
      <c r="D159" s="125"/>
      <c r="E159" s="120"/>
      <c r="F159" s="121"/>
      <c r="G159" s="122"/>
      <c r="H159" s="122"/>
      <c r="I159" s="142"/>
      <c r="J159" s="124"/>
      <c r="K159" s="125"/>
      <c r="L159" s="574" t="str">
        <f t="shared" si="11"/>
        <v/>
      </c>
      <c r="M159" s="78"/>
      <c r="N159" s="68"/>
      <c r="O159" s="78"/>
      <c r="P159" s="78"/>
      <c r="Q159" s="78"/>
      <c r="R159" s="36">
        <f t="shared" si="8"/>
        <v>28348.636155563392</v>
      </c>
      <c r="S159" s="37" t="str">
        <f t="shared" si="7"/>
        <v/>
      </c>
      <c r="T159" s="37"/>
      <c r="X159" s="39" t="str">
        <f t="shared" si="9"/>
        <v/>
      </c>
      <c r="Y159" s="42" t="str">
        <f t="shared" si="10"/>
        <v/>
      </c>
    </row>
    <row r="160" spans="1:25" ht="14.5">
      <c r="A160" s="118"/>
      <c r="B160" s="137"/>
      <c r="C160" s="138"/>
      <c r="D160" s="139"/>
      <c r="E160" s="138"/>
      <c r="F160" s="140"/>
      <c r="G160" s="141"/>
      <c r="H160" s="141"/>
      <c r="I160" s="142"/>
      <c r="J160" s="143"/>
      <c r="K160" s="139"/>
      <c r="L160" s="144" t="str">
        <f t="shared" si="11"/>
        <v/>
      </c>
      <c r="M160" s="78"/>
      <c r="N160" s="68"/>
      <c r="O160" s="78"/>
      <c r="P160" s="78"/>
      <c r="Q160" s="78"/>
      <c r="R160" s="36">
        <f t="shared" si="8"/>
        <v>28348.636155563392</v>
      </c>
      <c r="S160" s="37" t="str">
        <f t="shared" si="7"/>
        <v/>
      </c>
      <c r="T160" s="37"/>
      <c r="X160" s="232" t="str">
        <f t="shared" si="9"/>
        <v/>
      </c>
      <c r="Y160" s="42" t="str">
        <f t="shared" si="10"/>
        <v/>
      </c>
    </row>
    <row r="161" spans="1:25" ht="14.5">
      <c r="A161" s="22"/>
      <c r="B161" s="23"/>
      <c r="C161" s="24"/>
      <c r="D161" s="25"/>
      <c r="E161" s="24"/>
      <c r="F161" s="26"/>
      <c r="G161" s="27"/>
      <c r="H161" s="28"/>
      <c r="I161" s="29"/>
      <c r="J161" s="30"/>
      <c r="K161" s="31"/>
      <c r="L161" s="242" t="str">
        <f t="shared" si="11"/>
        <v/>
      </c>
      <c r="M161" s="78"/>
      <c r="N161" s="68"/>
      <c r="O161" s="78"/>
      <c r="P161" s="78"/>
      <c r="Q161" s="78"/>
      <c r="R161" s="36">
        <f t="shared" si="8"/>
        <v>28348.636155563392</v>
      </c>
      <c r="S161" s="37" t="str">
        <f t="shared" si="7"/>
        <v/>
      </c>
      <c r="T161" s="37"/>
      <c r="X161" s="39" t="str">
        <f t="shared" si="9"/>
        <v/>
      </c>
      <c r="Y161" s="42" t="str">
        <f t="shared" si="10"/>
        <v/>
      </c>
    </row>
    <row r="162" spans="1:25" ht="14.5">
      <c r="A162" s="22"/>
      <c r="B162" s="23"/>
      <c r="C162" s="24"/>
      <c r="D162" s="25"/>
      <c r="E162" s="24"/>
      <c r="F162" s="26"/>
      <c r="G162" s="27"/>
      <c r="H162" s="27"/>
      <c r="I162" s="43"/>
      <c r="J162" s="44"/>
      <c r="K162" s="25"/>
      <c r="L162" s="242" t="str">
        <f t="shared" si="11"/>
        <v/>
      </c>
      <c r="M162" s="78"/>
      <c r="N162" s="68"/>
      <c r="O162" s="78"/>
      <c r="P162" s="78"/>
      <c r="Q162" s="78"/>
      <c r="R162" s="36">
        <f t="shared" si="8"/>
        <v>28348.636155563392</v>
      </c>
      <c r="S162" s="37" t="str">
        <f t="shared" si="7"/>
        <v/>
      </c>
      <c r="T162" s="37"/>
      <c r="X162" s="232" t="str">
        <f t="shared" si="9"/>
        <v/>
      </c>
      <c r="Y162" s="42" t="str">
        <f t="shared" si="10"/>
        <v/>
      </c>
    </row>
    <row r="163" spans="1:25" ht="14.5">
      <c r="A163" s="47"/>
      <c r="B163" s="48"/>
      <c r="C163" s="49"/>
      <c r="D163" s="54"/>
      <c r="E163" s="49"/>
      <c r="F163" s="50"/>
      <c r="G163" s="51"/>
      <c r="H163" s="51"/>
      <c r="I163" s="52"/>
      <c r="J163" s="53"/>
      <c r="K163" s="54"/>
      <c r="L163" s="174" t="str">
        <f t="shared" si="11"/>
        <v/>
      </c>
      <c r="M163" s="78"/>
      <c r="N163" s="68"/>
      <c r="O163" s="78"/>
      <c r="P163" s="78"/>
      <c r="Q163" s="78"/>
      <c r="R163" s="36">
        <f t="shared" si="8"/>
        <v>28348.636155563392</v>
      </c>
      <c r="S163" s="37" t="str">
        <f t="shared" si="7"/>
        <v/>
      </c>
      <c r="T163" s="37"/>
      <c r="X163" s="39" t="str">
        <f t="shared" si="9"/>
        <v/>
      </c>
      <c r="Y163" s="42" t="str">
        <f t="shared" si="10"/>
        <v/>
      </c>
    </row>
    <row r="164" spans="1:25" ht="15" customHeight="1">
      <c r="A164" s="47"/>
      <c r="B164" s="48"/>
      <c r="C164" s="49"/>
      <c r="D164" s="54"/>
      <c r="E164" s="49"/>
      <c r="F164" s="50"/>
      <c r="G164" s="51"/>
      <c r="H164" s="51"/>
      <c r="I164" s="52"/>
      <c r="J164" s="53"/>
      <c r="K164" s="54"/>
      <c r="L164" s="174" t="str">
        <f t="shared" si="11"/>
        <v/>
      </c>
      <c r="M164" s="78"/>
      <c r="N164" s="68"/>
      <c r="O164" s="78"/>
      <c r="P164" s="78"/>
      <c r="Q164" s="78"/>
      <c r="R164" s="36">
        <f t="shared" si="8"/>
        <v>28348.636155563392</v>
      </c>
      <c r="S164" s="37" t="str">
        <f t="shared" si="7"/>
        <v/>
      </c>
      <c r="T164" s="37"/>
      <c r="X164" s="232" t="str">
        <f t="shared" si="9"/>
        <v/>
      </c>
      <c r="Y164" s="42" t="str">
        <f t="shared" si="10"/>
        <v/>
      </c>
    </row>
    <row r="165" spans="1:25" ht="15" customHeight="1">
      <c r="A165" s="22"/>
      <c r="B165" s="23"/>
      <c r="C165" s="24"/>
      <c r="D165" s="25"/>
      <c r="E165" s="24"/>
      <c r="F165" s="26"/>
      <c r="G165" s="27"/>
      <c r="H165" s="28"/>
      <c r="I165" s="29"/>
      <c r="J165" s="30"/>
      <c r="K165" s="31"/>
      <c r="L165" s="242" t="str">
        <f t="shared" si="11"/>
        <v/>
      </c>
      <c r="M165" s="78"/>
      <c r="N165" s="68"/>
      <c r="O165" s="78"/>
      <c r="P165" s="78"/>
      <c r="Q165" s="78"/>
      <c r="R165" s="36">
        <f t="shared" si="8"/>
        <v>28348.636155563392</v>
      </c>
      <c r="S165" s="37" t="str">
        <f t="shared" si="7"/>
        <v/>
      </c>
      <c r="T165" s="37"/>
      <c r="X165" s="39" t="str">
        <f t="shared" si="9"/>
        <v/>
      </c>
      <c r="Y165" s="42" t="str">
        <f t="shared" si="10"/>
        <v/>
      </c>
    </row>
    <row r="166" spans="1:25" ht="15" customHeight="1">
      <c r="A166" s="22"/>
      <c r="B166" s="23"/>
      <c r="C166" s="24"/>
      <c r="D166" s="25"/>
      <c r="E166" s="24"/>
      <c r="F166" s="26"/>
      <c r="G166" s="27"/>
      <c r="H166" s="27"/>
      <c r="I166" s="43"/>
      <c r="J166" s="44"/>
      <c r="K166" s="25"/>
      <c r="L166" s="242" t="str">
        <f t="shared" si="11"/>
        <v/>
      </c>
      <c r="M166" s="78"/>
      <c r="N166" s="68"/>
      <c r="O166" s="78"/>
      <c r="P166" s="78"/>
      <c r="Q166" s="78"/>
      <c r="R166" s="36">
        <f t="shared" si="8"/>
        <v>28348.636155563392</v>
      </c>
      <c r="S166" s="37" t="str">
        <f t="shared" si="7"/>
        <v/>
      </c>
      <c r="T166" s="37"/>
      <c r="X166" s="232" t="str">
        <f t="shared" si="9"/>
        <v/>
      </c>
      <c r="Y166" s="42" t="str">
        <f t="shared" si="10"/>
        <v/>
      </c>
    </row>
    <row r="167" spans="1:25" ht="14.5">
      <c r="A167" s="47"/>
      <c r="B167" s="48"/>
      <c r="C167" s="49"/>
      <c r="D167" s="54"/>
      <c r="E167" s="49"/>
      <c r="F167" s="50"/>
      <c r="G167" s="51"/>
      <c r="H167" s="51"/>
      <c r="I167" s="52"/>
      <c r="J167" s="53"/>
      <c r="K167" s="54"/>
      <c r="L167" s="174" t="str">
        <f t="shared" si="11"/>
        <v/>
      </c>
      <c r="M167" s="78"/>
      <c r="N167" s="68"/>
      <c r="O167" s="78"/>
      <c r="P167" s="78"/>
      <c r="Q167" s="78"/>
      <c r="R167" s="36">
        <f t="shared" si="8"/>
        <v>28348.636155563392</v>
      </c>
      <c r="S167" s="37" t="str">
        <f t="shared" si="7"/>
        <v/>
      </c>
      <c r="T167" s="37"/>
      <c r="X167" s="39" t="str">
        <f t="shared" si="9"/>
        <v/>
      </c>
      <c r="Y167" s="42" t="str">
        <f t="shared" si="10"/>
        <v/>
      </c>
    </row>
    <row r="168" spans="1:25" ht="14.5">
      <c r="A168" s="47"/>
      <c r="B168" s="48"/>
      <c r="C168" s="49"/>
      <c r="D168" s="54"/>
      <c r="E168" s="49"/>
      <c r="F168" s="50"/>
      <c r="G168" s="51"/>
      <c r="H168" s="51"/>
      <c r="I168" s="52"/>
      <c r="J168" s="53"/>
      <c r="K168" s="54"/>
      <c r="L168" s="174" t="str">
        <f t="shared" si="11"/>
        <v/>
      </c>
      <c r="M168" s="78"/>
      <c r="N168" s="68"/>
      <c r="O168" s="78"/>
      <c r="P168" s="78"/>
      <c r="Q168" s="78"/>
      <c r="R168" s="36">
        <f t="shared" si="8"/>
        <v>28348.636155563392</v>
      </c>
      <c r="S168" s="37" t="str">
        <f t="shared" si="7"/>
        <v/>
      </c>
      <c r="T168" s="37"/>
      <c r="X168" s="232" t="str">
        <f t="shared" si="9"/>
        <v/>
      </c>
      <c r="Y168" s="42" t="str">
        <f t="shared" si="10"/>
        <v/>
      </c>
    </row>
    <row r="169" spans="1:25" ht="14.5">
      <c r="A169" s="22"/>
      <c r="B169" s="23"/>
      <c r="C169" s="24"/>
      <c r="D169" s="25"/>
      <c r="E169" s="24"/>
      <c r="F169" s="26"/>
      <c r="G169" s="27"/>
      <c r="H169" s="28"/>
      <c r="I169" s="29"/>
      <c r="J169" s="30"/>
      <c r="K169" s="31"/>
      <c r="L169" s="242" t="str">
        <f t="shared" si="11"/>
        <v/>
      </c>
      <c r="M169" s="78"/>
      <c r="N169" s="68"/>
      <c r="O169" s="78"/>
      <c r="P169" s="78"/>
      <c r="Q169" s="78"/>
      <c r="R169" s="36">
        <f t="shared" si="8"/>
        <v>28348.636155563392</v>
      </c>
      <c r="S169" s="37" t="str">
        <f t="shared" si="7"/>
        <v/>
      </c>
      <c r="T169" s="37"/>
      <c r="X169" s="39" t="str">
        <f t="shared" si="9"/>
        <v/>
      </c>
      <c r="Y169" s="42" t="str">
        <f t="shared" si="10"/>
        <v/>
      </c>
    </row>
    <row r="170" spans="1:25" ht="14.5">
      <c r="A170" s="22"/>
      <c r="B170" s="23"/>
      <c r="C170" s="24"/>
      <c r="D170" s="25"/>
      <c r="E170" s="24"/>
      <c r="F170" s="26"/>
      <c r="G170" s="27"/>
      <c r="H170" s="27"/>
      <c r="I170" s="43"/>
      <c r="J170" s="44"/>
      <c r="K170" s="25"/>
      <c r="L170" s="242" t="str">
        <f t="shared" si="11"/>
        <v/>
      </c>
      <c r="M170" s="78"/>
      <c r="N170" s="68"/>
      <c r="O170" s="78"/>
      <c r="P170" s="78"/>
      <c r="Q170" s="78"/>
      <c r="R170" s="36">
        <f t="shared" si="8"/>
        <v>28348.636155563392</v>
      </c>
      <c r="S170" s="37" t="str">
        <f t="shared" si="7"/>
        <v/>
      </c>
      <c r="T170" s="37"/>
      <c r="X170" s="232" t="str">
        <f t="shared" si="9"/>
        <v/>
      </c>
      <c r="Y170" s="42" t="str">
        <f t="shared" si="10"/>
        <v/>
      </c>
    </row>
    <row r="171" spans="1:25" ht="14.5">
      <c r="A171" s="47"/>
      <c r="B171" s="48"/>
      <c r="C171" s="49"/>
      <c r="D171" s="54"/>
      <c r="E171" s="49"/>
      <c r="F171" s="50"/>
      <c r="G171" s="51"/>
      <c r="H171" s="51"/>
      <c r="I171" s="52"/>
      <c r="J171" s="53"/>
      <c r="K171" s="54"/>
      <c r="L171" s="174" t="str">
        <f t="shared" si="11"/>
        <v/>
      </c>
      <c r="M171" s="78"/>
      <c r="N171" s="68"/>
      <c r="O171" s="78"/>
      <c r="P171" s="78"/>
      <c r="Q171" s="78"/>
      <c r="R171" s="36">
        <f t="shared" si="8"/>
        <v>28348.636155563392</v>
      </c>
      <c r="S171" s="37" t="str">
        <f t="shared" si="7"/>
        <v/>
      </c>
      <c r="T171" s="37"/>
      <c r="X171" s="39" t="str">
        <f t="shared" si="9"/>
        <v/>
      </c>
      <c r="Y171" s="42" t="str">
        <f t="shared" si="10"/>
        <v/>
      </c>
    </row>
    <row r="172" spans="1:25" ht="14.5">
      <c r="A172" s="47"/>
      <c r="B172" s="48"/>
      <c r="C172" s="49"/>
      <c r="D172" s="54"/>
      <c r="E172" s="49"/>
      <c r="F172" s="50"/>
      <c r="G172" s="51"/>
      <c r="H172" s="51"/>
      <c r="I172" s="52"/>
      <c r="J172" s="53"/>
      <c r="K172" s="54"/>
      <c r="L172" s="174" t="str">
        <f t="shared" si="11"/>
        <v/>
      </c>
      <c r="M172" s="78"/>
      <c r="N172" s="68"/>
      <c r="O172" s="78"/>
      <c r="P172" s="78"/>
      <c r="Q172" s="78"/>
      <c r="R172" s="36">
        <f t="shared" si="8"/>
        <v>28348.636155563392</v>
      </c>
      <c r="S172" s="37" t="str">
        <f t="shared" si="7"/>
        <v/>
      </c>
      <c r="T172" s="37"/>
      <c r="X172" s="232" t="str">
        <f t="shared" si="9"/>
        <v/>
      </c>
      <c r="Y172" s="42" t="str">
        <f t="shared" si="10"/>
        <v/>
      </c>
    </row>
    <row r="173" spans="1:25" ht="14.5">
      <c r="A173" s="22"/>
      <c r="B173" s="23"/>
      <c r="C173" s="24"/>
      <c r="D173" s="25"/>
      <c r="E173" s="24"/>
      <c r="F173" s="26"/>
      <c r="G173" s="27"/>
      <c r="H173" s="28"/>
      <c r="I173" s="29"/>
      <c r="J173" s="30"/>
      <c r="K173" s="31"/>
      <c r="L173" s="242" t="str">
        <f t="shared" si="11"/>
        <v/>
      </c>
      <c r="M173" s="78"/>
      <c r="N173" s="68"/>
      <c r="O173" s="78"/>
      <c r="P173" s="78"/>
      <c r="Q173" s="78"/>
      <c r="R173" s="36">
        <f t="shared" si="8"/>
        <v>28348.636155563392</v>
      </c>
      <c r="S173" s="37" t="str">
        <f t="shared" si="7"/>
        <v/>
      </c>
      <c r="T173" s="37"/>
      <c r="X173" s="39" t="str">
        <f t="shared" si="9"/>
        <v/>
      </c>
      <c r="Y173" s="42" t="str">
        <f t="shared" si="10"/>
        <v/>
      </c>
    </row>
    <row r="174" spans="1:25" ht="14.5">
      <c r="A174" s="22"/>
      <c r="B174" s="23"/>
      <c r="C174" s="24"/>
      <c r="D174" s="25"/>
      <c r="E174" s="24"/>
      <c r="F174" s="26"/>
      <c r="G174" s="27"/>
      <c r="H174" s="27"/>
      <c r="I174" s="43"/>
      <c r="J174" s="44"/>
      <c r="K174" s="25"/>
      <c r="L174" s="242" t="str">
        <f t="shared" si="11"/>
        <v/>
      </c>
      <c r="M174" s="78"/>
      <c r="N174" s="68"/>
      <c r="O174" s="78"/>
      <c r="P174" s="78"/>
      <c r="Q174" s="78"/>
      <c r="R174" s="36">
        <f t="shared" si="8"/>
        <v>28348.636155563392</v>
      </c>
      <c r="S174" s="37" t="str">
        <f t="shared" si="7"/>
        <v/>
      </c>
      <c r="T174" s="37"/>
      <c r="X174" s="232" t="str">
        <f t="shared" si="9"/>
        <v/>
      </c>
      <c r="Y174" s="42" t="str">
        <f t="shared" si="10"/>
        <v/>
      </c>
    </row>
    <row r="175" spans="1:25" ht="14.5">
      <c r="A175" s="47"/>
      <c r="B175" s="48"/>
      <c r="C175" s="49"/>
      <c r="D175" s="54"/>
      <c r="E175" s="49"/>
      <c r="F175" s="50"/>
      <c r="G175" s="51"/>
      <c r="H175" s="51"/>
      <c r="I175" s="52"/>
      <c r="J175" s="53"/>
      <c r="K175" s="54"/>
      <c r="L175" s="174" t="str">
        <f t="shared" si="11"/>
        <v/>
      </c>
      <c r="M175" s="78"/>
      <c r="N175" s="68"/>
      <c r="O175" s="78"/>
      <c r="P175" s="78"/>
      <c r="Q175" s="78"/>
      <c r="R175" s="36">
        <f t="shared" si="8"/>
        <v>28348.636155563392</v>
      </c>
      <c r="S175" s="37" t="str">
        <f t="shared" si="7"/>
        <v/>
      </c>
      <c r="T175" s="37"/>
      <c r="X175" s="232" t="str">
        <f t="shared" si="9"/>
        <v/>
      </c>
      <c r="Y175" s="42" t="str">
        <f t="shared" si="10"/>
        <v/>
      </c>
    </row>
    <row r="176" spans="1:25" ht="14.5">
      <c r="A176" s="47"/>
      <c r="B176" s="48"/>
      <c r="C176" s="49"/>
      <c r="D176" s="54"/>
      <c r="E176" s="49"/>
      <c r="F176" s="50"/>
      <c r="G176" s="51"/>
      <c r="H176" s="51"/>
      <c r="I176" s="52"/>
      <c r="J176" s="53"/>
      <c r="K176" s="54"/>
      <c r="L176" s="174" t="str">
        <f t="shared" si="11"/>
        <v/>
      </c>
      <c r="M176" s="78"/>
      <c r="N176" s="68"/>
      <c r="O176" s="78"/>
      <c r="P176" s="78"/>
      <c r="Q176" s="78"/>
      <c r="R176" s="36">
        <f t="shared" si="8"/>
        <v>28348.636155563392</v>
      </c>
      <c r="S176" s="37" t="str">
        <f t="shared" si="7"/>
        <v/>
      </c>
      <c r="T176" s="37"/>
      <c r="X176" s="39" t="str">
        <f t="shared" si="9"/>
        <v/>
      </c>
      <c r="Y176" s="42" t="str">
        <f t="shared" si="10"/>
        <v/>
      </c>
    </row>
    <row r="177" spans="1:25" ht="14.5">
      <c r="A177" s="22"/>
      <c r="B177" s="23"/>
      <c r="C177" s="24"/>
      <c r="D177" s="25"/>
      <c r="E177" s="24"/>
      <c r="F177" s="26"/>
      <c r="G177" s="27"/>
      <c r="H177" s="28"/>
      <c r="I177" s="29"/>
      <c r="J177" s="30"/>
      <c r="K177" s="31"/>
      <c r="L177" s="242" t="str">
        <f t="shared" si="11"/>
        <v/>
      </c>
      <c r="M177" s="78"/>
      <c r="N177" s="68"/>
      <c r="O177" s="78"/>
      <c r="P177" s="78"/>
      <c r="Q177" s="78"/>
      <c r="R177" s="36">
        <f t="shared" si="8"/>
        <v>28348.636155563392</v>
      </c>
      <c r="S177" s="37" t="str">
        <f t="shared" si="7"/>
        <v/>
      </c>
      <c r="T177" s="37"/>
      <c r="X177" s="232" t="str">
        <f t="shared" si="9"/>
        <v/>
      </c>
      <c r="Y177" s="42" t="str">
        <f t="shared" si="10"/>
        <v/>
      </c>
    </row>
    <row r="178" spans="1:25" ht="14.5">
      <c r="A178" s="22"/>
      <c r="B178" s="23"/>
      <c r="C178" s="24"/>
      <c r="D178" s="25"/>
      <c r="E178" s="24"/>
      <c r="F178" s="26"/>
      <c r="G178" s="27"/>
      <c r="H178" s="27"/>
      <c r="I178" s="43"/>
      <c r="J178" s="44"/>
      <c r="K178" s="25"/>
      <c r="L178" s="242" t="str">
        <f t="shared" si="11"/>
        <v/>
      </c>
      <c r="M178" s="78"/>
      <c r="N178" s="68"/>
      <c r="O178" s="78"/>
      <c r="P178" s="78"/>
      <c r="Q178" s="78"/>
      <c r="R178" s="36">
        <f t="shared" si="8"/>
        <v>28348.636155563392</v>
      </c>
      <c r="S178" s="37" t="str">
        <f t="shared" si="7"/>
        <v/>
      </c>
      <c r="T178" s="37"/>
      <c r="X178" s="39" t="str">
        <f t="shared" si="9"/>
        <v/>
      </c>
      <c r="Y178" s="42" t="str">
        <f t="shared" si="10"/>
        <v/>
      </c>
    </row>
    <row r="179" spans="1:25" ht="14.5">
      <c r="A179" s="118"/>
      <c r="B179" s="119"/>
      <c r="C179" s="120"/>
      <c r="D179" s="125"/>
      <c r="E179" s="120"/>
      <c r="F179" s="121"/>
      <c r="G179" s="122"/>
      <c r="H179" s="122"/>
      <c r="I179" s="142"/>
      <c r="J179" s="124"/>
      <c r="K179" s="125"/>
      <c r="L179" s="574" t="str">
        <f t="shared" si="11"/>
        <v/>
      </c>
      <c r="M179" s="78"/>
      <c r="N179" s="68"/>
      <c r="O179" s="78"/>
      <c r="P179" s="78"/>
      <c r="Q179" s="78"/>
      <c r="R179" s="36">
        <f t="shared" si="8"/>
        <v>28348.636155563392</v>
      </c>
      <c r="S179" s="37" t="str">
        <f t="shared" si="7"/>
        <v/>
      </c>
      <c r="T179" s="37"/>
      <c r="X179" s="232" t="str">
        <f t="shared" si="9"/>
        <v/>
      </c>
      <c r="Y179" s="42" t="str">
        <f t="shared" si="10"/>
        <v/>
      </c>
    </row>
    <row r="180" spans="1:25" ht="14.5">
      <c r="A180" s="118"/>
      <c r="B180" s="137"/>
      <c r="C180" s="138"/>
      <c r="D180" s="139"/>
      <c r="E180" s="138"/>
      <c r="F180" s="140"/>
      <c r="G180" s="141"/>
      <c r="H180" s="141"/>
      <c r="I180" s="142"/>
      <c r="J180" s="143"/>
      <c r="K180" s="139"/>
      <c r="L180" s="144" t="str">
        <f t="shared" si="11"/>
        <v/>
      </c>
      <c r="M180" s="78"/>
      <c r="N180" s="68"/>
      <c r="O180" s="78"/>
      <c r="P180" s="78"/>
      <c r="Q180" s="78"/>
      <c r="R180" s="36">
        <f t="shared" si="8"/>
        <v>28348.636155563392</v>
      </c>
      <c r="S180" s="37" t="str">
        <f t="shared" si="7"/>
        <v/>
      </c>
      <c r="T180" s="37"/>
      <c r="X180" s="39" t="str">
        <f t="shared" si="9"/>
        <v/>
      </c>
      <c r="Y180" s="42" t="str">
        <f t="shared" si="10"/>
        <v/>
      </c>
    </row>
    <row r="181" spans="1:25" ht="14.5">
      <c r="A181" s="118"/>
      <c r="B181" s="119"/>
      <c r="C181" s="120"/>
      <c r="D181" s="125"/>
      <c r="E181" s="120"/>
      <c r="F181" s="121"/>
      <c r="G181" s="122"/>
      <c r="H181" s="122"/>
      <c r="I181" s="142"/>
      <c r="J181" s="124"/>
      <c r="K181" s="125"/>
      <c r="L181" s="574" t="str">
        <f t="shared" si="11"/>
        <v/>
      </c>
      <c r="M181" s="78"/>
      <c r="N181" s="68"/>
      <c r="O181" s="78"/>
      <c r="P181" s="78"/>
      <c r="Q181" s="78"/>
      <c r="R181" s="36">
        <f t="shared" si="8"/>
        <v>28348.636155563392</v>
      </c>
      <c r="S181" s="37" t="str">
        <f t="shared" si="7"/>
        <v/>
      </c>
      <c r="T181" s="37"/>
      <c r="X181" s="232" t="str">
        <f t="shared" si="9"/>
        <v/>
      </c>
      <c r="Y181" s="42" t="str">
        <f t="shared" si="10"/>
        <v/>
      </c>
    </row>
    <row r="182" spans="1:25" ht="14.5">
      <c r="A182" s="118"/>
      <c r="B182" s="137"/>
      <c r="C182" s="138"/>
      <c r="D182" s="139"/>
      <c r="E182" s="138"/>
      <c r="F182" s="140"/>
      <c r="G182" s="141"/>
      <c r="H182" s="141"/>
      <c r="I182" s="142"/>
      <c r="J182" s="143"/>
      <c r="K182" s="139"/>
      <c r="L182" s="144" t="str">
        <f t="shared" si="11"/>
        <v/>
      </c>
      <c r="M182" s="78"/>
      <c r="N182" s="68"/>
      <c r="O182" s="78"/>
      <c r="P182" s="78"/>
      <c r="Q182" s="78"/>
      <c r="R182" s="36">
        <f t="shared" si="8"/>
        <v>28348.636155563392</v>
      </c>
      <c r="S182" s="37" t="str">
        <f t="shared" si="7"/>
        <v/>
      </c>
      <c r="T182" s="37"/>
      <c r="X182" s="39" t="str">
        <f t="shared" ref="X182:X245" si="12">IF(I297&lt;&gt;0,I297,"")</f>
        <v/>
      </c>
      <c r="Y182" s="42" t="str">
        <f t="shared" ref="Y182:Y245" si="13">IF(I297&lt;&gt;0,A297,"")</f>
        <v/>
      </c>
    </row>
    <row r="183" spans="1:25" ht="14.5">
      <c r="A183" s="284"/>
      <c r="B183" s="285"/>
      <c r="C183" s="286"/>
      <c r="D183" s="287"/>
      <c r="E183" s="286"/>
      <c r="F183" s="288"/>
      <c r="G183" s="289"/>
      <c r="H183" s="289"/>
      <c r="I183" s="290"/>
      <c r="J183" s="291"/>
      <c r="K183" s="287"/>
      <c r="L183" s="292" t="str">
        <f t="shared" si="11"/>
        <v/>
      </c>
      <c r="M183" s="383"/>
      <c r="N183" s="68"/>
      <c r="O183" s="78"/>
      <c r="P183" s="78"/>
      <c r="Q183" s="78"/>
      <c r="R183" s="36">
        <f t="shared" si="8"/>
        <v>28348.636155563392</v>
      </c>
      <c r="S183" s="37" t="str">
        <f t="shared" si="7"/>
        <v/>
      </c>
      <c r="T183" s="37">
        <f>SUM(S140:S183)</f>
        <v>0</v>
      </c>
      <c r="X183" s="232" t="str">
        <f t="shared" si="12"/>
        <v/>
      </c>
      <c r="Y183" s="42" t="str">
        <f t="shared" si="13"/>
        <v/>
      </c>
    </row>
    <row r="184" spans="1:25" ht="14.5">
      <c r="A184" s="293"/>
      <c r="B184" s="294"/>
      <c r="C184" s="295"/>
      <c r="D184" s="296"/>
      <c r="E184" s="295"/>
      <c r="F184" s="297"/>
      <c r="G184" s="298"/>
      <c r="H184" s="298"/>
      <c r="I184" s="299"/>
      <c r="J184" s="300"/>
      <c r="K184" s="296"/>
      <c r="L184" s="576" t="str">
        <f t="shared" si="11"/>
        <v/>
      </c>
      <c r="M184" s="33" t="s">
        <v>40</v>
      </c>
      <c r="N184" s="34"/>
      <c r="O184" s="78"/>
      <c r="P184" s="78"/>
      <c r="Q184" s="78"/>
      <c r="R184" s="36">
        <f t="shared" si="8"/>
        <v>28348.636155563392</v>
      </c>
      <c r="S184" s="37" t="str">
        <f t="shared" si="7"/>
        <v/>
      </c>
      <c r="T184" s="37"/>
      <c r="X184" s="39" t="str">
        <f t="shared" si="12"/>
        <v/>
      </c>
      <c r="Y184" s="42" t="str">
        <f t="shared" si="13"/>
        <v/>
      </c>
    </row>
    <row r="185" spans="1:25" ht="14.5">
      <c r="A185" s="22"/>
      <c r="B185" s="23"/>
      <c r="C185" s="24"/>
      <c r="D185" s="25"/>
      <c r="E185" s="24"/>
      <c r="F185" s="26"/>
      <c r="G185" s="27"/>
      <c r="H185" s="28"/>
      <c r="I185" s="29"/>
      <c r="J185" s="30"/>
      <c r="K185" s="31"/>
      <c r="L185" s="32" t="str">
        <f t="shared" si="11"/>
        <v/>
      </c>
      <c r="M185" s="45" t="s">
        <v>21</v>
      </c>
      <c r="N185" s="34"/>
      <c r="O185" s="78"/>
      <c r="P185" s="78"/>
      <c r="Q185" s="78"/>
      <c r="R185" s="36">
        <f t="shared" si="8"/>
        <v>28348.636155563392</v>
      </c>
      <c r="S185" s="37" t="str">
        <f t="shared" si="7"/>
        <v/>
      </c>
      <c r="T185" s="37"/>
      <c r="X185" s="232" t="str">
        <f t="shared" si="12"/>
        <v/>
      </c>
      <c r="Y185" s="42" t="str">
        <f t="shared" si="13"/>
        <v/>
      </c>
    </row>
    <row r="186" spans="1:25" ht="14.5">
      <c r="A186" s="22"/>
      <c r="B186" s="23"/>
      <c r="C186" s="24"/>
      <c r="D186" s="25"/>
      <c r="E186" s="24"/>
      <c r="F186" s="26"/>
      <c r="G186" s="27"/>
      <c r="H186" s="27"/>
      <c r="I186" s="43"/>
      <c r="J186" s="44"/>
      <c r="K186" s="25"/>
      <c r="L186" s="32" t="str">
        <f t="shared" si="11"/>
        <v/>
      </c>
      <c r="M186" s="56">
        <f>IFERROR(AVERAGE(L184:L228),0)</f>
        <v>0</v>
      </c>
      <c r="N186" s="34"/>
      <c r="O186" s="78"/>
      <c r="P186" s="78"/>
      <c r="Q186" s="78"/>
      <c r="R186" s="36">
        <f t="shared" si="8"/>
        <v>28348.636155563392</v>
      </c>
      <c r="S186" s="37" t="str">
        <f t="shared" si="7"/>
        <v/>
      </c>
      <c r="T186" s="37"/>
      <c r="X186" s="39" t="str">
        <f t="shared" si="12"/>
        <v/>
      </c>
      <c r="Y186" s="42" t="str">
        <f t="shared" si="13"/>
        <v/>
      </c>
    </row>
    <row r="187" spans="1:25" ht="14.5">
      <c r="A187" s="47"/>
      <c r="B187" s="48"/>
      <c r="C187" s="49"/>
      <c r="D187" s="54"/>
      <c r="E187" s="49"/>
      <c r="F187" s="50"/>
      <c r="G187" s="51"/>
      <c r="H187" s="51"/>
      <c r="I187" s="52"/>
      <c r="J187" s="53"/>
      <c r="K187" s="54"/>
      <c r="L187" s="55" t="str">
        <f t="shared" si="11"/>
        <v/>
      </c>
      <c r="M187" s="45" t="s">
        <v>24</v>
      </c>
      <c r="N187" s="34"/>
      <c r="O187" s="78"/>
      <c r="P187" s="78"/>
      <c r="Q187" s="78"/>
      <c r="R187" s="36">
        <f t="shared" si="8"/>
        <v>28348.636155563392</v>
      </c>
      <c r="S187" s="37" t="str">
        <f t="shared" si="7"/>
        <v/>
      </c>
      <c r="T187" s="37"/>
      <c r="X187" s="232" t="str">
        <f t="shared" si="12"/>
        <v/>
      </c>
      <c r="Y187" s="42" t="str">
        <f t="shared" si="13"/>
        <v/>
      </c>
    </row>
    <row r="188" spans="1:25" ht="14.5">
      <c r="A188" s="47"/>
      <c r="B188" s="48"/>
      <c r="C188" s="49"/>
      <c r="D188" s="54"/>
      <c r="E188" s="49"/>
      <c r="F188" s="50"/>
      <c r="G188" s="51"/>
      <c r="H188" s="51"/>
      <c r="I188" s="52"/>
      <c r="J188" s="53"/>
      <c r="K188" s="54"/>
      <c r="L188" s="55" t="str">
        <f t="shared" si="11"/>
        <v/>
      </c>
      <c r="M188" s="56">
        <f>SUM(I184:I228)</f>
        <v>0</v>
      </c>
      <c r="N188" s="34"/>
      <c r="O188" s="78"/>
      <c r="P188" s="78"/>
      <c r="Q188" s="78"/>
      <c r="R188" s="36">
        <f t="shared" si="8"/>
        <v>28348.636155563392</v>
      </c>
      <c r="S188" s="37" t="str">
        <f t="shared" si="7"/>
        <v/>
      </c>
      <c r="T188" s="37"/>
      <c r="X188" s="232" t="str">
        <f t="shared" si="12"/>
        <v/>
      </c>
      <c r="Y188" s="42" t="str">
        <f t="shared" si="13"/>
        <v/>
      </c>
    </row>
    <row r="189" spans="1:25" ht="14.5">
      <c r="A189" s="22"/>
      <c r="B189" s="23"/>
      <c r="C189" s="24"/>
      <c r="D189" s="25"/>
      <c r="E189" s="24"/>
      <c r="F189" s="26"/>
      <c r="G189" s="27"/>
      <c r="H189" s="28"/>
      <c r="I189" s="29"/>
      <c r="J189" s="30"/>
      <c r="K189" s="31"/>
      <c r="L189" s="32" t="str">
        <f t="shared" si="11"/>
        <v/>
      </c>
      <c r="M189" s="45" t="s">
        <v>27</v>
      </c>
      <c r="N189" s="34"/>
      <c r="O189" s="78"/>
      <c r="P189" s="78"/>
      <c r="Q189" s="78"/>
      <c r="R189" s="36">
        <f t="shared" si="8"/>
        <v>28348.636155563392</v>
      </c>
      <c r="S189" s="37" t="str">
        <f t="shared" si="7"/>
        <v/>
      </c>
      <c r="T189" s="37"/>
      <c r="X189" s="39" t="str">
        <f t="shared" si="12"/>
        <v/>
      </c>
      <c r="Y189" s="42" t="str">
        <f t="shared" si="13"/>
        <v/>
      </c>
    </row>
    <row r="190" spans="1:25" ht="14.5">
      <c r="A190" s="22"/>
      <c r="B190" s="23"/>
      <c r="C190" s="24"/>
      <c r="D190" s="25"/>
      <c r="E190" s="24"/>
      <c r="F190" s="26"/>
      <c r="G190" s="27"/>
      <c r="H190" s="27"/>
      <c r="I190" s="43"/>
      <c r="J190" s="44"/>
      <c r="K190" s="25"/>
      <c r="L190" s="32" t="str">
        <f t="shared" si="11"/>
        <v/>
      </c>
      <c r="M190" s="66">
        <f>(SUM(J184:J228)/100)-(J219/100)</f>
        <v>0</v>
      </c>
      <c r="N190" s="34"/>
      <c r="O190" s="78"/>
      <c r="P190" s="78"/>
      <c r="Q190" s="78"/>
      <c r="R190" s="36">
        <f t="shared" si="8"/>
        <v>28348.636155563392</v>
      </c>
      <c r="S190" s="37" t="str">
        <f t="shared" si="7"/>
        <v/>
      </c>
      <c r="T190" s="37"/>
      <c r="X190" s="232" t="str">
        <f t="shared" si="12"/>
        <v/>
      </c>
      <c r="Y190" s="42" t="str">
        <f t="shared" si="13"/>
        <v/>
      </c>
    </row>
    <row r="191" spans="1:25" ht="14.5">
      <c r="A191" s="47"/>
      <c r="B191" s="48"/>
      <c r="C191" s="49"/>
      <c r="D191" s="54"/>
      <c r="E191" s="49"/>
      <c r="F191" s="50"/>
      <c r="G191" s="51"/>
      <c r="H191" s="51"/>
      <c r="I191" s="52"/>
      <c r="J191" s="53"/>
      <c r="K191" s="54"/>
      <c r="L191" s="174" t="str">
        <f t="shared" si="11"/>
        <v/>
      </c>
      <c r="M191" s="388"/>
      <c r="N191" s="68"/>
      <c r="O191" s="78"/>
      <c r="P191" s="78"/>
      <c r="Q191" s="78"/>
      <c r="R191" s="36">
        <f t="shared" si="8"/>
        <v>28348.636155563392</v>
      </c>
      <c r="S191" s="37" t="str">
        <f t="shared" si="7"/>
        <v/>
      </c>
      <c r="T191" s="37"/>
      <c r="X191" s="39" t="str">
        <f t="shared" si="12"/>
        <v/>
      </c>
      <c r="Y191" s="42" t="str">
        <f t="shared" si="13"/>
        <v/>
      </c>
    </row>
    <row r="192" spans="1:25" ht="14.5">
      <c r="A192" s="47"/>
      <c r="B192" s="48"/>
      <c r="C192" s="49"/>
      <c r="D192" s="54"/>
      <c r="E192" s="49"/>
      <c r="F192" s="50"/>
      <c r="G192" s="51"/>
      <c r="H192" s="51"/>
      <c r="I192" s="52"/>
      <c r="J192" s="53"/>
      <c r="K192" s="54"/>
      <c r="L192" s="174" t="str">
        <f t="shared" si="11"/>
        <v/>
      </c>
      <c r="M192" s="78"/>
      <c r="N192" s="68"/>
      <c r="O192" s="78"/>
      <c r="P192" s="78"/>
      <c r="Q192" s="78"/>
      <c r="R192" s="36">
        <f t="shared" si="8"/>
        <v>28348.636155563392</v>
      </c>
      <c r="S192" s="37" t="str">
        <f t="shared" si="7"/>
        <v/>
      </c>
      <c r="T192" s="37"/>
      <c r="X192" s="232" t="str">
        <f t="shared" si="12"/>
        <v/>
      </c>
      <c r="Y192" s="42" t="str">
        <f t="shared" si="13"/>
        <v/>
      </c>
    </row>
    <row r="193" spans="1:25" ht="14.5">
      <c r="A193" s="22"/>
      <c r="B193" s="23"/>
      <c r="C193" s="24"/>
      <c r="D193" s="25"/>
      <c r="E193" s="24"/>
      <c r="F193" s="26"/>
      <c r="G193" s="27"/>
      <c r="H193" s="28"/>
      <c r="I193" s="29"/>
      <c r="J193" s="30"/>
      <c r="K193" s="31"/>
      <c r="L193" s="32" t="str">
        <f t="shared" si="11"/>
        <v/>
      </c>
      <c r="M193" s="78"/>
      <c r="N193" s="68"/>
      <c r="O193" s="78"/>
      <c r="P193" s="78"/>
      <c r="Q193" s="78"/>
      <c r="R193" s="36">
        <f t="shared" si="8"/>
        <v>28348.636155563392</v>
      </c>
      <c r="S193" s="37" t="str">
        <f t="shared" si="7"/>
        <v/>
      </c>
      <c r="T193" s="37"/>
      <c r="X193" s="39" t="str">
        <f t="shared" si="12"/>
        <v/>
      </c>
      <c r="Y193" s="42" t="str">
        <f t="shared" si="13"/>
        <v/>
      </c>
    </row>
    <row r="194" spans="1:25" ht="14.5">
      <c r="A194" s="22"/>
      <c r="B194" s="23"/>
      <c r="C194" s="24"/>
      <c r="D194" s="25"/>
      <c r="E194" s="24"/>
      <c r="F194" s="26"/>
      <c r="G194" s="27"/>
      <c r="H194" s="27"/>
      <c r="I194" s="43"/>
      <c r="J194" s="44"/>
      <c r="K194" s="25"/>
      <c r="L194" s="32" t="str">
        <f t="shared" si="11"/>
        <v/>
      </c>
      <c r="M194" s="78"/>
      <c r="N194" s="68"/>
      <c r="O194" s="78"/>
      <c r="P194" s="78"/>
      <c r="Q194" s="78"/>
      <c r="R194" s="36">
        <f t="shared" si="8"/>
        <v>28348.636155563392</v>
      </c>
      <c r="S194" s="37" t="str">
        <f t="shared" si="7"/>
        <v/>
      </c>
      <c r="T194" s="37"/>
      <c r="X194" s="232" t="str">
        <f t="shared" si="12"/>
        <v/>
      </c>
      <c r="Y194" s="42" t="str">
        <f t="shared" si="13"/>
        <v/>
      </c>
    </row>
    <row r="195" spans="1:25" ht="14.5">
      <c r="A195" s="79"/>
      <c r="B195" s="80"/>
      <c r="C195" s="81"/>
      <c r="D195" s="82"/>
      <c r="E195" s="81"/>
      <c r="F195" s="83"/>
      <c r="G195" s="84"/>
      <c r="H195" s="84"/>
      <c r="I195" s="85"/>
      <c r="J195" s="86"/>
      <c r="K195" s="82"/>
      <c r="L195" s="87" t="str">
        <f t="shared" ref="L195:L258" si="14">IF(B195="Compra",(F195*G195)+10+(F195*G195*0.000325),"")</f>
        <v/>
      </c>
      <c r="M195" s="78"/>
      <c r="N195" s="68"/>
      <c r="O195" s="78"/>
      <c r="P195" s="78"/>
      <c r="Q195" s="78"/>
      <c r="R195" s="36">
        <f t="shared" si="8"/>
        <v>28348.636155563392</v>
      </c>
      <c r="S195" s="37" t="str">
        <f t="shared" si="7"/>
        <v/>
      </c>
      <c r="T195" s="37"/>
      <c r="X195" s="39" t="str">
        <f t="shared" si="12"/>
        <v/>
      </c>
      <c r="Y195" s="42" t="str">
        <f t="shared" si="13"/>
        <v/>
      </c>
    </row>
    <row r="196" spans="1:25" ht="14.5">
      <c r="A196" s="79"/>
      <c r="B196" s="80"/>
      <c r="C196" s="81"/>
      <c r="D196" s="82"/>
      <c r="E196" s="81"/>
      <c r="F196" s="83"/>
      <c r="G196" s="84"/>
      <c r="H196" s="84"/>
      <c r="I196" s="85"/>
      <c r="J196" s="86"/>
      <c r="K196" s="82"/>
      <c r="L196" s="87" t="str">
        <f t="shared" si="14"/>
        <v/>
      </c>
      <c r="M196" s="78"/>
      <c r="N196" s="68"/>
      <c r="O196" s="78"/>
      <c r="P196" s="78"/>
      <c r="Q196" s="78"/>
      <c r="R196" s="36">
        <f t="shared" si="8"/>
        <v>28348.636155563392</v>
      </c>
      <c r="S196" s="37" t="str">
        <f t="shared" si="7"/>
        <v/>
      </c>
      <c r="T196" s="37"/>
      <c r="X196" s="232" t="str">
        <f t="shared" si="12"/>
        <v/>
      </c>
      <c r="Y196" s="42" t="str">
        <f t="shared" si="13"/>
        <v/>
      </c>
    </row>
    <row r="197" spans="1:25" ht="14.5">
      <c r="A197" s="22"/>
      <c r="B197" s="23"/>
      <c r="C197" s="24"/>
      <c r="D197" s="25"/>
      <c r="E197" s="24"/>
      <c r="F197" s="26"/>
      <c r="G197" s="27"/>
      <c r="H197" s="28"/>
      <c r="I197" s="29"/>
      <c r="J197" s="30"/>
      <c r="K197" s="31"/>
      <c r="L197" s="32" t="str">
        <f t="shared" si="14"/>
        <v/>
      </c>
      <c r="M197" s="78"/>
      <c r="N197" s="68"/>
      <c r="O197" s="78"/>
      <c r="P197" s="78"/>
      <c r="Q197" s="78"/>
      <c r="R197" s="36">
        <f t="shared" si="8"/>
        <v>28348.636155563392</v>
      </c>
      <c r="S197" s="37" t="str">
        <f t="shared" si="7"/>
        <v/>
      </c>
      <c r="T197" s="37"/>
      <c r="X197" s="39" t="str">
        <f t="shared" si="12"/>
        <v/>
      </c>
      <c r="Y197" s="42" t="str">
        <f t="shared" si="13"/>
        <v/>
      </c>
    </row>
    <row r="198" spans="1:25" ht="14.5">
      <c r="A198" s="22"/>
      <c r="B198" s="23"/>
      <c r="C198" s="24"/>
      <c r="D198" s="25"/>
      <c r="E198" s="24"/>
      <c r="F198" s="26"/>
      <c r="G198" s="27"/>
      <c r="H198" s="27"/>
      <c r="I198" s="43"/>
      <c r="J198" s="44"/>
      <c r="K198" s="25"/>
      <c r="L198" s="32" t="str">
        <f t="shared" si="14"/>
        <v/>
      </c>
      <c r="M198" s="383"/>
      <c r="N198" s="68"/>
      <c r="O198" s="78"/>
      <c r="P198" s="78"/>
      <c r="Q198" s="78"/>
      <c r="R198" s="36">
        <f t="shared" si="8"/>
        <v>28348.636155563392</v>
      </c>
      <c r="S198" s="37" t="str">
        <f t="shared" si="7"/>
        <v/>
      </c>
      <c r="T198" s="37"/>
      <c r="X198" s="232" t="str">
        <f t="shared" si="12"/>
        <v/>
      </c>
      <c r="Y198" s="42" t="str">
        <f t="shared" si="13"/>
        <v/>
      </c>
    </row>
    <row r="199" spans="1:25" ht="14.5">
      <c r="A199" s="79"/>
      <c r="B199" s="80"/>
      <c r="C199" s="81"/>
      <c r="D199" s="82"/>
      <c r="E199" s="81"/>
      <c r="F199" s="83"/>
      <c r="G199" s="84"/>
      <c r="H199" s="84"/>
      <c r="I199" s="85"/>
      <c r="J199" s="86"/>
      <c r="K199" s="82"/>
      <c r="L199" s="87" t="str">
        <f t="shared" si="14"/>
        <v/>
      </c>
      <c r="M199" s="78"/>
      <c r="N199" s="34"/>
      <c r="O199" s="78"/>
      <c r="P199" s="78"/>
      <c r="Q199" s="78"/>
      <c r="R199" s="36">
        <f t="shared" si="8"/>
        <v>28348.636155563392</v>
      </c>
      <c r="S199" s="37" t="str">
        <f t="shared" si="7"/>
        <v/>
      </c>
      <c r="T199" s="37"/>
      <c r="X199" s="39" t="str">
        <f t="shared" si="12"/>
        <v/>
      </c>
      <c r="Y199" s="42" t="str">
        <f t="shared" si="13"/>
        <v/>
      </c>
    </row>
    <row r="200" spans="1:25" ht="14.5">
      <c r="A200" s="79"/>
      <c r="B200" s="80"/>
      <c r="C200" s="81"/>
      <c r="D200" s="82"/>
      <c r="E200" s="81"/>
      <c r="F200" s="83"/>
      <c r="G200" s="84"/>
      <c r="H200" s="84"/>
      <c r="I200" s="85"/>
      <c r="J200" s="86"/>
      <c r="K200" s="82"/>
      <c r="L200" s="87" t="str">
        <f t="shared" si="14"/>
        <v/>
      </c>
      <c r="M200" s="78"/>
      <c r="N200" s="34"/>
      <c r="O200" s="78"/>
      <c r="P200" s="78"/>
      <c r="Q200" s="78"/>
      <c r="R200" s="36">
        <f t="shared" si="8"/>
        <v>28348.636155563392</v>
      </c>
      <c r="S200" s="37" t="str">
        <f t="shared" si="7"/>
        <v/>
      </c>
      <c r="T200" s="37"/>
      <c r="X200" s="232" t="str">
        <f t="shared" si="12"/>
        <v/>
      </c>
      <c r="Y200" s="42" t="str">
        <f t="shared" si="13"/>
        <v/>
      </c>
    </row>
    <row r="201" spans="1:25" ht="14.5">
      <c r="A201" s="22"/>
      <c r="B201" s="23"/>
      <c r="C201" s="24"/>
      <c r="D201" s="25"/>
      <c r="E201" s="24"/>
      <c r="F201" s="26"/>
      <c r="G201" s="27"/>
      <c r="H201" s="28"/>
      <c r="I201" s="29"/>
      <c r="J201" s="30"/>
      <c r="K201" s="31"/>
      <c r="L201" s="32" t="str">
        <f t="shared" si="14"/>
        <v/>
      </c>
      <c r="M201" s="78"/>
      <c r="N201" s="34"/>
      <c r="O201" s="78"/>
      <c r="P201" s="78"/>
      <c r="Q201" s="78"/>
      <c r="R201" s="36">
        <f t="shared" si="8"/>
        <v>28348.636155563392</v>
      </c>
      <c r="S201" s="37" t="str">
        <f t="shared" si="7"/>
        <v/>
      </c>
      <c r="T201" s="37"/>
      <c r="X201" s="39" t="str">
        <f t="shared" si="12"/>
        <v/>
      </c>
      <c r="Y201" s="42" t="str">
        <f t="shared" si="13"/>
        <v/>
      </c>
    </row>
    <row r="202" spans="1:25" ht="14.5">
      <c r="A202" s="22"/>
      <c r="B202" s="23"/>
      <c r="C202" s="24"/>
      <c r="D202" s="25"/>
      <c r="E202" s="24"/>
      <c r="F202" s="26"/>
      <c r="G202" s="27"/>
      <c r="H202" s="27"/>
      <c r="I202" s="43"/>
      <c r="J202" s="44"/>
      <c r="K202" s="25"/>
      <c r="L202" s="32" t="str">
        <f t="shared" si="14"/>
        <v/>
      </c>
      <c r="M202" s="78"/>
      <c r="N202" s="34"/>
      <c r="O202" s="78"/>
      <c r="P202" s="78"/>
      <c r="Q202" s="78"/>
      <c r="R202" s="36">
        <f t="shared" si="8"/>
        <v>28348.636155563392</v>
      </c>
      <c r="S202" s="37" t="str">
        <f t="shared" si="7"/>
        <v/>
      </c>
      <c r="T202" s="37"/>
      <c r="X202" s="232" t="str">
        <f t="shared" si="12"/>
        <v/>
      </c>
      <c r="Y202" s="42" t="str">
        <f t="shared" si="13"/>
        <v/>
      </c>
    </row>
    <row r="203" spans="1:25" ht="14.5">
      <c r="A203" s="201"/>
      <c r="B203" s="283"/>
      <c r="C203" s="203"/>
      <c r="D203" s="205"/>
      <c r="E203" s="203"/>
      <c r="F203" s="205"/>
      <c r="G203" s="206"/>
      <c r="H203" s="206"/>
      <c r="I203" s="207"/>
      <c r="J203" s="208"/>
      <c r="K203" s="204"/>
      <c r="L203" s="210" t="str">
        <f t="shared" si="14"/>
        <v/>
      </c>
      <c r="M203" s="78"/>
      <c r="N203" s="34"/>
      <c r="O203" s="78"/>
      <c r="P203" s="78"/>
      <c r="Q203" s="78"/>
      <c r="R203" s="36">
        <f t="shared" si="8"/>
        <v>28348.636155563392</v>
      </c>
      <c r="S203" s="37" t="str">
        <f t="shared" si="7"/>
        <v/>
      </c>
      <c r="T203" s="37"/>
      <c r="X203" s="39" t="str">
        <f t="shared" si="12"/>
        <v/>
      </c>
      <c r="Y203" s="42" t="str">
        <f t="shared" si="13"/>
        <v/>
      </c>
    </row>
    <row r="204" spans="1:25" ht="14.5">
      <c r="A204" s="201"/>
      <c r="B204" s="283"/>
      <c r="C204" s="203"/>
      <c r="D204" s="205"/>
      <c r="E204" s="203"/>
      <c r="F204" s="205"/>
      <c r="G204" s="206"/>
      <c r="H204" s="206"/>
      <c r="I204" s="207"/>
      <c r="J204" s="208"/>
      <c r="K204" s="204"/>
      <c r="L204" s="210" t="str">
        <f t="shared" si="14"/>
        <v/>
      </c>
      <c r="M204" s="78"/>
      <c r="N204" s="34"/>
      <c r="O204" s="78"/>
      <c r="P204" s="78"/>
      <c r="Q204" s="78"/>
      <c r="R204" s="36">
        <f t="shared" si="8"/>
        <v>28348.636155563392</v>
      </c>
      <c r="S204" s="37" t="str">
        <f t="shared" si="7"/>
        <v/>
      </c>
      <c r="T204" s="37"/>
      <c r="X204" s="232" t="str">
        <f t="shared" si="12"/>
        <v/>
      </c>
      <c r="Y204" s="42" t="str">
        <f t="shared" si="13"/>
        <v/>
      </c>
    </row>
    <row r="205" spans="1:25" ht="14.5">
      <c r="A205" s="22"/>
      <c r="B205" s="23"/>
      <c r="C205" s="24"/>
      <c r="D205" s="25"/>
      <c r="E205" s="24"/>
      <c r="F205" s="26"/>
      <c r="G205" s="27"/>
      <c r="H205" s="28"/>
      <c r="I205" s="29"/>
      <c r="J205" s="30"/>
      <c r="K205" s="31"/>
      <c r="L205" s="32" t="str">
        <f t="shared" si="14"/>
        <v/>
      </c>
      <c r="M205" s="78"/>
      <c r="N205" s="34"/>
      <c r="O205" s="78"/>
      <c r="P205" s="78"/>
      <c r="Q205" s="78"/>
      <c r="R205" s="36">
        <f t="shared" si="8"/>
        <v>28348.636155563392</v>
      </c>
      <c r="S205" s="37" t="str">
        <f t="shared" si="7"/>
        <v/>
      </c>
      <c r="T205" s="37"/>
      <c r="X205" s="39" t="str">
        <f t="shared" si="12"/>
        <v/>
      </c>
      <c r="Y205" s="42" t="str">
        <f t="shared" si="13"/>
        <v/>
      </c>
    </row>
    <row r="206" spans="1:25" ht="14.5">
      <c r="A206" s="22"/>
      <c r="B206" s="23"/>
      <c r="C206" s="24"/>
      <c r="D206" s="25"/>
      <c r="E206" s="24"/>
      <c r="F206" s="26"/>
      <c r="G206" s="27"/>
      <c r="H206" s="27"/>
      <c r="I206" s="43"/>
      <c r="J206" s="44"/>
      <c r="K206" s="25"/>
      <c r="L206" s="32" t="str">
        <f t="shared" si="14"/>
        <v/>
      </c>
      <c r="M206" s="78"/>
      <c r="N206" s="68"/>
      <c r="O206" s="78"/>
      <c r="P206" s="78"/>
      <c r="Q206" s="78"/>
      <c r="R206" s="36">
        <f t="shared" si="8"/>
        <v>28348.636155563392</v>
      </c>
      <c r="S206" s="37" t="str">
        <f t="shared" si="7"/>
        <v/>
      </c>
      <c r="T206" s="37"/>
      <c r="X206" s="232" t="str">
        <f t="shared" si="12"/>
        <v/>
      </c>
      <c r="Y206" s="42" t="str">
        <f t="shared" si="13"/>
        <v/>
      </c>
    </row>
    <row r="207" spans="1:25" ht="14.5">
      <c r="A207" s="201"/>
      <c r="B207" s="283"/>
      <c r="C207" s="203"/>
      <c r="D207" s="205"/>
      <c r="E207" s="203"/>
      <c r="F207" s="205"/>
      <c r="G207" s="206"/>
      <c r="H207" s="206"/>
      <c r="I207" s="207"/>
      <c r="J207" s="208"/>
      <c r="K207" s="204"/>
      <c r="L207" s="210" t="str">
        <f t="shared" si="14"/>
        <v/>
      </c>
      <c r="M207" s="78"/>
      <c r="N207" s="34"/>
      <c r="O207" s="78"/>
      <c r="P207" s="78"/>
      <c r="Q207" s="78"/>
      <c r="R207" s="36">
        <f t="shared" si="8"/>
        <v>28348.636155563392</v>
      </c>
      <c r="S207" s="37" t="str">
        <f t="shared" si="7"/>
        <v/>
      </c>
      <c r="T207" s="37"/>
      <c r="X207" s="39" t="str">
        <f t="shared" si="12"/>
        <v/>
      </c>
      <c r="Y207" s="42" t="str">
        <f t="shared" si="13"/>
        <v/>
      </c>
    </row>
    <row r="208" spans="1:25" ht="14.5">
      <c r="A208" s="201"/>
      <c r="B208" s="283"/>
      <c r="C208" s="203"/>
      <c r="D208" s="205"/>
      <c r="E208" s="203"/>
      <c r="F208" s="205"/>
      <c r="G208" s="206"/>
      <c r="H208" s="206"/>
      <c r="I208" s="207"/>
      <c r="J208" s="208"/>
      <c r="K208" s="204"/>
      <c r="L208" s="210" t="str">
        <f t="shared" si="14"/>
        <v/>
      </c>
      <c r="M208" s="78"/>
      <c r="N208" s="34"/>
      <c r="O208" s="78"/>
      <c r="P208" s="78"/>
      <c r="Q208" s="78"/>
      <c r="R208" s="36">
        <f t="shared" si="8"/>
        <v>28348.636155563392</v>
      </c>
      <c r="S208" s="37" t="str">
        <f t="shared" si="7"/>
        <v/>
      </c>
      <c r="T208" s="37"/>
      <c r="X208" s="232" t="str">
        <f t="shared" si="12"/>
        <v/>
      </c>
      <c r="Y208" s="42" t="str">
        <f t="shared" si="13"/>
        <v/>
      </c>
    </row>
    <row r="209" spans="1:25" ht="14.5">
      <c r="A209" s="211"/>
      <c r="B209" s="212"/>
      <c r="C209" s="213"/>
      <c r="D209" s="214"/>
      <c r="E209" s="213"/>
      <c r="F209" s="215"/>
      <c r="G209" s="216"/>
      <c r="H209" s="216"/>
      <c r="I209" s="217"/>
      <c r="J209" s="218"/>
      <c r="K209" s="214"/>
      <c r="L209" s="219" t="str">
        <f t="shared" si="14"/>
        <v/>
      </c>
      <c r="M209" s="78"/>
      <c r="N209" s="34"/>
      <c r="O209" s="78"/>
      <c r="P209" s="78"/>
      <c r="Q209" s="78"/>
      <c r="R209" s="36">
        <f t="shared" si="8"/>
        <v>28348.636155563392</v>
      </c>
      <c r="S209" s="37" t="str">
        <f t="shared" si="7"/>
        <v/>
      </c>
      <c r="T209" s="37"/>
      <c r="X209" s="39" t="str">
        <f t="shared" si="12"/>
        <v/>
      </c>
      <c r="Y209" s="42" t="str">
        <f t="shared" si="13"/>
        <v/>
      </c>
    </row>
    <row r="210" spans="1:25" ht="14.5">
      <c r="A210" s="211"/>
      <c r="B210" s="212"/>
      <c r="C210" s="213"/>
      <c r="D210" s="214"/>
      <c r="E210" s="213"/>
      <c r="F210" s="215"/>
      <c r="G210" s="216"/>
      <c r="H210" s="216"/>
      <c r="I210" s="217"/>
      <c r="J210" s="218"/>
      <c r="K210" s="214"/>
      <c r="L210" s="219" t="str">
        <f t="shared" si="14"/>
        <v/>
      </c>
      <c r="M210" s="78"/>
      <c r="N210" s="34"/>
      <c r="O210" s="78"/>
      <c r="P210" s="78"/>
      <c r="Q210" s="78"/>
      <c r="R210" s="36">
        <f t="shared" si="8"/>
        <v>28348.636155563392</v>
      </c>
      <c r="S210" s="37" t="str">
        <f t="shared" si="7"/>
        <v/>
      </c>
      <c r="T210" s="37"/>
      <c r="X210" s="232" t="str">
        <f t="shared" si="12"/>
        <v/>
      </c>
      <c r="Y210" s="42" t="str">
        <f t="shared" si="13"/>
        <v/>
      </c>
    </row>
    <row r="211" spans="1:25" ht="14.5">
      <c r="A211" s="201"/>
      <c r="B211" s="283"/>
      <c r="C211" s="203"/>
      <c r="D211" s="205"/>
      <c r="E211" s="203"/>
      <c r="F211" s="205"/>
      <c r="G211" s="206"/>
      <c r="H211" s="206"/>
      <c r="I211" s="207"/>
      <c r="J211" s="208"/>
      <c r="K211" s="204"/>
      <c r="L211" s="210" t="str">
        <f t="shared" si="14"/>
        <v/>
      </c>
      <c r="M211" s="78"/>
      <c r="N211" s="34"/>
      <c r="O211" s="78"/>
      <c r="P211" s="78"/>
      <c r="Q211" s="78"/>
      <c r="R211" s="36">
        <f t="shared" si="8"/>
        <v>28348.636155563392</v>
      </c>
      <c r="S211" s="37" t="str">
        <f t="shared" si="7"/>
        <v/>
      </c>
      <c r="T211" s="37"/>
      <c r="X211" s="39" t="str">
        <f t="shared" si="12"/>
        <v/>
      </c>
      <c r="Y211" s="42" t="str">
        <f t="shared" si="13"/>
        <v/>
      </c>
    </row>
    <row r="212" spans="1:25" ht="14.5">
      <c r="A212" s="201"/>
      <c r="B212" s="283"/>
      <c r="C212" s="203"/>
      <c r="D212" s="205"/>
      <c r="E212" s="203"/>
      <c r="F212" s="205"/>
      <c r="G212" s="206"/>
      <c r="H212" s="206"/>
      <c r="I212" s="207"/>
      <c r="J212" s="208"/>
      <c r="K212" s="204"/>
      <c r="L212" s="210" t="str">
        <f t="shared" si="14"/>
        <v/>
      </c>
      <c r="M212" s="78"/>
      <c r="N212" s="34"/>
      <c r="O212" s="78"/>
      <c r="P212" s="78"/>
      <c r="Q212" s="78"/>
      <c r="R212" s="36">
        <f t="shared" si="8"/>
        <v>28348.636155563392</v>
      </c>
      <c r="S212" s="37" t="str">
        <f t="shared" si="7"/>
        <v/>
      </c>
      <c r="T212" s="37"/>
      <c r="X212" s="232" t="str">
        <f t="shared" si="12"/>
        <v/>
      </c>
      <c r="Y212" s="42" t="str">
        <f t="shared" si="13"/>
        <v/>
      </c>
    </row>
    <row r="213" spans="1:25" ht="14.5">
      <c r="A213" s="127"/>
      <c r="B213" s="128"/>
      <c r="C213" s="129"/>
      <c r="D213" s="130"/>
      <c r="E213" s="129"/>
      <c r="F213" s="130"/>
      <c r="G213" s="131"/>
      <c r="H213" s="131"/>
      <c r="I213" s="132"/>
      <c r="J213" s="133"/>
      <c r="K213" s="134"/>
      <c r="L213" s="135" t="str">
        <f t="shared" si="14"/>
        <v/>
      </c>
      <c r="M213" s="78"/>
      <c r="N213" s="34"/>
      <c r="O213" s="78"/>
      <c r="P213" s="78"/>
      <c r="Q213" s="78"/>
      <c r="R213" s="36">
        <f t="shared" si="8"/>
        <v>28348.636155563392</v>
      </c>
      <c r="S213" s="37" t="str">
        <f t="shared" si="7"/>
        <v/>
      </c>
      <c r="T213" s="37"/>
      <c r="X213" s="39" t="str">
        <f t="shared" si="12"/>
        <v/>
      </c>
      <c r="Y213" s="42" t="str">
        <f t="shared" si="13"/>
        <v/>
      </c>
    </row>
    <row r="214" spans="1:25" ht="14.5">
      <c r="A214" s="127"/>
      <c r="B214" s="128"/>
      <c r="C214" s="129"/>
      <c r="D214" s="134"/>
      <c r="E214" s="129"/>
      <c r="F214" s="130"/>
      <c r="G214" s="131"/>
      <c r="H214" s="131"/>
      <c r="I214" s="132"/>
      <c r="J214" s="133"/>
      <c r="K214" s="134"/>
      <c r="L214" s="135" t="str">
        <f t="shared" si="14"/>
        <v/>
      </c>
      <c r="M214" s="78"/>
      <c r="N214" s="68"/>
      <c r="O214" s="78"/>
      <c r="P214" s="78"/>
      <c r="Q214" s="78"/>
      <c r="R214" s="36">
        <f t="shared" si="8"/>
        <v>28348.636155563392</v>
      </c>
      <c r="S214" s="37" t="str">
        <f t="shared" si="7"/>
        <v/>
      </c>
      <c r="T214" s="37"/>
      <c r="X214" s="232" t="str">
        <f t="shared" si="12"/>
        <v/>
      </c>
      <c r="Y214" s="42" t="str">
        <f t="shared" si="13"/>
        <v/>
      </c>
    </row>
    <row r="215" spans="1:25" ht="14.5">
      <c r="A215" s="201"/>
      <c r="B215" s="283"/>
      <c r="C215" s="203"/>
      <c r="D215" s="205"/>
      <c r="E215" s="203"/>
      <c r="F215" s="205"/>
      <c r="G215" s="206"/>
      <c r="H215" s="206"/>
      <c r="I215" s="207"/>
      <c r="J215" s="208"/>
      <c r="K215" s="204"/>
      <c r="L215" s="210" t="str">
        <f t="shared" si="14"/>
        <v/>
      </c>
      <c r="M215" s="78"/>
      <c r="N215" s="34"/>
      <c r="O215" s="78"/>
      <c r="P215" s="78"/>
      <c r="Q215" s="78"/>
      <c r="R215" s="36">
        <f t="shared" si="8"/>
        <v>28348.636155563392</v>
      </c>
      <c r="S215" s="37" t="str">
        <f t="shared" si="7"/>
        <v/>
      </c>
      <c r="T215" s="37"/>
      <c r="X215" s="39" t="str">
        <f t="shared" si="12"/>
        <v/>
      </c>
      <c r="Y215" s="42" t="str">
        <f t="shared" si="13"/>
        <v/>
      </c>
    </row>
    <row r="216" spans="1:25" ht="14.5">
      <c r="A216" s="201"/>
      <c r="B216" s="283"/>
      <c r="C216" s="203"/>
      <c r="D216" s="205"/>
      <c r="E216" s="203"/>
      <c r="F216" s="205"/>
      <c r="G216" s="206"/>
      <c r="H216" s="206"/>
      <c r="I216" s="207"/>
      <c r="J216" s="208"/>
      <c r="K216" s="204"/>
      <c r="L216" s="210" t="str">
        <f t="shared" si="14"/>
        <v/>
      </c>
      <c r="M216" s="78"/>
      <c r="N216" s="34"/>
      <c r="O216" s="78"/>
      <c r="P216" s="78"/>
      <c r="Q216" s="78"/>
      <c r="R216" s="36">
        <f t="shared" si="8"/>
        <v>28348.636155563392</v>
      </c>
      <c r="S216" s="37" t="str">
        <f t="shared" si="7"/>
        <v/>
      </c>
      <c r="T216" s="37"/>
      <c r="X216" s="232" t="str">
        <f t="shared" si="12"/>
        <v/>
      </c>
      <c r="Y216" s="42" t="str">
        <f t="shared" si="13"/>
        <v/>
      </c>
    </row>
    <row r="217" spans="1:25" ht="14.5">
      <c r="A217" s="47"/>
      <c r="B217" s="301"/>
      <c r="C217" s="49"/>
      <c r="D217" s="50"/>
      <c r="E217" s="49"/>
      <c r="F217" s="50"/>
      <c r="G217" s="51"/>
      <c r="H217" s="51"/>
      <c r="I217" s="52"/>
      <c r="J217" s="53"/>
      <c r="K217" s="54"/>
      <c r="L217" s="174" t="str">
        <f t="shared" si="14"/>
        <v/>
      </c>
      <c r="M217" s="78"/>
      <c r="N217" s="34"/>
      <c r="O217" s="78"/>
      <c r="P217" s="78"/>
      <c r="Q217" s="78"/>
      <c r="R217" s="36">
        <f t="shared" si="8"/>
        <v>28348.636155563392</v>
      </c>
      <c r="S217" s="37" t="str">
        <f t="shared" si="7"/>
        <v/>
      </c>
      <c r="T217" s="37"/>
      <c r="X217" s="39" t="str">
        <f t="shared" si="12"/>
        <v/>
      </c>
      <c r="Y217" s="42" t="str">
        <f t="shared" si="13"/>
        <v/>
      </c>
    </row>
    <row r="218" spans="1:25" ht="14.5">
      <c r="A218" s="47"/>
      <c r="B218" s="301"/>
      <c r="C218" s="49"/>
      <c r="D218" s="50"/>
      <c r="E218" s="49"/>
      <c r="F218" s="50"/>
      <c r="G218" s="51"/>
      <c r="H218" s="51"/>
      <c r="I218" s="52"/>
      <c r="J218" s="53"/>
      <c r="K218" s="54"/>
      <c r="L218" s="174" t="str">
        <f t="shared" si="14"/>
        <v/>
      </c>
      <c r="M218" s="78"/>
      <c r="N218" s="34"/>
      <c r="O218" s="78"/>
      <c r="P218" s="78"/>
      <c r="Q218" s="78"/>
      <c r="R218" s="36">
        <f t="shared" si="8"/>
        <v>28348.636155563392</v>
      </c>
      <c r="S218" s="37"/>
      <c r="T218" s="37"/>
      <c r="X218" s="232" t="str">
        <f t="shared" si="12"/>
        <v/>
      </c>
      <c r="Y218" s="42" t="str">
        <f t="shared" si="13"/>
        <v/>
      </c>
    </row>
    <row r="219" spans="1:25" ht="14.5">
      <c r="A219" s="165"/>
      <c r="B219" s="166"/>
      <c r="C219" s="167"/>
      <c r="D219" s="168"/>
      <c r="E219" s="167"/>
      <c r="F219" s="169"/>
      <c r="G219" s="170"/>
      <c r="H219" s="170"/>
      <c r="I219" s="171"/>
      <c r="J219" s="172"/>
      <c r="K219" s="168"/>
      <c r="L219" s="173" t="str">
        <f t="shared" si="14"/>
        <v/>
      </c>
      <c r="M219" s="78"/>
      <c r="N219" s="34"/>
      <c r="O219" s="78"/>
      <c r="P219" s="78"/>
      <c r="Q219" s="78"/>
      <c r="R219" s="36">
        <f>R218</f>
        <v>28348.636155563392</v>
      </c>
      <c r="S219" s="37"/>
      <c r="T219" s="37"/>
      <c r="X219" s="39" t="str">
        <f t="shared" si="12"/>
        <v/>
      </c>
      <c r="Y219" s="42" t="str">
        <f t="shared" si="13"/>
        <v/>
      </c>
    </row>
    <row r="220" spans="1:25" ht="14.5">
      <c r="A220" s="201"/>
      <c r="B220" s="283"/>
      <c r="C220" s="203"/>
      <c r="D220" s="205"/>
      <c r="E220" s="203"/>
      <c r="F220" s="205"/>
      <c r="G220" s="206"/>
      <c r="H220" s="206"/>
      <c r="I220" s="207"/>
      <c r="J220" s="208"/>
      <c r="K220" s="204"/>
      <c r="L220" s="210" t="str">
        <f t="shared" si="14"/>
        <v/>
      </c>
      <c r="M220" s="78"/>
      <c r="N220" s="34"/>
      <c r="O220" s="78"/>
      <c r="P220" s="78"/>
      <c r="Q220" s="78"/>
      <c r="R220" s="36">
        <f t="shared" ref="R220:R288" si="15">R219*((J220/100)+1)</f>
        <v>28348.636155563392</v>
      </c>
      <c r="S220" s="37"/>
      <c r="T220" s="37"/>
      <c r="X220" s="232" t="str">
        <f t="shared" si="12"/>
        <v/>
      </c>
      <c r="Y220" s="42" t="str">
        <f t="shared" si="13"/>
        <v/>
      </c>
    </row>
    <row r="221" spans="1:25" ht="14.5">
      <c r="A221" s="201"/>
      <c r="B221" s="283"/>
      <c r="C221" s="203"/>
      <c r="D221" s="205"/>
      <c r="E221" s="203"/>
      <c r="F221" s="205"/>
      <c r="G221" s="206"/>
      <c r="H221" s="206"/>
      <c r="I221" s="207"/>
      <c r="J221" s="208"/>
      <c r="K221" s="204"/>
      <c r="L221" s="210" t="str">
        <f t="shared" si="14"/>
        <v/>
      </c>
      <c r="M221" s="78"/>
      <c r="N221" s="34"/>
      <c r="O221" s="78"/>
      <c r="P221" s="78"/>
      <c r="Q221" s="78"/>
      <c r="R221" s="36">
        <f t="shared" si="15"/>
        <v>28348.636155563392</v>
      </c>
      <c r="S221" s="37"/>
      <c r="T221" s="37"/>
      <c r="X221" s="39" t="str">
        <f t="shared" si="12"/>
        <v/>
      </c>
      <c r="Y221" s="42" t="str">
        <f t="shared" si="13"/>
        <v/>
      </c>
    </row>
    <row r="222" spans="1:25" ht="14.5">
      <c r="A222" s="47"/>
      <c r="B222" s="301"/>
      <c r="C222" s="49"/>
      <c r="D222" s="50"/>
      <c r="E222" s="49"/>
      <c r="F222" s="50"/>
      <c r="G222" s="51"/>
      <c r="H222" s="51"/>
      <c r="I222" s="52"/>
      <c r="J222" s="53"/>
      <c r="K222" s="54"/>
      <c r="L222" s="174" t="str">
        <f t="shared" si="14"/>
        <v/>
      </c>
      <c r="M222" s="78"/>
      <c r="N222" s="68"/>
      <c r="O222" s="78"/>
      <c r="P222" s="78"/>
      <c r="Q222" s="78"/>
      <c r="R222" s="36">
        <f t="shared" si="15"/>
        <v>28348.636155563392</v>
      </c>
      <c r="S222" s="37"/>
      <c r="T222" s="37"/>
      <c r="X222" s="232" t="str">
        <f t="shared" si="12"/>
        <v/>
      </c>
      <c r="Y222" s="42" t="str">
        <f t="shared" si="13"/>
        <v/>
      </c>
    </row>
    <row r="223" spans="1:25" ht="14.5">
      <c r="A223" s="47"/>
      <c r="B223" s="301"/>
      <c r="C223" s="49"/>
      <c r="D223" s="50"/>
      <c r="E223" s="49"/>
      <c r="F223" s="50"/>
      <c r="G223" s="51"/>
      <c r="H223" s="51"/>
      <c r="I223" s="52"/>
      <c r="J223" s="53"/>
      <c r="K223" s="54"/>
      <c r="L223" s="174" t="str">
        <f t="shared" si="14"/>
        <v/>
      </c>
      <c r="M223" s="78"/>
      <c r="N223" s="34"/>
      <c r="O223" s="78"/>
      <c r="P223" s="78"/>
      <c r="Q223" s="78"/>
      <c r="R223" s="36">
        <f t="shared" si="15"/>
        <v>28348.636155563392</v>
      </c>
      <c r="S223" s="37"/>
      <c r="T223" s="37"/>
      <c r="X223" s="39" t="str">
        <f t="shared" si="12"/>
        <v/>
      </c>
      <c r="Y223" s="42" t="str">
        <f t="shared" si="13"/>
        <v/>
      </c>
    </row>
    <row r="224" spans="1:25" ht="14.5">
      <c r="A224" s="201"/>
      <c r="B224" s="283"/>
      <c r="C224" s="203"/>
      <c r="D224" s="205"/>
      <c r="E224" s="203"/>
      <c r="F224" s="205"/>
      <c r="G224" s="206"/>
      <c r="H224" s="206"/>
      <c r="I224" s="207"/>
      <c r="J224" s="208"/>
      <c r="K224" s="204"/>
      <c r="L224" s="210" t="str">
        <f t="shared" si="14"/>
        <v/>
      </c>
      <c r="M224" s="78"/>
      <c r="N224" s="34"/>
      <c r="O224" s="78"/>
      <c r="P224" s="78"/>
      <c r="Q224" s="78"/>
      <c r="R224" s="36">
        <f t="shared" si="15"/>
        <v>28348.636155563392</v>
      </c>
      <c r="S224" s="37"/>
      <c r="T224" s="37"/>
      <c r="X224" s="232" t="str">
        <f t="shared" si="12"/>
        <v/>
      </c>
      <c r="Y224" s="42" t="str">
        <f t="shared" si="13"/>
        <v/>
      </c>
    </row>
    <row r="225" spans="1:25" ht="14.5">
      <c r="A225" s="201"/>
      <c r="B225" s="283"/>
      <c r="C225" s="203"/>
      <c r="D225" s="205"/>
      <c r="E225" s="203"/>
      <c r="F225" s="205"/>
      <c r="G225" s="206"/>
      <c r="H225" s="206"/>
      <c r="I225" s="207"/>
      <c r="J225" s="208"/>
      <c r="K225" s="204"/>
      <c r="L225" s="210" t="str">
        <f t="shared" si="14"/>
        <v/>
      </c>
      <c r="M225" s="78"/>
      <c r="N225" s="34"/>
      <c r="O225" s="78"/>
      <c r="P225" s="78"/>
      <c r="Q225" s="78"/>
      <c r="R225" s="36">
        <f t="shared" si="15"/>
        <v>28348.636155563392</v>
      </c>
      <c r="S225" s="37"/>
      <c r="T225" s="37"/>
      <c r="X225" s="39" t="str">
        <f t="shared" si="12"/>
        <v/>
      </c>
      <c r="Y225" s="42" t="str">
        <f t="shared" si="13"/>
        <v/>
      </c>
    </row>
    <row r="226" spans="1:25" ht="14.5">
      <c r="A226" s="47"/>
      <c r="B226" s="301"/>
      <c r="C226" s="49"/>
      <c r="D226" s="50"/>
      <c r="E226" s="49"/>
      <c r="F226" s="50"/>
      <c r="G226" s="51"/>
      <c r="H226" s="51"/>
      <c r="I226" s="52"/>
      <c r="J226" s="53"/>
      <c r="K226" s="54"/>
      <c r="L226" s="174" t="str">
        <f t="shared" si="14"/>
        <v/>
      </c>
      <c r="M226" s="78"/>
      <c r="N226" s="34"/>
      <c r="O226" s="78"/>
      <c r="P226" s="78"/>
      <c r="Q226" s="78"/>
      <c r="R226" s="36">
        <f t="shared" si="15"/>
        <v>28348.636155563392</v>
      </c>
      <c r="S226" s="37"/>
      <c r="T226" s="37"/>
      <c r="X226" s="232" t="str">
        <f t="shared" si="12"/>
        <v/>
      </c>
      <c r="Y226" s="42" t="str">
        <f t="shared" si="13"/>
        <v/>
      </c>
    </row>
    <row r="227" spans="1:25" ht="14.5">
      <c r="A227" s="47"/>
      <c r="B227" s="301"/>
      <c r="C227" s="49"/>
      <c r="D227" s="50"/>
      <c r="E227" s="49"/>
      <c r="F227" s="50"/>
      <c r="G227" s="51"/>
      <c r="H227" s="51"/>
      <c r="I227" s="52"/>
      <c r="J227" s="53"/>
      <c r="K227" s="54"/>
      <c r="L227" s="174" t="str">
        <f t="shared" si="14"/>
        <v/>
      </c>
      <c r="M227" s="78"/>
      <c r="N227" s="34"/>
      <c r="O227" s="78"/>
      <c r="P227" s="78"/>
      <c r="Q227" s="78"/>
      <c r="R227" s="36">
        <f t="shared" si="15"/>
        <v>28348.636155563392</v>
      </c>
      <c r="S227" s="37"/>
      <c r="T227" s="37"/>
      <c r="X227" s="39" t="str">
        <f t="shared" si="12"/>
        <v/>
      </c>
      <c r="Y227" s="42" t="str">
        <f t="shared" si="13"/>
        <v/>
      </c>
    </row>
    <row r="228" spans="1:25" ht="14.5">
      <c r="A228" s="302"/>
      <c r="B228" s="303"/>
      <c r="C228" s="304"/>
      <c r="D228" s="305"/>
      <c r="E228" s="304"/>
      <c r="F228" s="306"/>
      <c r="G228" s="307"/>
      <c r="H228" s="307"/>
      <c r="I228" s="308"/>
      <c r="J228" s="309"/>
      <c r="K228" s="305"/>
      <c r="L228" s="310" t="str">
        <f t="shared" si="14"/>
        <v/>
      </c>
      <c r="M228" s="383"/>
      <c r="N228" s="34"/>
      <c r="O228" s="78"/>
      <c r="P228" s="78"/>
      <c r="Q228" s="78"/>
      <c r="R228" s="36">
        <f t="shared" si="15"/>
        <v>28348.636155563392</v>
      </c>
      <c r="S228" s="37"/>
      <c r="T228" s="37"/>
      <c r="X228" s="232" t="str">
        <f t="shared" si="12"/>
        <v/>
      </c>
      <c r="Y228" s="42" t="str">
        <f t="shared" si="13"/>
        <v/>
      </c>
    </row>
    <row r="229" spans="1:25" ht="14.5">
      <c r="A229" s="311"/>
      <c r="B229" s="312"/>
      <c r="C229" s="313"/>
      <c r="D229" s="314"/>
      <c r="E229" s="313"/>
      <c r="F229" s="315"/>
      <c r="G229" s="316"/>
      <c r="H229" s="316"/>
      <c r="I229" s="317"/>
      <c r="J229" s="318"/>
      <c r="K229" s="314"/>
      <c r="L229" s="577" t="str">
        <f t="shared" si="14"/>
        <v/>
      </c>
      <c r="M229" s="33" t="s">
        <v>41</v>
      </c>
      <c r="N229" s="34"/>
      <c r="O229" s="78"/>
      <c r="P229" s="78"/>
      <c r="Q229" s="78"/>
      <c r="R229" s="36">
        <f t="shared" si="15"/>
        <v>28348.636155563392</v>
      </c>
      <c r="S229" s="37" t="str">
        <f t="shared" ref="S229:S381" si="16">IF(R229&lt;&gt;R228,R229-R228,"")</f>
        <v/>
      </c>
      <c r="T229" s="37"/>
      <c r="X229" s="39" t="str">
        <f t="shared" si="12"/>
        <v/>
      </c>
      <c r="Y229" s="42" t="str">
        <f t="shared" si="13"/>
        <v/>
      </c>
    </row>
    <row r="230" spans="1:25" ht="14.5">
      <c r="A230" s="47"/>
      <c r="B230" s="301"/>
      <c r="C230" s="49"/>
      <c r="D230" s="50"/>
      <c r="E230" s="49"/>
      <c r="F230" s="50"/>
      <c r="G230" s="51"/>
      <c r="H230" s="51"/>
      <c r="I230" s="52"/>
      <c r="J230" s="53"/>
      <c r="K230" s="54"/>
      <c r="L230" s="55" t="str">
        <f t="shared" si="14"/>
        <v/>
      </c>
      <c r="M230" s="45" t="s">
        <v>21</v>
      </c>
      <c r="N230" s="34"/>
      <c r="O230" s="78"/>
      <c r="P230" s="78"/>
      <c r="Q230" s="78"/>
      <c r="R230" s="36">
        <f t="shared" si="15"/>
        <v>28348.636155563392</v>
      </c>
      <c r="S230" s="37" t="str">
        <f t="shared" si="16"/>
        <v/>
      </c>
      <c r="T230" s="37"/>
      <c r="X230" s="232" t="str">
        <f t="shared" si="12"/>
        <v/>
      </c>
      <c r="Y230" s="42" t="str">
        <f t="shared" si="13"/>
        <v/>
      </c>
    </row>
    <row r="231" spans="1:25" ht="14.5">
      <c r="A231" s="47"/>
      <c r="B231" s="301"/>
      <c r="C231" s="49"/>
      <c r="D231" s="50"/>
      <c r="E231" s="49"/>
      <c r="F231" s="50"/>
      <c r="G231" s="51"/>
      <c r="H231" s="51"/>
      <c r="I231" s="52"/>
      <c r="J231" s="53"/>
      <c r="K231" s="54"/>
      <c r="L231" s="55" t="str">
        <f t="shared" si="14"/>
        <v/>
      </c>
      <c r="M231" s="56">
        <f>IFERROR(AVERAGE(L229:L270),0)</f>
        <v>0</v>
      </c>
      <c r="N231" s="34"/>
      <c r="O231" s="78"/>
      <c r="P231" s="78"/>
      <c r="Q231" s="78"/>
      <c r="R231" s="36">
        <f t="shared" si="15"/>
        <v>28348.636155563392</v>
      </c>
      <c r="S231" s="37" t="str">
        <f t="shared" si="16"/>
        <v/>
      </c>
      <c r="T231" s="37"/>
      <c r="X231" s="39" t="str">
        <f t="shared" si="12"/>
        <v/>
      </c>
      <c r="Y231" s="42" t="str">
        <f t="shared" si="13"/>
        <v/>
      </c>
    </row>
    <row r="232" spans="1:25" ht="14.5">
      <c r="A232" s="201"/>
      <c r="B232" s="283"/>
      <c r="C232" s="203"/>
      <c r="D232" s="205"/>
      <c r="E232" s="203"/>
      <c r="F232" s="205"/>
      <c r="G232" s="206"/>
      <c r="H232" s="206"/>
      <c r="I232" s="207"/>
      <c r="J232" s="208"/>
      <c r="K232" s="204"/>
      <c r="L232" s="209" t="str">
        <f t="shared" si="14"/>
        <v/>
      </c>
      <c r="M232" s="45" t="s">
        <v>24</v>
      </c>
      <c r="N232" s="34"/>
      <c r="O232" s="78"/>
      <c r="P232" s="78"/>
      <c r="Q232" s="78"/>
      <c r="R232" s="36">
        <f t="shared" si="15"/>
        <v>28348.636155563392</v>
      </c>
      <c r="S232" s="37" t="str">
        <f t="shared" si="16"/>
        <v/>
      </c>
      <c r="T232" s="37"/>
      <c r="X232" s="232" t="str">
        <f t="shared" si="12"/>
        <v/>
      </c>
      <c r="Y232" s="42" t="str">
        <f t="shared" si="13"/>
        <v/>
      </c>
    </row>
    <row r="233" spans="1:25" ht="14.5">
      <c r="A233" s="201"/>
      <c r="B233" s="283"/>
      <c r="C233" s="203"/>
      <c r="D233" s="205"/>
      <c r="E233" s="203"/>
      <c r="F233" s="205"/>
      <c r="G233" s="206"/>
      <c r="H233" s="206"/>
      <c r="I233" s="207"/>
      <c r="J233" s="208"/>
      <c r="K233" s="204"/>
      <c r="L233" s="209" t="str">
        <f t="shared" si="14"/>
        <v/>
      </c>
      <c r="M233" s="56">
        <f>SUM(I229:I270)</f>
        <v>0</v>
      </c>
      <c r="N233" s="34"/>
      <c r="O233" s="78"/>
      <c r="P233" s="78"/>
      <c r="Q233" s="78"/>
      <c r="R233" s="36">
        <f t="shared" si="15"/>
        <v>28348.636155563392</v>
      </c>
      <c r="S233" s="37" t="str">
        <f t="shared" si="16"/>
        <v/>
      </c>
      <c r="T233" s="37"/>
      <c r="X233" s="39" t="str">
        <f t="shared" si="12"/>
        <v/>
      </c>
      <c r="Y233" s="42" t="str">
        <f t="shared" si="13"/>
        <v/>
      </c>
    </row>
    <row r="234" spans="1:25" ht="14.5">
      <c r="A234" s="47"/>
      <c r="B234" s="48"/>
      <c r="C234" s="49"/>
      <c r="D234" s="54"/>
      <c r="E234" s="49"/>
      <c r="F234" s="50"/>
      <c r="G234" s="51"/>
      <c r="H234" s="51"/>
      <c r="I234" s="52"/>
      <c r="J234" s="53"/>
      <c r="K234" s="54"/>
      <c r="L234" s="55" t="str">
        <f t="shared" si="14"/>
        <v/>
      </c>
      <c r="M234" s="45" t="s">
        <v>27</v>
      </c>
      <c r="N234" s="34"/>
      <c r="O234" s="78"/>
      <c r="P234" s="78"/>
      <c r="Q234" s="78"/>
      <c r="R234" s="36">
        <f t="shared" si="15"/>
        <v>28348.636155563392</v>
      </c>
      <c r="S234" s="37" t="str">
        <f t="shared" si="16"/>
        <v/>
      </c>
      <c r="T234" s="37"/>
      <c r="X234" s="232" t="str">
        <f t="shared" si="12"/>
        <v/>
      </c>
      <c r="Y234" s="42" t="str">
        <f t="shared" si="13"/>
        <v/>
      </c>
    </row>
    <row r="235" spans="1:25" ht="14.5">
      <c r="A235" s="47"/>
      <c r="B235" s="48"/>
      <c r="C235" s="49"/>
      <c r="D235" s="54"/>
      <c r="E235" s="49"/>
      <c r="F235" s="50"/>
      <c r="G235" s="51"/>
      <c r="H235" s="51"/>
      <c r="I235" s="52"/>
      <c r="J235" s="53"/>
      <c r="K235" s="54"/>
      <c r="L235" s="55" t="str">
        <f t="shared" si="14"/>
        <v/>
      </c>
      <c r="M235" s="66">
        <f>SUM(J229:J270)/100</f>
        <v>0</v>
      </c>
      <c r="N235" s="34"/>
      <c r="O235" s="78"/>
      <c r="P235" s="78"/>
      <c r="Q235" s="78"/>
      <c r="R235" s="36">
        <f t="shared" si="15"/>
        <v>28348.636155563392</v>
      </c>
      <c r="S235" s="37" t="str">
        <f t="shared" si="16"/>
        <v/>
      </c>
      <c r="T235" s="37"/>
      <c r="X235" s="39" t="str">
        <f t="shared" si="12"/>
        <v/>
      </c>
      <c r="Y235" s="42" t="str">
        <f t="shared" si="13"/>
        <v/>
      </c>
    </row>
    <row r="236" spans="1:25" ht="14.5">
      <c r="A236" s="201"/>
      <c r="B236" s="283"/>
      <c r="C236" s="203"/>
      <c r="D236" s="205"/>
      <c r="E236" s="203"/>
      <c r="F236" s="205"/>
      <c r="G236" s="206"/>
      <c r="H236" s="206"/>
      <c r="I236" s="207"/>
      <c r="J236" s="208"/>
      <c r="K236" s="204"/>
      <c r="L236" s="209" t="str">
        <f t="shared" si="14"/>
        <v/>
      </c>
      <c r="M236" s="319"/>
      <c r="N236" s="34"/>
      <c r="O236" s="78"/>
      <c r="P236" s="78"/>
      <c r="Q236" s="78"/>
      <c r="R236" s="36">
        <f t="shared" si="15"/>
        <v>28348.636155563392</v>
      </c>
      <c r="S236" s="37" t="str">
        <f t="shared" si="16"/>
        <v/>
      </c>
      <c r="T236" s="37"/>
      <c r="X236" s="320" t="str">
        <f t="shared" si="12"/>
        <v/>
      </c>
      <c r="Y236" s="42" t="str">
        <f t="shared" si="13"/>
        <v/>
      </c>
    </row>
    <row r="237" spans="1:25" ht="14.5">
      <c r="A237" s="201"/>
      <c r="B237" s="283"/>
      <c r="C237" s="203"/>
      <c r="D237" s="205"/>
      <c r="E237" s="203"/>
      <c r="F237" s="205"/>
      <c r="G237" s="206"/>
      <c r="H237" s="206"/>
      <c r="I237" s="207"/>
      <c r="J237" s="208"/>
      <c r="K237" s="204"/>
      <c r="L237" s="210" t="str">
        <f t="shared" si="14"/>
        <v/>
      </c>
      <c r="M237" s="78"/>
      <c r="N237" s="34"/>
      <c r="O237" s="78"/>
      <c r="P237" s="78"/>
      <c r="Q237" s="78"/>
      <c r="R237" s="36">
        <f t="shared" si="15"/>
        <v>28348.636155563392</v>
      </c>
      <c r="S237" s="37" t="str">
        <f t="shared" si="16"/>
        <v/>
      </c>
      <c r="T237" s="37"/>
      <c r="X237" s="39" t="str">
        <f t="shared" si="12"/>
        <v/>
      </c>
      <c r="Y237" s="42" t="str">
        <f t="shared" si="13"/>
        <v/>
      </c>
    </row>
    <row r="238" spans="1:25" ht="14.5">
      <c r="A238" s="47"/>
      <c r="B238" s="48"/>
      <c r="C238" s="49"/>
      <c r="D238" s="54"/>
      <c r="E238" s="49"/>
      <c r="F238" s="50"/>
      <c r="G238" s="51"/>
      <c r="H238" s="51"/>
      <c r="I238" s="52"/>
      <c r="J238" s="53"/>
      <c r="K238" s="54"/>
      <c r="L238" s="55" t="str">
        <f t="shared" si="14"/>
        <v/>
      </c>
      <c r="M238" s="78"/>
      <c r="N238" s="34"/>
      <c r="O238" s="78"/>
      <c r="P238" s="78"/>
      <c r="Q238" s="78"/>
      <c r="R238" s="36">
        <f t="shared" si="15"/>
        <v>28348.636155563392</v>
      </c>
      <c r="S238" s="37" t="str">
        <f t="shared" si="16"/>
        <v/>
      </c>
      <c r="T238" s="37"/>
      <c r="X238" s="232" t="str">
        <f t="shared" si="12"/>
        <v/>
      </c>
      <c r="Y238" s="42" t="str">
        <f t="shared" si="13"/>
        <v/>
      </c>
    </row>
    <row r="239" spans="1:25" ht="14.5">
      <c r="A239" s="47"/>
      <c r="B239" s="48"/>
      <c r="C239" s="49"/>
      <c r="D239" s="54"/>
      <c r="E239" s="49"/>
      <c r="F239" s="50"/>
      <c r="G239" s="51"/>
      <c r="H239" s="51"/>
      <c r="I239" s="52"/>
      <c r="J239" s="53"/>
      <c r="K239" s="54"/>
      <c r="L239" s="55" t="str">
        <f t="shared" si="14"/>
        <v/>
      </c>
      <c r="M239" s="78"/>
      <c r="N239" s="34"/>
      <c r="O239" s="78"/>
      <c r="P239" s="78"/>
      <c r="Q239" s="78"/>
      <c r="R239" s="36">
        <f t="shared" si="15"/>
        <v>28348.636155563392</v>
      </c>
      <c r="S239" s="37" t="str">
        <f t="shared" si="16"/>
        <v/>
      </c>
      <c r="T239" s="37"/>
      <c r="X239" s="39" t="str">
        <f t="shared" si="12"/>
        <v/>
      </c>
      <c r="Y239" s="42" t="str">
        <f t="shared" si="13"/>
        <v/>
      </c>
    </row>
    <row r="240" spans="1:25" ht="14.5">
      <c r="A240" s="127"/>
      <c r="B240" s="128"/>
      <c r="C240" s="129"/>
      <c r="D240" s="130"/>
      <c r="E240" s="129"/>
      <c r="F240" s="130"/>
      <c r="G240" s="131"/>
      <c r="H240" s="131"/>
      <c r="I240" s="132"/>
      <c r="J240" s="133"/>
      <c r="K240" s="134"/>
      <c r="L240" s="135" t="str">
        <f t="shared" si="14"/>
        <v/>
      </c>
      <c r="M240" s="78"/>
      <c r="N240" s="34"/>
      <c r="O240" s="78"/>
      <c r="P240" s="78"/>
      <c r="Q240" s="78"/>
      <c r="R240" s="36">
        <f t="shared" si="15"/>
        <v>28348.636155563392</v>
      </c>
      <c r="S240" s="37" t="str">
        <f t="shared" si="16"/>
        <v/>
      </c>
      <c r="T240" s="37"/>
      <c r="X240" s="39" t="str">
        <f t="shared" si="12"/>
        <v/>
      </c>
      <c r="Y240" s="42" t="str">
        <f t="shared" si="13"/>
        <v/>
      </c>
    </row>
    <row r="241" spans="1:25" ht="14.5">
      <c r="A241" s="127"/>
      <c r="B241" s="128"/>
      <c r="C241" s="129"/>
      <c r="D241" s="134"/>
      <c r="E241" s="129"/>
      <c r="F241" s="130"/>
      <c r="G241" s="131"/>
      <c r="H241" s="131"/>
      <c r="I241" s="132"/>
      <c r="J241" s="133"/>
      <c r="K241" s="134"/>
      <c r="L241" s="135" t="str">
        <f t="shared" si="14"/>
        <v/>
      </c>
      <c r="M241" s="78"/>
      <c r="N241" s="34"/>
      <c r="O241" s="78"/>
      <c r="P241" s="78"/>
      <c r="Q241" s="78"/>
      <c r="R241" s="36">
        <f t="shared" si="15"/>
        <v>28348.636155563392</v>
      </c>
      <c r="S241" s="37" t="str">
        <f t="shared" si="16"/>
        <v/>
      </c>
      <c r="T241" s="37"/>
      <c r="X241" s="39" t="str">
        <f t="shared" si="12"/>
        <v/>
      </c>
      <c r="Y241" s="42" t="str">
        <f t="shared" si="13"/>
        <v/>
      </c>
    </row>
    <row r="242" spans="1:25" ht="14.5">
      <c r="A242" s="47"/>
      <c r="B242" s="48"/>
      <c r="C242" s="49"/>
      <c r="D242" s="54"/>
      <c r="E242" s="49"/>
      <c r="F242" s="50"/>
      <c r="G242" s="51"/>
      <c r="H242" s="51"/>
      <c r="I242" s="52"/>
      <c r="J242" s="53"/>
      <c r="K242" s="54"/>
      <c r="L242" s="55" t="str">
        <f t="shared" si="14"/>
        <v/>
      </c>
      <c r="M242" s="78"/>
      <c r="N242" s="34"/>
      <c r="O242" s="78"/>
      <c r="P242" s="78"/>
      <c r="Q242" s="78"/>
      <c r="R242" s="36">
        <f t="shared" si="15"/>
        <v>28348.636155563392</v>
      </c>
      <c r="S242" s="37" t="str">
        <f t="shared" si="16"/>
        <v/>
      </c>
      <c r="T242" s="37"/>
      <c r="X242" s="39" t="str">
        <f t="shared" si="12"/>
        <v/>
      </c>
      <c r="Y242" s="42" t="str">
        <f t="shared" si="13"/>
        <v/>
      </c>
    </row>
    <row r="243" spans="1:25" ht="14.5">
      <c r="A243" s="47"/>
      <c r="B243" s="48"/>
      <c r="C243" s="49"/>
      <c r="D243" s="54"/>
      <c r="E243" s="49"/>
      <c r="F243" s="50"/>
      <c r="G243" s="51"/>
      <c r="H243" s="51"/>
      <c r="I243" s="52"/>
      <c r="J243" s="53"/>
      <c r="K243" s="54"/>
      <c r="L243" s="55" t="str">
        <f t="shared" si="14"/>
        <v/>
      </c>
      <c r="M243" s="78"/>
      <c r="N243" s="34"/>
      <c r="O243" s="78"/>
      <c r="P243" s="78"/>
      <c r="Q243" s="78"/>
      <c r="R243" s="36">
        <f t="shared" si="15"/>
        <v>28348.636155563392</v>
      </c>
      <c r="S243" s="37" t="str">
        <f t="shared" si="16"/>
        <v/>
      </c>
      <c r="T243" s="37"/>
      <c r="X243" s="39" t="str">
        <f t="shared" si="12"/>
        <v/>
      </c>
      <c r="Y243" s="42" t="str">
        <f t="shared" si="13"/>
        <v/>
      </c>
    </row>
    <row r="244" spans="1:25" ht="14.5">
      <c r="A244" s="201"/>
      <c r="B244" s="283"/>
      <c r="C244" s="203"/>
      <c r="D244" s="205"/>
      <c r="E244" s="203"/>
      <c r="F244" s="205"/>
      <c r="G244" s="206"/>
      <c r="H244" s="206"/>
      <c r="I244" s="207"/>
      <c r="J244" s="208"/>
      <c r="K244" s="204"/>
      <c r="L244" s="209" t="str">
        <f t="shared" si="14"/>
        <v/>
      </c>
      <c r="M244" s="78"/>
      <c r="N244" s="34"/>
      <c r="O244" s="78"/>
      <c r="P244" s="78"/>
      <c r="Q244" s="78"/>
      <c r="R244" s="36">
        <f t="shared" si="15"/>
        <v>28348.636155563392</v>
      </c>
      <c r="S244" s="37" t="str">
        <f t="shared" si="16"/>
        <v/>
      </c>
      <c r="T244" s="37"/>
      <c r="X244" s="39" t="str">
        <f t="shared" si="12"/>
        <v/>
      </c>
      <c r="Y244" s="42" t="str">
        <f t="shared" si="13"/>
        <v/>
      </c>
    </row>
    <row r="245" spans="1:25" ht="14.5">
      <c r="A245" s="201"/>
      <c r="B245" s="283"/>
      <c r="C245" s="203"/>
      <c r="D245" s="205"/>
      <c r="E245" s="203"/>
      <c r="F245" s="205"/>
      <c r="G245" s="206"/>
      <c r="H245" s="206"/>
      <c r="I245" s="207"/>
      <c r="J245" s="208"/>
      <c r="K245" s="204"/>
      <c r="L245" s="210" t="str">
        <f t="shared" si="14"/>
        <v/>
      </c>
      <c r="M245" s="78"/>
      <c r="N245" s="34"/>
      <c r="O245" s="78"/>
      <c r="P245" s="78"/>
      <c r="Q245" s="78"/>
      <c r="R245" s="36">
        <f t="shared" si="15"/>
        <v>28348.636155563392</v>
      </c>
      <c r="S245" s="37" t="str">
        <f t="shared" si="16"/>
        <v/>
      </c>
      <c r="T245" s="37"/>
      <c r="X245" s="39" t="str">
        <f t="shared" si="12"/>
        <v/>
      </c>
      <c r="Y245" s="42" t="str">
        <f t="shared" si="13"/>
        <v/>
      </c>
    </row>
    <row r="246" spans="1:25" ht="14.5">
      <c r="A246" s="47"/>
      <c r="B246" s="48"/>
      <c r="C246" s="49"/>
      <c r="D246" s="54"/>
      <c r="E246" s="49"/>
      <c r="F246" s="50"/>
      <c r="G246" s="51"/>
      <c r="H246" s="51"/>
      <c r="I246" s="52"/>
      <c r="J246" s="53"/>
      <c r="K246" s="54"/>
      <c r="L246" s="55" t="str">
        <f t="shared" si="14"/>
        <v/>
      </c>
      <c r="M246" s="78"/>
      <c r="N246" s="34"/>
      <c r="O246" s="78"/>
      <c r="P246" s="78"/>
      <c r="Q246" s="78"/>
      <c r="R246" s="36">
        <f t="shared" si="15"/>
        <v>28348.636155563392</v>
      </c>
      <c r="S246" s="37" t="str">
        <f t="shared" si="16"/>
        <v/>
      </c>
      <c r="T246" s="37"/>
      <c r="X246" s="39" t="str">
        <f t="shared" ref="X246:X309" si="17">IF(I361&lt;&gt;0,I361,"")</f>
        <v/>
      </c>
      <c r="Y246" s="42" t="str">
        <f t="shared" ref="Y246:Y309" si="18">IF(I361&lt;&gt;0,A361,"")</f>
        <v/>
      </c>
    </row>
    <row r="247" spans="1:25" ht="14.5">
      <c r="A247" s="47"/>
      <c r="B247" s="48"/>
      <c r="C247" s="49"/>
      <c r="D247" s="54"/>
      <c r="E247" s="49"/>
      <c r="F247" s="50"/>
      <c r="G247" s="51"/>
      <c r="H247" s="51"/>
      <c r="I247" s="52"/>
      <c r="J247" s="53"/>
      <c r="K247" s="54"/>
      <c r="L247" s="55" t="str">
        <f t="shared" si="14"/>
        <v/>
      </c>
      <c r="M247" s="78"/>
      <c r="N247" s="34"/>
      <c r="O247" s="78"/>
      <c r="P247" s="78"/>
      <c r="Q247" s="78"/>
      <c r="R247" s="36">
        <f t="shared" si="15"/>
        <v>28348.636155563392</v>
      </c>
      <c r="S247" s="37" t="str">
        <f t="shared" si="16"/>
        <v/>
      </c>
      <c r="T247" s="37"/>
      <c r="X247" s="39" t="str">
        <f t="shared" si="17"/>
        <v/>
      </c>
      <c r="Y247" s="42" t="str">
        <f t="shared" si="18"/>
        <v/>
      </c>
    </row>
    <row r="248" spans="1:25" ht="14.5">
      <c r="A248" s="118"/>
      <c r="B248" s="119"/>
      <c r="C248" s="120"/>
      <c r="D248" s="125"/>
      <c r="E248" s="120"/>
      <c r="F248" s="121"/>
      <c r="G248" s="122"/>
      <c r="H248" s="122"/>
      <c r="I248" s="142"/>
      <c r="J248" s="124"/>
      <c r="K248" s="125"/>
      <c r="L248" s="574" t="str">
        <f t="shared" si="14"/>
        <v/>
      </c>
      <c r="M248" s="78"/>
      <c r="N248" s="34"/>
      <c r="O248" s="78"/>
      <c r="P248" s="78"/>
      <c r="Q248" s="78"/>
      <c r="R248" s="36">
        <f t="shared" si="15"/>
        <v>28348.636155563392</v>
      </c>
      <c r="S248" s="37" t="str">
        <f t="shared" si="16"/>
        <v/>
      </c>
      <c r="T248" s="37"/>
      <c r="X248" s="39" t="str">
        <f t="shared" si="17"/>
        <v/>
      </c>
      <c r="Y248" s="42" t="str">
        <f t="shared" si="18"/>
        <v/>
      </c>
    </row>
    <row r="249" spans="1:25" ht="14.5">
      <c r="A249" s="118"/>
      <c r="B249" s="137"/>
      <c r="C249" s="138"/>
      <c r="D249" s="139"/>
      <c r="E249" s="138"/>
      <c r="F249" s="140"/>
      <c r="G249" s="141"/>
      <c r="H249" s="141"/>
      <c r="I249" s="142"/>
      <c r="J249" s="143"/>
      <c r="K249" s="139"/>
      <c r="L249" s="144" t="str">
        <f t="shared" si="14"/>
        <v/>
      </c>
      <c r="M249" s="78"/>
      <c r="N249" s="34"/>
      <c r="O249" s="78"/>
      <c r="P249" s="78"/>
      <c r="Q249" s="78"/>
      <c r="R249" s="36">
        <f t="shared" si="15"/>
        <v>28348.636155563392</v>
      </c>
      <c r="S249" s="37" t="str">
        <f t="shared" si="16"/>
        <v/>
      </c>
      <c r="T249" s="37"/>
      <c r="X249" s="39" t="str">
        <f t="shared" si="17"/>
        <v/>
      </c>
      <c r="Y249" s="42" t="str">
        <f t="shared" si="18"/>
        <v/>
      </c>
    </row>
    <row r="250" spans="1:25" ht="14.5">
      <c r="A250" s="47"/>
      <c r="B250" s="48"/>
      <c r="C250" s="49"/>
      <c r="D250" s="54"/>
      <c r="E250" s="49"/>
      <c r="F250" s="50"/>
      <c r="G250" s="51"/>
      <c r="H250" s="51"/>
      <c r="I250" s="52"/>
      <c r="J250" s="53"/>
      <c r="K250" s="54"/>
      <c r="L250" s="55" t="str">
        <f t="shared" si="14"/>
        <v/>
      </c>
      <c r="M250" s="78"/>
      <c r="N250" s="34"/>
      <c r="O250" s="78"/>
      <c r="P250" s="78"/>
      <c r="Q250" s="78"/>
      <c r="R250" s="36">
        <f t="shared" si="15"/>
        <v>28348.636155563392</v>
      </c>
      <c r="S250" s="37" t="str">
        <f t="shared" si="16"/>
        <v/>
      </c>
      <c r="T250" s="37"/>
      <c r="X250" s="39" t="str">
        <f t="shared" si="17"/>
        <v/>
      </c>
      <c r="Y250" s="42" t="str">
        <f t="shared" si="18"/>
        <v/>
      </c>
    </row>
    <row r="251" spans="1:25" ht="14.5">
      <c r="A251" s="47"/>
      <c r="B251" s="48"/>
      <c r="C251" s="49"/>
      <c r="D251" s="54"/>
      <c r="E251" s="49"/>
      <c r="F251" s="50"/>
      <c r="G251" s="51"/>
      <c r="H251" s="51"/>
      <c r="I251" s="52"/>
      <c r="J251" s="53"/>
      <c r="K251" s="54"/>
      <c r="L251" s="55" t="str">
        <f t="shared" si="14"/>
        <v/>
      </c>
      <c r="M251" s="78"/>
      <c r="N251" s="34"/>
      <c r="O251" s="78"/>
      <c r="P251" s="78"/>
      <c r="Q251" s="78"/>
      <c r="R251" s="36">
        <f t="shared" si="15"/>
        <v>28348.636155563392</v>
      </c>
      <c r="S251" s="37" t="str">
        <f t="shared" si="16"/>
        <v/>
      </c>
      <c r="T251" s="37"/>
      <c r="X251" s="39" t="str">
        <f t="shared" si="17"/>
        <v/>
      </c>
      <c r="Y251" s="42" t="str">
        <f t="shared" si="18"/>
        <v/>
      </c>
    </row>
    <row r="252" spans="1:25" ht="14.5">
      <c r="A252" s="201"/>
      <c r="B252" s="283"/>
      <c r="C252" s="203"/>
      <c r="D252" s="205"/>
      <c r="E252" s="203"/>
      <c r="F252" s="205"/>
      <c r="G252" s="206"/>
      <c r="H252" s="206"/>
      <c r="I252" s="207"/>
      <c r="J252" s="208"/>
      <c r="K252" s="204"/>
      <c r="L252" s="209" t="str">
        <f t="shared" si="14"/>
        <v/>
      </c>
      <c r="M252" s="78"/>
      <c r="N252" s="34"/>
      <c r="O252" s="78"/>
      <c r="P252" s="78"/>
      <c r="Q252" s="78"/>
      <c r="R252" s="36">
        <f t="shared" si="15"/>
        <v>28348.636155563392</v>
      </c>
      <c r="S252" s="37" t="str">
        <f t="shared" si="16"/>
        <v/>
      </c>
      <c r="T252" s="37"/>
      <c r="X252" s="39" t="str">
        <f t="shared" si="17"/>
        <v/>
      </c>
      <c r="Y252" s="42" t="str">
        <f t="shared" si="18"/>
        <v/>
      </c>
    </row>
    <row r="253" spans="1:25" ht="14.5">
      <c r="A253" s="201"/>
      <c r="B253" s="283"/>
      <c r="C253" s="203"/>
      <c r="D253" s="205"/>
      <c r="E253" s="203"/>
      <c r="F253" s="205"/>
      <c r="G253" s="206"/>
      <c r="H253" s="206"/>
      <c r="I253" s="207"/>
      <c r="J253" s="208"/>
      <c r="K253" s="204"/>
      <c r="L253" s="210" t="str">
        <f t="shared" si="14"/>
        <v/>
      </c>
      <c r="M253" s="78"/>
      <c r="N253" s="34"/>
      <c r="O253" s="78"/>
      <c r="P253" s="78"/>
      <c r="Q253" s="78"/>
      <c r="R253" s="36">
        <f t="shared" si="15"/>
        <v>28348.636155563392</v>
      </c>
      <c r="S253" s="37" t="str">
        <f t="shared" si="16"/>
        <v/>
      </c>
      <c r="T253" s="37"/>
      <c r="X253" s="39" t="str">
        <f t="shared" si="17"/>
        <v/>
      </c>
      <c r="Y253" s="42" t="str">
        <f t="shared" si="18"/>
        <v/>
      </c>
    </row>
    <row r="254" spans="1:25" ht="14.5">
      <c r="A254" s="47"/>
      <c r="B254" s="48"/>
      <c r="C254" s="49"/>
      <c r="D254" s="54"/>
      <c r="E254" s="49"/>
      <c r="F254" s="50"/>
      <c r="G254" s="51"/>
      <c r="H254" s="51"/>
      <c r="I254" s="52"/>
      <c r="J254" s="53"/>
      <c r="K254" s="54"/>
      <c r="L254" s="55" t="str">
        <f t="shared" si="14"/>
        <v/>
      </c>
      <c r="M254" s="78"/>
      <c r="N254" s="34"/>
      <c r="O254" s="78"/>
      <c r="P254" s="78"/>
      <c r="Q254" s="78"/>
      <c r="R254" s="36">
        <f t="shared" si="15"/>
        <v>28348.636155563392</v>
      </c>
      <c r="S254" s="37" t="str">
        <f t="shared" si="16"/>
        <v/>
      </c>
      <c r="T254" s="37"/>
      <c r="X254" s="39" t="str">
        <f t="shared" si="17"/>
        <v/>
      </c>
      <c r="Y254" s="42" t="str">
        <f t="shared" si="18"/>
        <v/>
      </c>
    </row>
    <row r="255" spans="1:25" ht="14.5">
      <c r="A255" s="47"/>
      <c r="B255" s="48"/>
      <c r="C255" s="49"/>
      <c r="D255" s="54"/>
      <c r="E255" s="49"/>
      <c r="F255" s="50"/>
      <c r="G255" s="51"/>
      <c r="H255" s="51"/>
      <c r="I255" s="52"/>
      <c r="J255" s="53"/>
      <c r="K255" s="54"/>
      <c r="L255" s="55" t="str">
        <f t="shared" si="14"/>
        <v/>
      </c>
      <c r="M255" s="78"/>
      <c r="N255" s="34"/>
      <c r="O255" s="78"/>
      <c r="P255" s="78"/>
      <c r="Q255" s="78"/>
      <c r="R255" s="36">
        <f t="shared" si="15"/>
        <v>28348.636155563392</v>
      </c>
      <c r="S255" s="37" t="str">
        <f t="shared" si="16"/>
        <v/>
      </c>
      <c r="T255" s="37"/>
      <c r="X255" s="39" t="str">
        <f t="shared" si="17"/>
        <v/>
      </c>
      <c r="Y255" s="42" t="str">
        <f t="shared" si="18"/>
        <v/>
      </c>
    </row>
    <row r="256" spans="1:25" ht="14.5">
      <c r="A256" s="201"/>
      <c r="B256" s="283"/>
      <c r="C256" s="203"/>
      <c r="D256" s="205"/>
      <c r="E256" s="203"/>
      <c r="F256" s="205"/>
      <c r="G256" s="206"/>
      <c r="H256" s="206"/>
      <c r="I256" s="207"/>
      <c r="J256" s="208"/>
      <c r="K256" s="204"/>
      <c r="L256" s="209" t="str">
        <f t="shared" si="14"/>
        <v/>
      </c>
      <c r="M256" s="78"/>
      <c r="N256" s="34"/>
      <c r="O256" s="78"/>
      <c r="P256" s="78"/>
      <c r="Q256" s="78"/>
      <c r="R256" s="36">
        <f t="shared" si="15"/>
        <v>28348.636155563392</v>
      </c>
      <c r="S256" s="37" t="str">
        <f t="shared" si="16"/>
        <v/>
      </c>
      <c r="T256" s="37"/>
      <c r="X256" s="39" t="str">
        <f t="shared" si="17"/>
        <v/>
      </c>
      <c r="Y256" s="42" t="str">
        <f t="shared" si="18"/>
        <v/>
      </c>
    </row>
    <row r="257" spans="1:25" ht="14.5">
      <c r="A257" s="201"/>
      <c r="B257" s="283"/>
      <c r="C257" s="203"/>
      <c r="D257" s="205"/>
      <c r="E257" s="203"/>
      <c r="F257" s="205"/>
      <c r="G257" s="206"/>
      <c r="H257" s="206"/>
      <c r="I257" s="207"/>
      <c r="J257" s="208"/>
      <c r="K257" s="204"/>
      <c r="L257" s="209" t="str">
        <f t="shared" si="14"/>
        <v/>
      </c>
      <c r="M257" s="78"/>
      <c r="N257" s="34"/>
      <c r="O257" s="78"/>
      <c r="P257" s="78"/>
      <c r="Q257" s="78"/>
      <c r="R257" s="36">
        <f t="shared" si="15"/>
        <v>28348.636155563392</v>
      </c>
      <c r="S257" s="37" t="str">
        <f t="shared" si="16"/>
        <v/>
      </c>
      <c r="T257" s="37"/>
      <c r="X257" s="39" t="str">
        <f t="shared" si="17"/>
        <v/>
      </c>
      <c r="Y257" s="42" t="str">
        <f t="shared" si="18"/>
        <v/>
      </c>
    </row>
    <row r="258" spans="1:25" ht="14.5">
      <c r="A258" s="47"/>
      <c r="B258" s="48"/>
      <c r="C258" s="49"/>
      <c r="D258" s="54"/>
      <c r="E258" s="49"/>
      <c r="F258" s="50"/>
      <c r="G258" s="51"/>
      <c r="H258" s="51"/>
      <c r="I258" s="52"/>
      <c r="J258" s="53"/>
      <c r="K258" s="54"/>
      <c r="L258" s="55" t="str">
        <f t="shared" si="14"/>
        <v/>
      </c>
      <c r="M258" s="78"/>
      <c r="N258" s="34"/>
      <c r="O258" s="78"/>
      <c r="P258" s="78"/>
      <c r="Q258" s="78"/>
      <c r="R258" s="36">
        <f t="shared" si="15"/>
        <v>28348.636155563392</v>
      </c>
      <c r="S258" s="37" t="str">
        <f t="shared" si="16"/>
        <v/>
      </c>
      <c r="T258" s="37"/>
      <c r="X258" s="39" t="str">
        <f t="shared" si="17"/>
        <v/>
      </c>
      <c r="Y258" s="42" t="str">
        <f t="shared" si="18"/>
        <v/>
      </c>
    </row>
    <row r="259" spans="1:25" ht="14.5">
      <c r="A259" s="47"/>
      <c r="B259" s="48"/>
      <c r="C259" s="49"/>
      <c r="D259" s="54"/>
      <c r="E259" s="49"/>
      <c r="F259" s="50"/>
      <c r="G259" s="51"/>
      <c r="H259" s="51"/>
      <c r="I259" s="52"/>
      <c r="J259" s="53"/>
      <c r="K259" s="54"/>
      <c r="L259" s="55" t="str">
        <f t="shared" ref="L259:L300" si="19">IF(B259="Compra",(F259*G259)+10+(F259*G259*0.000325),"")</f>
        <v/>
      </c>
      <c r="M259" s="78"/>
      <c r="N259" s="34"/>
      <c r="O259" s="78"/>
      <c r="P259" s="78"/>
      <c r="Q259" s="78"/>
      <c r="R259" s="36">
        <f t="shared" si="15"/>
        <v>28348.636155563392</v>
      </c>
      <c r="S259" s="37" t="str">
        <f t="shared" si="16"/>
        <v/>
      </c>
      <c r="T259" s="37"/>
      <c r="X259" s="39" t="str">
        <f t="shared" si="17"/>
        <v/>
      </c>
      <c r="Y259" s="42" t="str">
        <f t="shared" si="18"/>
        <v/>
      </c>
    </row>
    <row r="260" spans="1:25" ht="14.5">
      <c r="A260" s="201"/>
      <c r="B260" s="283"/>
      <c r="C260" s="203"/>
      <c r="D260" s="205"/>
      <c r="E260" s="203"/>
      <c r="F260" s="205"/>
      <c r="G260" s="206"/>
      <c r="H260" s="206"/>
      <c r="I260" s="207"/>
      <c r="J260" s="208"/>
      <c r="K260" s="204"/>
      <c r="L260" s="209" t="str">
        <f t="shared" si="19"/>
        <v/>
      </c>
      <c r="M260" s="78"/>
      <c r="N260" s="34"/>
      <c r="O260" s="78"/>
      <c r="P260" s="78"/>
      <c r="Q260" s="78"/>
      <c r="R260" s="36">
        <f t="shared" si="15"/>
        <v>28348.636155563392</v>
      </c>
      <c r="S260" s="37" t="str">
        <f t="shared" si="16"/>
        <v/>
      </c>
      <c r="T260" s="37"/>
      <c r="X260" s="39" t="str">
        <f t="shared" si="17"/>
        <v/>
      </c>
      <c r="Y260" s="42" t="str">
        <f t="shared" si="18"/>
        <v/>
      </c>
    </row>
    <row r="261" spans="1:25" ht="14.5">
      <c r="A261" s="201"/>
      <c r="B261" s="283"/>
      <c r="C261" s="203"/>
      <c r="D261" s="205"/>
      <c r="E261" s="203"/>
      <c r="F261" s="205"/>
      <c r="G261" s="206"/>
      <c r="H261" s="206"/>
      <c r="I261" s="207"/>
      <c r="J261" s="208"/>
      <c r="K261" s="204"/>
      <c r="L261" s="209" t="str">
        <f t="shared" si="19"/>
        <v/>
      </c>
      <c r="M261" s="78"/>
      <c r="N261" s="34"/>
      <c r="O261" s="78"/>
      <c r="P261" s="78"/>
      <c r="Q261" s="78"/>
      <c r="R261" s="36">
        <f t="shared" si="15"/>
        <v>28348.636155563392</v>
      </c>
      <c r="S261" s="37" t="str">
        <f t="shared" si="16"/>
        <v/>
      </c>
      <c r="T261" s="37"/>
      <c r="X261" s="39" t="str">
        <f t="shared" si="17"/>
        <v/>
      </c>
      <c r="Y261" s="42" t="str">
        <f t="shared" si="18"/>
        <v/>
      </c>
    </row>
    <row r="262" spans="1:25" ht="14.5">
      <c r="A262" s="47"/>
      <c r="B262" s="48"/>
      <c r="C262" s="49"/>
      <c r="D262" s="54"/>
      <c r="E262" s="49"/>
      <c r="F262" s="50"/>
      <c r="G262" s="51"/>
      <c r="H262" s="51"/>
      <c r="I262" s="52"/>
      <c r="J262" s="53"/>
      <c r="K262" s="54"/>
      <c r="L262" s="55" t="str">
        <f t="shared" si="19"/>
        <v/>
      </c>
      <c r="M262" s="78"/>
      <c r="N262" s="34"/>
      <c r="O262" s="78"/>
      <c r="P262" s="78"/>
      <c r="Q262" s="78"/>
      <c r="R262" s="36">
        <f t="shared" si="15"/>
        <v>28348.636155563392</v>
      </c>
      <c r="S262" s="37" t="str">
        <f t="shared" si="16"/>
        <v/>
      </c>
      <c r="T262" s="37"/>
      <c r="X262" s="39" t="str">
        <f t="shared" si="17"/>
        <v/>
      </c>
      <c r="Y262" s="42" t="str">
        <f t="shared" si="18"/>
        <v/>
      </c>
    </row>
    <row r="263" spans="1:25" ht="14.5">
      <c r="A263" s="47"/>
      <c r="B263" s="48"/>
      <c r="C263" s="49"/>
      <c r="D263" s="54"/>
      <c r="E263" s="49"/>
      <c r="F263" s="50"/>
      <c r="G263" s="51"/>
      <c r="H263" s="51"/>
      <c r="I263" s="52"/>
      <c r="J263" s="53"/>
      <c r="K263" s="54"/>
      <c r="L263" s="55" t="str">
        <f t="shared" si="19"/>
        <v/>
      </c>
      <c r="M263" s="78"/>
      <c r="N263" s="34"/>
      <c r="O263" s="78"/>
      <c r="P263" s="78"/>
      <c r="Q263" s="78"/>
      <c r="R263" s="36">
        <f t="shared" si="15"/>
        <v>28348.636155563392</v>
      </c>
      <c r="S263" s="37" t="str">
        <f t="shared" si="16"/>
        <v/>
      </c>
      <c r="T263" s="37"/>
      <c r="X263" s="39" t="str">
        <f t="shared" si="17"/>
        <v/>
      </c>
      <c r="Y263" s="42" t="str">
        <f t="shared" si="18"/>
        <v/>
      </c>
    </row>
    <row r="264" spans="1:25" ht="14.5">
      <c r="A264" s="201"/>
      <c r="B264" s="283"/>
      <c r="C264" s="203"/>
      <c r="D264" s="205"/>
      <c r="E264" s="203"/>
      <c r="F264" s="205"/>
      <c r="G264" s="206"/>
      <c r="H264" s="206"/>
      <c r="I264" s="207"/>
      <c r="J264" s="208"/>
      <c r="K264" s="204"/>
      <c r="L264" s="209" t="str">
        <f t="shared" si="19"/>
        <v/>
      </c>
      <c r="M264" s="78"/>
      <c r="N264" s="34"/>
      <c r="O264" s="78"/>
      <c r="P264" s="78"/>
      <c r="Q264" s="78"/>
      <c r="R264" s="36">
        <f t="shared" si="15"/>
        <v>28348.636155563392</v>
      </c>
      <c r="S264" s="37" t="str">
        <f t="shared" si="16"/>
        <v/>
      </c>
      <c r="T264" s="37"/>
      <c r="X264" s="39" t="str">
        <f t="shared" si="17"/>
        <v/>
      </c>
      <c r="Y264" s="42" t="str">
        <f t="shared" si="18"/>
        <v/>
      </c>
    </row>
    <row r="265" spans="1:25" ht="14.5">
      <c r="A265" s="201"/>
      <c r="B265" s="283"/>
      <c r="C265" s="203"/>
      <c r="D265" s="205"/>
      <c r="E265" s="203"/>
      <c r="F265" s="205"/>
      <c r="G265" s="206"/>
      <c r="H265" s="206"/>
      <c r="I265" s="207"/>
      <c r="J265" s="208"/>
      <c r="K265" s="204"/>
      <c r="L265" s="209" t="str">
        <f t="shared" si="19"/>
        <v/>
      </c>
      <c r="M265" s="78"/>
      <c r="N265" s="34"/>
      <c r="O265" s="78"/>
      <c r="P265" s="78"/>
      <c r="Q265" s="78"/>
      <c r="R265" s="36">
        <f t="shared" si="15"/>
        <v>28348.636155563392</v>
      </c>
      <c r="S265" s="37" t="str">
        <f t="shared" si="16"/>
        <v/>
      </c>
      <c r="T265" s="37"/>
      <c r="X265" s="39" t="str">
        <f t="shared" si="17"/>
        <v/>
      </c>
      <c r="Y265" s="42" t="str">
        <f t="shared" si="18"/>
        <v/>
      </c>
    </row>
    <row r="266" spans="1:25" ht="14.5">
      <c r="A266" s="47"/>
      <c r="B266" s="48"/>
      <c r="C266" s="49"/>
      <c r="D266" s="54"/>
      <c r="E266" s="49"/>
      <c r="F266" s="50"/>
      <c r="G266" s="51"/>
      <c r="H266" s="51"/>
      <c r="I266" s="52"/>
      <c r="J266" s="53"/>
      <c r="K266" s="54"/>
      <c r="L266" s="55" t="str">
        <f t="shared" si="19"/>
        <v/>
      </c>
      <c r="M266" s="78"/>
      <c r="N266" s="34"/>
      <c r="O266" s="78"/>
      <c r="P266" s="78"/>
      <c r="Q266" s="78"/>
      <c r="R266" s="36">
        <f t="shared" si="15"/>
        <v>28348.636155563392</v>
      </c>
      <c r="S266" s="37" t="str">
        <f t="shared" si="16"/>
        <v/>
      </c>
      <c r="T266" s="37"/>
      <c r="X266" s="39" t="str">
        <f t="shared" si="17"/>
        <v/>
      </c>
      <c r="Y266" s="42" t="str">
        <f t="shared" si="18"/>
        <v/>
      </c>
    </row>
    <row r="267" spans="1:25" ht="14.5">
      <c r="A267" s="47"/>
      <c r="B267" s="48"/>
      <c r="C267" s="49"/>
      <c r="D267" s="54"/>
      <c r="E267" s="49"/>
      <c r="F267" s="50"/>
      <c r="G267" s="51"/>
      <c r="H267" s="51"/>
      <c r="I267" s="52"/>
      <c r="J267" s="53"/>
      <c r="K267" s="54"/>
      <c r="L267" s="55" t="str">
        <f t="shared" si="19"/>
        <v/>
      </c>
      <c r="M267" s="78"/>
      <c r="N267" s="34"/>
      <c r="O267" s="78"/>
      <c r="P267" s="78"/>
      <c r="Q267" s="78"/>
      <c r="R267" s="36">
        <f t="shared" si="15"/>
        <v>28348.636155563392</v>
      </c>
      <c r="S267" s="37" t="str">
        <f t="shared" si="16"/>
        <v/>
      </c>
      <c r="T267" s="37"/>
      <c r="X267" s="39" t="str">
        <f t="shared" si="17"/>
        <v/>
      </c>
      <c r="Y267" s="42" t="str">
        <f t="shared" si="18"/>
        <v/>
      </c>
    </row>
    <row r="268" spans="1:25" ht="14.5">
      <c r="A268" s="201"/>
      <c r="B268" s="283"/>
      <c r="C268" s="203"/>
      <c r="D268" s="205"/>
      <c r="E268" s="203"/>
      <c r="F268" s="205"/>
      <c r="G268" s="206"/>
      <c r="H268" s="206"/>
      <c r="I268" s="207"/>
      <c r="J268" s="208"/>
      <c r="K268" s="204"/>
      <c r="L268" s="209" t="str">
        <f t="shared" si="19"/>
        <v/>
      </c>
      <c r="M268" s="78"/>
      <c r="N268" s="34"/>
      <c r="O268" s="78"/>
      <c r="P268" s="78"/>
      <c r="Q268" s="78"/>
      <c r="R268" s="36">
        <f t="shared" si="15"/>
        <v>28348.636155563392</v>
      </c>
      <c r="S268" s="37" t="str">
        <f t="shared" si="16"/>
        <v/>
      </c>
      <c r="T268" s="37"/>
      <c r="X268" s="39" t="str">
        <f t="shared" si="17"/>
        <v/>
      </c>
      <c r="Y268" s="42" t="str">
        <f t="shared" si="18"/>
        <v/>
      </c>
    </row>
    <row r="269" spans="1:25" ht="14.5">
      <c r="A269" s="201"/>
      <c r="B269" s="283"/>
      <c r="C269" s="203"/>
      <c r="D269" s="205"/>
      <c r="E269" s="203"/>
      <c r="F269" s="205"/>
      <c r="G269" s="206"/>
      <c r="H269" s="206"/>
      <c r="I269" s="207"/>
      <c r="J269" s="208"/>
      <c r="K269" s="204"/>
      <c r="L269" s="209" t="str">
        <f t="shared" si="19"/>
        <v/>
      </c>
      <c r="M269" s="78"/>
      <c r="N269" s="34"/>
      <c r="O269" s="78"/>
      <c r="P269" s="78"/>
      <c r="Q269" s="78"/>
      <c r="R269" s="36">
        <f t="shared" si="15"/>
        <v>28348.636155563392</v>
      </c>
      <c r="S269" s="37" t="str">
        <f t="shared" si="16"/>
        <v/>
      </c>
      <c r="T269" s="37"/>
      <c r="X269" s="39" t="str">
        <f t="shared" si="17"/>
        <v/>
      </c>
      <c r="Y269" s="42" t="str">
        <f t="shared" si="18"/>
        <v/>
      </c>
    </row>
    <row r="270" spans="1:25" ht="14.5">
      <c r="A270" s="284"/>
      <c r="B270" s="285"/>
      <c r="C270" s="286"/>
      <c r="D270" s="287"/>
      <c r="E270" s="286"/>
      <c r="F270" s="288"/>
      <c r="G270" s="289"/>
      <c r="H270" s="289"/>
      <c r="I270" s="290"/>
      <c r="J270" s="291"/>
      <c r="K270" s="287"/>
      <c r="L270" s="292" t="str">
        <f t="shared" si="19"/>
        <v/>
      </c>
      <c r="M270" s="383"/>
      <c r="N270" s="68"/>
      <c r="O270" s="78"/>
      <c r="P270" s="78"/>
      <c r="Q270" s="78"/>
      <c r="R270" s="36">
        <f t="shared" si="15"/>
        <v>28348.636155563392</v>
      </c>
      <c r="S270" s="37" t="str">
        <f t="shared" si="16"/>
        <v/>
      </c>
      <c r="T270" s="37"/>
      <c r="X270" s="39" t="str">
        <f t="shared" si="17"/>
        <v/>
      </c>
      <c r="Y270" s="42" t="str">
        <f t="shared" si="18"/>
        <v/>
      </c>
    </row>
    <row r="271" spans="1:25" ht="14.5">
      <c r="A271" s="293"/>
      <c r="B271" s="294"/>
      <c r="C271" s="295"/>
      <c r="D271" s="296"/>
      <c r="E271" s="295"/>
      <c r="F271" s="297"/>
      <c r="G271" s="298"/>
      <c r="H271" s="298"/>
      <c r="I271" s="299"/>
      <c r="J271" s="300"/>
      <c r="K271" s="296"/>
      <c r="L271" s="576" t="str">
        <f t="shared" si="19"/>
        <v/>
      </c>
      <c r="M271" s="33" t="s">
        <v>42</v>
      </c>
      <c r="N271" s="34"/>
      <c r="O271" s="78"/>
      <c r="P271" s="78"/>
      <c r="Q271" s="78"/>
      <c r="R271" s="36">
        <f t="shared" si="15"/>
        <v>28348.636155563392</v>
      </c>
      <c r="S271" s="37" t="str">
        <f t="shared" si="16"/>
        <v/>
      </c>
      <c r="T271" s="37"/>
      <c r="X271" s="39" t="str">
        <f t="shared" si="17"/>
        <v/>
      </c>
      <c r="Y271" s="42" t="str">
        <f t="shared" si="18"/>
        <v/>
      </c>
    </row>
    <row r="272" spans="1:25" ht="14.5">
      <c r="A272" s="211"/>
      <c r="B272" s="321"/>
      <c r="C272" s="213"/>
      <c r="D272" s="215"/>
      <c r="E272" s="213"/>
      <c r="F272" s="215"/>
      <c r="G272" s="216"/>
      <c r="H272" s="216"/>
      <c r="I272" s="217"/>
      <c r="J272" s="218"/>
      <c r="K272" s="214"/>
      <c r="L272" s="322" t="str">
        <f t="shared" si="19"/>
        <v/>
      </c>
      <c r="M272" s="45" t="s">
        <v>21</v>
      </c>
      <c r="N272" s="34"/>
      <c r="O272" s="78"/>
      <c r="P272" s="78"/>
      <c r="Q272" s="78"/>
      <c r="R272" s="36">
        <f t="shared" si="15"/>
        <v>28348.636155563392</v>
      </c>
      <c r="S272" s="37" t="str">
        <f t="shared" si="16"/>
        <v/>
      </c>
      <c r="T272" s="37"/>
      <c r="X272" s="39" t="str">
        <f t="shared" si="17"/>
        <v/>
      </c>
      <c r="Y272" s="42" t="str">
        <f t="shared" si="18"/>
        <v/>
      </c>
    </row>
    <row r="273" spans="1:25" ht="14.5">
      <c r="A273" s="211"/>
      <c r="B273" s="321"/>
      <c r="C273" s="213"/>
      <c r="D273" s="215"/>
      <c r="E273" s="213"/>
      <c r="F273" s="215"/>
      <c r="G273" s="216"/>
      <c r="H273" s="216"/>
      <c r="I273" s="217"/>
      <c r="J273" s="218"/>
      <c r="K273" s="214"/>
      <c r="L273" s="322" t="str">
        <f t="shared" si="19"/>
        <v/>
      </c>
      <c r="M273" s="56">
        <f>IFERROR(AVERAGE(L271:L305),0)</f>
        <v>0</v>
      </c>
      <c r="N273" s="34"/>
      <c r="O273" s="78"/>
      <c r="P273" s="78"/>
      <c r="Q273" s="78"/>
      <c r="R273" s="36">
        <f t="shared" si="15"/>
        <v>28348.636155563392</v>
      </c>
      <c r="S273" s="37" t="str">
        <f t="shared" si="16"/>
        <v/>
      </c>
      <c r="T273" s="37"/>
      <c r="X273" s="39" t="str">
        <f t="shared" si="17"/>
        <v/>
      </c>
      <c r="Y273" s="42" t="str">
        <f t="shared" si="18"/>
        <v/>
      </c>
    </row>
    <row r="274" spans="1:25" ht="14.5">
      <c r="A274" s="165"/>
      <c r="B274" s="246"/>
      <c r="C274" s="167"/>
      <c r="D274" s="169"/>
      <c r="E274" s="167"/>
      <c r="F274" s="169"/>
      <c r="G274" s="170"/>
      <c r="H274" s="170"/>
      <c r="I274" s="171"/>
      <c r="J274" s="172"/>
      <c r="K274" s="168"/>
      <c r="L274" s="273" t="str">
        <f t="shared" si="19"/>
        <v/>
      </c>
      <c r="M274" s="45" t="s">
        <v>24</v>
      </c>
      <c r="N274" s="34"/>
      <c r="O274" s="78"/>
      <c r="P274" s="78"/>
      <c r="Q274" s="78"/>
      <c r="R274" s="36">
        <f t="shared" si="15"/>
        <v>28348.636155563392</v>
      </c>
      <c r="S274" s="37" t="str">
        <f t="shared" si="16"/>
        <v/>
      </c>
      <c r="T274" s="37"/>
      <c r="X274" s="39" t="str">
        <f t="shared" si="17"/>
        <v/>
      </c>
      <c r="Y274" s="42" t="str">
        <f t="shared" si="18"/>
        <v/>
      </c>
    </row>
    <row r="275" spans="1:25" ht="14.5">
      <c r="A275" s="165"/>
      <c r="B275" s="246"/>
      <c r="C275" s="167"/>
      <c r="D275" s="169"/>
      <c r="E275" s="167"/>
      <c r="F275" s="169"/>
      <c r="G275" s="170"/>
      <c r="H275" s="170"/>
      <c r="I275" s="171"/>
      <c r="J275" s="172"/>
      <c r="K275" s="168"/>
      <c r="L275" s="273" t="str">
        <f t="shared" si="19"/>
        <v/>
      </c>
      <c r="M275" s="56">
        <f>SUM(I271:I305)</f>
        <v>0</v>
      </c>
      <c r="N275" s="34"/>
      <c r="O275" s="78"/>
      <c r="P275" s="78"/>
      <c r="Q275" s="78"/>
      <c r="R275" s="36">
        <f t="shared" si="15"/>
        <v>28348.636155563392</v>
      </c>
      <c r="S275" s="37" t="str">
        <f t="shared" si="16"/>
        <v/>
      </c>
      <c r="T275" s="37"/>
      <c r="X275" s="39" t="str">
        <f t="shared" si="17"/>
        <v/>
      </c>
      <c r="Y275" s="42" t="str">
        <f t="shared" si="18"/>
        <v/>
      </c>
    </row>
    <row r="276" spans="1:25" ht="14.5">
      <c r="A276" s="211"/>
      <c r="B276" s="321"/>
      <c r="C276" s="213"/>
      <c r="D276" s="215"/>
      <c r="E276" s="213"/>
      <c r="F276" s="215"/>
      <c r="G276" s="216"/>
      <c r="H276" s="216"/>
      <c r="I276" s="217"/>
      <c r="J276" s="218"/>
      <c r="K276" s="214"/>
      <c r="L276" s="322" t="str">
        <f t="shared" si="19"/>
        <v/>
      </c>
      <c r="M276" s="45" t="s">
        <v>27</v>
      </c>
      <c r="N276" s="34"/>
      <c r="O276" s="78"/>
      <c r="P276" s="78"/>
      <c r="Q276" s="78"/>
      <c r="R276" s="36">
        <f t="shared" si="15"/>
        <v>28348.636155563392</v>
      </c>
      <c r="S276" s="37" t="str">
        <f t="shared" si="16"/>
        <v/>
      </c>
      <c r="T276" s="37"/>
      <c r="X276" s="39" t="str">
        <f t="shared" si="17"/>
        <v/>
      </c>
      <c r="Y276" s="42" t="str">
        <f t="shared" si="18"/>
        <v/>
      </c>
    </row>
    <row r="277" spans="1:25" ht="14.5">
      <c r="A277" s="211"/>
      <c r="B277" s="321"/>
      <c r="C277" s="213"/>
      <c r="D277" s="215"/>
      <c r="E277" s="213"/>
      <c r="F277" s="215"/>
      <c r="G277" s="216"/>
      <c r="H277" s="216"/>
      <c r="I277" s="217"/>
      <c r="J277" s="218"/>
      <c r="K277" s="214"/>
      <c r="L277" s="322" t="str">
        <f t="shared" si="19"/>
        <v/>
      </c>
      <c r="M277" s="66">
        <f>SUM(J271:J305)/100-(J289/100)</f>
        <v>0</v>
      </c>
      <c r="N277" s="34"/>
      <c r="O277" s="78"/>
      <c r="P277" s="78"/>
      <c r="Q277" s="78"/>
      <c r="R277" s="36">
        <f t="shared" si="15"/>
        <v>28348.636155563392</v>
      </c>
      <c r="S277" s="37" t="str">
        <f t="shared" si="16"/>
        <v/>
      </c>
      <c r="T277" s="37"/>
      <c r="X277" s="39" t="str">
        <f t="shared" si="17"/>
        <v/>
      </c>
      <c r="Y277" s="42" t="str">
        <f t="shared" si="18"/>
        <v/>
      </c>
    </row>
    <row r="278" spans="1:25" ht="14.5">
      <c r="A278" s="323"/>
      <c r="B278" s="324"/>
      <c r="C278" s="325"/>
      <c r="D278" s="326"/>
      <c r="E278" s="325"/>
      <c r="F278" s="326"/>
      <c r="G278" s="327"/>
      <c r="H278" s="327"/>
      <c r="I278" s="328"/>
      <c r="J278" s="329"/>
      <c r="K278" s="330"/>
      <c r="L278" s="331" t="str">
        <f t="shared" si="19"/>
        <v/>
      </c>
      <c r="M278" s="319"/>
      <c r="N278" s="68"/>
      <c r="O278" s="78"/>
      <c r="P278" s="78"/>
      <c r="Q278" s="78"/>
      <c r="R278" s="36">
        <f t="shared" si="15"/>
        <v>28348.636155563392</v>
      </c>
      <c r="S278" s="37" t="str">
        <f t="shared" si="16"/>
        <v/>
      </c>
      <c r="T278" s="37"/>
      <c r="X278" s="39" t="str">
        <f t="shared" si="17"/>
        <v/>
      </c>
      <c r="Y278" s="42" t="str">
        <f t="shared" si="18"/>
        <v/>
      </c>
    </row>
    <row r="279" spans="1:25" ht="14.5">
      <c r="A279" s="323"/>
      <c r="B279" s="324"/>
      <c r="C279" s="325"/>
      <c r="D279" s="326"/>
      <c r="E279" s="325"/>
      <c r="F279" s="326"/>
      <c r="G279" s="327"/>
      <c r="H279" s="327"/>
      <c r="I279" s="328"/>
      <c r="J279" s="329"/>
      <c r="K279" s="330"/>
      <c r="L279" s="331" t="str">
        <f t="shared" si="19"/>
        <v/>
      </c>
      <c r="M279" s="78"/>
      <c r="N279" s="34"/>
      <c r="O279" s="78"/>
      <c r="P279" s="78"/>
      <c r="Q279" s="78"/>
      <c r="R279" s="36">
        <f t="shared" si="15"/>
        <v>28348.636155563392</v>
      </c>
      <c r="S279" s="37" t="str">
        <f t="shared" si="16"/>
        <v/>
      </c>
      <c r="T279" s="37"/>
      <c r="X279" s="39" t="str">
        <f t="shared" si="17"/>
        <v/>
      </c>
      <c r="Y279" s="42" t="str">
        <f t="shared" si="18"/>
        <v/>
      </c>
    </row>
    <row r="280" spans="1:25" ht="14.5">
      <c r="A280" s="107"/>
      <c r="B280" s="108"/>
      <c r="C280" s="109"/>
      <c r="D280" s="110"/>
      <c r="E280" s="109"/>
      <c r="F280" s="111"/>
      <c r="G280" s="112"/>
      <c r="H280" s="112"/>
      <c r="I280" s="113"/>
      <c r="J280" s="114"/>
      <c r="K280" s="110"/>
      <c r="L280" s="115" t="str">
        <f t="shared" si="19"/>
        <v/>
      </c>
      <c r="M280" s="78"/>
      <c r="N280" s="34"/>
      <c r="O280" s="78"/>
      <c r="P280" s="78"/>
      <c r="Q280" s="78"/>
      <c r="R280" s="36">
        <f t="shared" si="15"/>
        <v>28348.636155563392</v>
      </c>
      <c r="S280" s="37" t="str">
        <f t="shared" si="16"/>
        <v/>
      </c>
      <c r="T280" s="37"/>
      <c r="X280" s="39" t="str">
        <f t="shared" si="17"/>
        <v/>
      </c>
      <c r="Y280" s="42" t="str">
        <f t="shared" si="18"/>
        <v/>
      </c>
    </row>
    <row r="281" spans="1:25" ht="14.5">
      <c r="A281" s="107"/>
      <c r="B281" s="108"/>
      <c r="C281" s="109"/>
      <c r="D281" s="110"/>
      <c r="E281" s="109"/>
      <c r="F281" s="111"/>
      <c r="G281" s="112"/>
      <c r="H281" s="112"/>
      <c r="I281" s="113"/>
      <c r="J281" s="114"/>
      <c r="K281" s="110"/>
      <c r="L281" s="115" t="str">
        <f t="shared" si="19"/>
        <v/>
      </c>
      <c r="M281" s="78"/>
      <c r="N281" s="34"/>
      <c r="O281" s="78"/>
      <c r="P281" s="78"/>
      <c r="Q281" s="78"/>
      <c r="R281" s="36">
        <f t="shared" si="15"/>
        <v>28348.636155563392</v>
      </c>
      <c r="S281" s="37" t="str">
        <f t="shared" si="16"/>
        <v/>
      </c>
      <c r="T281" s="37"/>
      <c r="X281" s="39" t="str">
        <f t="shared" si="17"/>
        <v/>
      </c>
      <c r="Y281" s="42" t="str">
        <f t="shared" si="18"/>
        <v/>
      </c>
    </row>
    <row r="282" spans="1:25" ht="14.5">
      <c r="A282" s="323"/>
      <c r="B282" s="324"/>
      <c r="C282" s="325"/>
      <c r="D282" s="326"/>
      <c r="E282" s="325"/>
      <c r="F282" s="326"/>
      <c r="G282" s="327"/>
      <c r="H282" s="327"/>
      <c r="I282" s="328"/>
      <c r="J282" s="329"/>
      <c r="K282" s="330"/>
      <c r="L282" s="331" t="str">
        <f t="shared" si="19"/>
        <v/>
      </c>
      <c r="M282" s="78"/>
      <c r="N282" s="34"/>
      <c r="O282" s="78"/>
      <c r="P282" s="78"/>
      <c r="Q282" s="78"/>
      <c r="R282" s="36">
        <f t="shared" si="15"/>
        <v>28348.636155563392</v>
      </c>
      <c r="S282" s="37" t="str">
        <f t="shared" si="16"/>
        <v/>
      </c>
      <c r="T282" s="37"/>
      <c r="X282" s="39" t="str">
        <f t="shared" si="17"/>
        <v/>
      </c>
      <c r="Y282" s="42" t="str">
        <f t="shared" si="18"/>
        <v/>
      </c>
    </row>
    <row r="283" spans="1:25" ht="14.5">
      <c r="A283" s="323"/>
      <c r="B283" s="324"/>
      <c r="C283" s="325"/>
      <c r="D283" s="326"/>
      <c r="E283" s="325"/>
      <c r="F283" s="326"/>
      <c r="G283" s="327"/>
      <c r="H283" s="327"/>
      <c r="I283" s="328"/>
      <c r="J283" s="329"/>
      <c r="K283" s="330"/>
      <c r="L283" s="331" t="str">
        <f t="shared" si="19"/>
        <v/>
      </c>
      <c r="M283" s="78"/>
      <c r="N283" s="34"/>
      <c r="O283" s="78"/>
      <c r="P283" s="78"/>
      <c r="Q283" s="78"/>
      <c r="R283" s="36">
        <f t="shared" si="15"/>
        <v>28348.636155563392</v>
      </c>
      <c r="S283" s="37" t="str">
        <f t="shared" si="16"/>
        <v/>
      </c>
      <c r="T283" s="37"/>
      <c r="X283" s="39" t="str">
        <f t="shared" si="17"/>
        <v/>
      </c>
      <c r="Y283" s="42" t="str">
        <f t="shared" si="18"/>
        <v/>
      </c>
    </row>
    <row r="284" spans="1:25" ht="14.5">
      <c r="A284" s="107"/>
      <c r="B284" s="108"/>
      <c r="C284" s="109"/>
      <c r="D284" s="110"/>
      <c r="E284" s="109"/>
      <c r="F284" s="111"/>
      <c r="G284" s="112"/>
      <c r="H284" s="112"/>
      <c r="I284" s="113"/>
      <c r="J284" s="114"/>
      <c r="K284" s="110"/>
      <c r="L284" s="115" t="str">
        <f t="shared" si="19"/>
        <v/>
      </c>
      <c r="M284" s="78"/>
      <c r="N284" s="34"/>
      <c r="O284" s="78"/>
      <c r="P284" s="78"/>
      <c r="Q284" s="78"/>
      <c r="R284" s="36">
        <f t="shared" si="15"/>
        <v>28348.636155563392</v>
      </c>
      <c r="S284" s="37" t="str">
        <f t="shared" si="16"/>
        <v/>
      </c>
      <c r="T284" s="37"/>
      <c r="X284" s="39" t="str">
        <f t="shared" si="17"/>
        <v/>
      </c>
      <c r="Y284" s="42" t="str">
        <f t="shared" si="18"/>
        <v/>
      </c>
    </row>
    <row r="285" spans="1:25" ht="14.5">
      <c r="A285" s="107"/>
      <c r="B285" s="108"/>
      <c r="C285" s="109"/>
      <c r="D285" s="110"/>
      <c r="E285" s="109"/>
      <c r="F285" s="111"/>
      <c r="G285" s="112"/>
      <c r="H285" s="112"/>
      <c r="I285" s="113"/>
      <c r="J285" s="114"/>
      <c r="K285" s="110"/>
      <c r="L285" s="115" t="str">
        <f t="shared" si="19"/>
        <v/>
      </c>
      <c r="M285" s="78"/>
      <c r="N285" s="34"/>
      <c r="O285" s="78"/>
      <c r="P285" s="78"/>
      <c r="Q285" s="78"/>
      <c r="R285" s="36">
        <f t="shared" si="15"/>
        <v>28348.636155563392</v>
      </c>
      <c r="S285" s="37" t="str">
        <f t="shared" si="16"/>
        <v/>
      </c>
      <c r="T285" s="37"/>
      <c r="X285" s="39" t="str">
        <f t="shared" si="17"/>
        <v/>
      </c>
      <c r="Y285" s="42" t="str">
        <f t="shared" si="18"/>
        <v/>
      </c>
    </row>
    <row r="286" spans="1:25" ht="14.5">
      <c r="A286" s="323"/>
      <c r="B286" s="324"/>
      <c r="C286" s="325"/>
      <c r="D286" s="326"/>
      <c r="E286" s="325"/>
      <c r="F286" s="326"/>
      <c r="G286" s="327"/>
      <c r="H286" s="327"/>
      <c r="I286" s="328"/>
      <c r="J286" s="329"/>
      <c r="K286" s="330"/>
      <c r="L286" s="331" t="str">
        <f t="shared" si="19"/>
        <v/>
      </c>
      <c r="M286" s="78"/>
      <c r="N286" s="68"/>
      <c r="O286" s="78"/>
      <c r="P286" s="78"/>
      <c r="Q286" s="78"/>
      <c r="R286" s="36">
        <f t="shared" si="15"/>
        <v>28348.636155563392</v>
      </c>
      <c r="S286" s="37" t="str">
        <f t="shared" si="16"/>
        <v/>
      </c>
      <c r="T286" s="37"/>
      <c r="X286" s="39" t="str">
        <f t="shared" si="17"/>
        <v/>
      </c>
      <c r="Y286" s="42" t="str">
        <f t="shared" si="18"/>
        <v/>
      </c>
    </row>
    <row r="287" spans="1:25" ht="14.5">
      <c r="A287" s="323"/>
      <c r="B287" s="324"/>
      <c r="C287" s="325"/>
      <c r="D287" s="326"/>
      <c r="E287" s="325"/>
      <c r="F287" s="326"/>
      <c r="G287" s="327"/>
      <c r="H287" s="327"/>
      <c r="I287" s="328"/>
      <c r="J287" s="329"/>
      <c r="K287" s="330"/>
      <c r="L287" s="331" t="str">
        <f t="shared" si="19"/>
        <v/>
      </c>
      <c r="M287" s="78"/>
      <c r="N287" s="34"/>
      <c r="O287" s="78"/>
      <c r="P287" s="78"/>
      <c r="Q287" s="78"/>
      <c r="R287" s="36">
        <f t="shared" si="15"/>
        <v>28348.636155563392</v>
      </c>
      <c r="S287" s="37" t="str">
        <f t="shared" si="16"/>
        <v/>
      </c>
      <c r="T287" s="37"/>
      <c r="X287" s="39" t="str">
        <f t="shared" si="17"/>
        <v/>
      </c>
      <c r="Y287" s="42" t="str">
        <f t="shared" si="18"/>
        <v/>
      </c>
    </row>
    <row r="288" spans="1:25" ht="14.5">
      <c r="A288" s="107"/>
      <c r="B288" s="108"/>
      <c r="C288" s="109"/>
      <c r="D288" s="110"/>
      <c r="E288" s="109"/>
      <c r="F288" s="111"/>
      <c r="G288" s="112"/>
      <c r="H288" s="112"/>
      <c r="I288" s="113"/>
      <c r="J288" s="114"/>
      <c r="K288" s="110"/>
      <c r="L288" s="115" t="str">
        <f t="shared" si="19"/>
        <v/>
      </c>
      <c r="M288" s="78"/>
      <c r="N288" s="34"/>
      <c r="O288" s="78"/>
      <c r="P288" s="78"/>
      <c r="Q288" s="78"/>
      <c r="R288" s="36">
        <f t="shared" si="15"/>
        <v>28348.636155563392</v>
      </c>
      <c r="S288" s="37" t="str">
        <f t="shared" si="16"/>
        <v/>
      </c>
      <c r="T288" s="37"/>
      <c r="X288" s="39" t="str">
        <f t="shared" si="17"/>
        <v/>
      </c>
      <c r="Y288" s="42" t="str">
        <f t="shared" si="18"/>
        <v/>
      </c>
    </row>
    <row r="289" spans="1:25" ht="14.5">
      <c r="A289" s="107"/>
      <c r="B289" s="108"/>
      <c r="C289" s="109"/>
      <c r="D289" s="110"/>
      <c r="E289" s="109"/>
      <c r="F289" s="111"/>
      <c r="G289" s="112"/>
      <c r="H289" s="112"/>
      <c r="I289" s="113"/>
      <c r="J289" s="114"/>
      <c r="K289" s="110"/>
      <c r="L289" s="115" t="str">
        <f t="shared" si="19"/>
        <v/>
      </c>
      <c r="M289" s="78"/>
      <c r="N289" s="34"/>
      <c r="O289" s="78"/>
      <c r="P289" s="78"/>
      <c r="Q289" s="78"/>
      <c r="R289" s="36">
        <f>R288</f>
        <v>28348.636155563392</v>
      </c>
      <c r="S289" s="37" t="str">
        <f t="shared" si="16"/>
        <v/>
      </c>
      <c r="T289" s="37"/>
      <c r="X289" s="39" t="str">
        <f t="shared" si="17"/>
        <v/>
      </c>
      <c r="Y289" s="42" t="str">
        <f t="shared" si="18"/>
        <v/>
      </c>
    </row>
    <row r="290" spans="1:25" ht="14.5">
      <c r="A290" s="107"/>
      <c r="B290" s="108"/>
      <c r="C290" s="109"/>
      <c r="D290" s="110"/>
      <c r="E290" s="109"/>
      <c r="F290" s="111"/>
      <c r="G290" s="112"/>
      <c r="H290" s="112"/>
      <c r="I290" s="113"/>
      <c r="J290" s="114"/>
      <c r="K290" s="110"/>
      <c r="L290" s="115" t="str">
        <f t="shared" si="19"/>
        <v/>
      </c>
      <c r="M290" s="78"/>
      <c r="N290" s="34"/>
      <c r="O290" s="78"/>
      <c r="P290" s="78"/>
      <c r="Q290" s="78"/>
      <c r="R290" s="36">
        <f t="shared" ref="R290:R353" si="20">R289*((J290/100)+1)</f>
        <v>28348.636155563392</v>
      </c>
      <c r="S290" s="37" t="str">
        <f t="shared" si="16"/>
        <v/>
      </c>
      <c r="T290" s="37"/>
      <c r="X290" s="39" t="str">
        <f t="shared" si="17"/>
        <v/>
      </c>
      <c r="Y290" s="42" t="str">
        <f t="shared" si="18"/>
        <v/>
      </c>
    </row>
    <row r="291" spans="1:25" ht="14.5">
      <c r="A291" s="211"/>
      <c r="B291" s="321"/>
      <c r="C291" s="213"/>
      <c r="D291" s="215"/>
      <c r="E291" s="213"/>
      <c r="F291" s="215"/>
      <c r="G291" s="216"/>
      <c r="H291" s="216"/>
      <c r="I291" s="217"/>
      <c r="J291" s="218"/>
      <c r="K291" s="214"/>
      <c r="L291" s="322" t="str">
        <f t="shared" si="19"/>
        <v/>
      </c>
      <c r="M291" s="78"/>
      <c r="N291" s="34"/>
      <c r="O291" s="78"/>
      <c r="P291" s="78"/>
      <c r="Q291" s="78"/>
      <c r="R291" s="36">
        <f t="shared" si="20"/>
        <v>28348.636155563392</v>
      </c>
      <c r="S291" s="37" t="str">
        <f t="shared" si="16"/>
        <v/>
      </c>
      <c r="T291" s="37"/>
      <c r="X291" s="39" t="str">
        <f t="shared" si="17"/>
        <v/>
      </c>
      <c r="Y291" s="42" t="str">
        <f t="shared" si="18"/>
        <v/>
      </c>
    </row>
    <row r="292" spans="1:25" ht="14.5">
      <c r="A292" s="211"/>
      <c r="B292" s="321"/>
      <c r="C292" s="213"/>
      <c r="D292" s="215"/>
      <c r="E292" s="213"/>
      <c r="F292" s="215"/>
      <c r="G292" s="216"/>
      <c r="H292" s="216"/>
      <c r="I292" s="217"/>
      <c r="J292" s="218"/>
      <c r="K292" s="214"/>
      <c r="L292" s="322" t="str">
        <f t="shared" si="19"/>
        <v/>
      </c>
      <c r="M292" s="78"/>
      <c r="N292" s="34"/>
      <c r="O292" s="78"/>
      <c r="P292" s="78"/>
      <c r="Q292" s="78"/>
      <c r="R292" s="36">
        <f t="shared" si="20"/>
        <v>28348.636155563392</v>
      </c>
      <c r="S292" s="37" t="str">
        <f t="shared" si="16"/>
        <v/>
      </c>
      <c r="T292" s="37"/>
      <c r="X292" s="39" t="str">
        <f t="shared" si="17"/>
        <v/>
      </c>
      <c r="Y292" s="42" t="str">
        <f t="shared" si="18"/>
        <v/>
      </c>
    </row>
    <row r="293" spans="1:25" ht="14.5">
      <c r="A293" s="323"/>
      <c r="B293" s="324"/>
      <c r="C293" s="325"/>
      <c r="D293" s="326"/>
      <c r="E293" s="325"/>
      <c r="F293" s="326"/>
      <c r="G293" s="327"/>
      <c r="H293" s="327"/>
      <c r="I293" s="328"/>
      <c r="J293" s="329"/>
      <c r="K293" s="330"/>
      <c r="L293" s="331" t="str">
        <f t="shared" si="19"/>
        <v/>
      </c>
      <c r="M293" s="78"/>
      <c r="N293" s="34"/>
      <c r="O293" s="78"/>
      <c r="P293" s="78"/>
      <c r="Q293" s="78"/>
      <c r="R293" s="36">
        <f t="shared" si="20"/>
        <v>28348.636155563392</v>
      </c>
      <c r="S293" s="37" t="str">
        <f t="shared" si="16"/>
        <v/>
      </c>
      <c r="T293" s="37"/>
      <c r="X293" s="39" t="str">
        <f t="shared" si="17"/>
        <v/>
      </c>
      <c r="Y293" s="42" t="str">
        <f t="shared" si="18"/>
        <v/>
      </c>
    </row>
    <row r="294" spans="1:25" ht="14.5">
      <c r="A294" s="323"/>
      <c r="B294" s="324"/>
      <c r="C294" s="325"/>
      <c r="D294" s="326"/>
      <c r="E294" s="325"/>
      <c r="F294" s="326"/>
      <c r="G294" s="327"/>
      <c r="H294" s="327"/>
      <c r="I294" s="328"/>
      <c r="J294" s="329"/>
      <c r="K294" s="330"/>
      <c r="L294" s="331" t="str">
        <f t="shared" si="19"/>
        <v/>
      </c>
      <c r="M294" s="78"/>
      <c r="N294" s="68"/>
      <c r="O294" s="78"/>
      <c r="P294" s="78"/>
      <c r="Q294" s="78"/>
      <c r="R294" s="36">
        <f t="shared" si="20"/>
        <v>28348.636155563392</v>
      </c>
      <c r="S294" s="37" t="str">
        <f t="shared" si="16"/>
        <v/>
      </c>
      <c r="T294" s="37"/>
      <c r="X294" s="39" t="str">
        <f t="shared" si="17"/>
        <v/>
      </c>
      <c r="Y294" s="42" t="str">
        <f t="shared" si="18"/>
        <v/>
      </c>
    </row>
    <row r="295" spans="1:25" ht="14.5">
      <c r="A295" s="165"/>
      <c r="B295" s="246"/>
      <c r="C295" s="167"/>
      <c r="D295" s="169"/>
      <c r="E295" s="167"/>
      <c r="F295" s="169"/>
      <c r="G295" s="170"/>
      <c r="H295" s="170"/>
      <c r="I295" s="171"/>
      <c r="J295" s="172"/>
      <c r="K295" s="168"/>
      <c r="L295" s="273" t="str">
        <f t="shared" si="19"/>
        <v/>
      </c>
      <c r="M295" s="78"/>
      <c r="N295" s="34"/>
      <c r="O295" s="78"/>
      <c r="P295" s="78"/>
      <c r="Q295" s="78"/>
      <c r="R295" s="36">
        <f t="shared" si="20"/>
        <v>28348.636155563392</v>
      </c>
      <c r="S295" s="37" t="str">
        <f t="shared" si="16"/>
        <v/>
      </c>
      <c r="T295" s="37"/>
      <c r="X295" s="39" t="str">
        <f t="shared" si="17"/>
        <v/>
      </c>
      <c r="Y295" s="42" t="str">
        <f t="shared" si="18"/>
        <v/>
      </c>
    </row>
    <row r="296" spans="1:25" ht="14.5">
      <c r="A296" s="165"/>
      <c r="B296" s="246"/>
      <c r="C296" s="167"/>
      <c r="D296" s="169"/>
      <c r="E296" s="167"/>
      <c r="F296" s="169"/>
      <c r="G296" s="170"/>
      <c r="H296" s="170"/>
      <c r="I296" s="171"/>
      <c r="J296" s="172"/>
      <c r="K296" s="168"/>
      <c r="L296" s="273" t="str">
        <f t="shared" si="19"/>
        <v/>
      </c>
      <c r="M296" s="78"/>
      <c r="N296" s="34"/>
      <c r="O296" s="78"/>
      <c r="P296" s="78"/>
      <c r="Q296" s="78"/>
      <c r="R296" s="36">
        <f t="shared" si="20"/>
        <v>28348.636155563392</v>
      </c>
      <c r="S296" s="37" t="str">
        <f t="shared" si="16"/>
        <v/>
      </c>
      <c r="T296" s="37"/>
      <c r="X296" s="39" t="str">
        <f t="shared" si="17"/>
        <v/>
      </c>
      <c r="Y296" s="42" t="str">
        <f t="shared" si="18"/>
        <v/>
      </c>
    </row>
    <row r="297" spans="1:25" ht="14.5">
      <c r="A297" s="323"/>
      <c r="B297" s="324"/>
      <c r="C297" s="325"/>
      <c r="D297" s="326"/>
      <c r="E297" s="325"/>
      <c r="F297" s="326"/>
      <c r="G297" s="327"/>
      <c r="H297" s="327"/>
      <c r="I297" s="328"/>
      <c r="J297" s="329"/>
      <c r="K297" s="330"/>
      <c r="L297" s="331" t="str">
        <f t="shared" si="19"/>
        <v/>
      </c>
      <c r="M297" s="78"/>
      <c r="N297" s="34"/>
      <c r="O297" s="78"/>
      <c r="P297" s="78"/>
      <c r="Q297" s="78"/>
      <c r="R297" s="36">
        <f t="shared" si="20"/>
        <v>28348.636155563392</v>
      </c>
      <c r="S297" s="37" t="str">
        <f t="shared" si="16"/>
        <v/>
      </c>
      <c r="T297" s="37"/>
      <c r="X297" s="39" t="str">
        <f t="shared" si="17"/>
        <v/>
      </c>
      <c r="Y297" s="42" t="str">
        <f t="shared" si="18"/>
        <v/>
      </c>
    </row>
    <row r="298" spans="1:25" ht="14.5">
      <c r="A298" s="323"/>
      <c r="B298" s="324"/>
      <c r="C298" s="325"/>
      <c r="D298" s="326"/>
      <c r="E298" s="325"/>
      <c r="F298" s="326"/>
      <c r="G298" s="327"/>
      <c r="H298" s="327"/>
      <c r="I298" s="328"/>
      <c r="J298" s="329"/>
      <c r="K298" s="330"/>
      <c r="L298" s="331" t="str">
        <f t="shared" si="19"/>
        <v/>
      </c>
      <c r="M298" s="78"/>
      <c r="N298" s="34"/>
      <c r="O298" s="78"/>
      <c r="P298" s="78"/>
      <c r="Q298" s="78"/>
      <c r="R298" s="36">
        <f t="shared" si="20"/>
        <v>28348.636155563392</v>
      </c>
      <c r="S298" s="37" t="str">
        <f t="shared" si="16"/>
        <v/>
      </c>
      <c r="T298" s="37"/>
      <c r="X298" s="39" t="str">
        <f t="shared" si="17"/>
        <v/>
      </c>
      <c r="Y298" s="42" t="str">
        <f t="shared" si="18"/>
        <v/>
      </c>
    </row>
    <row r="299" spans="1:25" ht="14.5">
      <c r="A299" s="98"/>
      <c r="B299" s="137"/>
      <c r="C299" s="138"/>
      <c r="D299" s="139"/>
      <c r="E299" s="138"/>
      <c r="F299" s="140"/>
      <c r="G299" s="141"/>
      <c r="H299" s="141"/>
      <c r="I299" s="142"/>
      <c r="J299" s="143"/>
      <c r="K299" s="139"/>
      <c r="L299" s="144" t="str">
        <f t="shared" si="19"/>
        <v/>
      </c>
      <c r="M299" s="78"/>
      <c r="N299" s="34"/>
      <c r="O299" s="78"/>
      <c r="P299" s="78"/>
      <c r="Q299" s="78"/>
      <c r="R299" s="36">
        <f t="shared" si="20"/>
        <v>28348.636155563392</v>
      </c>
      <c r="S299" s="37" t="str">
        <f t="shared" si="16"/>
        <v/>
      </c>
      <c r="T299" s="37"/>
      <c r="X299" s="39" t="str">
        <f t="shared" si="17"/>
        <v/>
      </c>
      <c r="Y299" s="42" t="str">
        <f t="shared" si="18"/>
        <v/>
      </c>
    </row>
    <row r="300" spans="1:25" ht="14.5">
      <c r="A300" s="98"/>
      <c r="B300" s="137"/>
      <c r="C300" s="138"/>
      <c r="D300" s="139"/>
      <c r="E300" s="138"/>
      <c r="F300" s="140"/>
      <c r="G300" s="141"/>
      <c r="H300" s="141"/>
      <c r="I300" s="142"/>
      <c r="J300" s="143"/>
      <c r="K300" s="139"/>
      <c r="L300" s="144" t="str">
        <f t="shared" si="19"/>
        <v/>
      </c>
      <c r="M300" s="78"/>
      <c r="N300" s="34"/>
      <c r="O300" s="78"/>
      <c r="P300" s="78"/>
      <c r="Q300" s="78"/>
      <c r="R300" s="36">
        <f t="shared" si="20"/>
        <v>28348.636155563392</v>
      </c>
      <c r="S300" s="37" t="str">
        <f t="shared" si="16"/>
        <v/>
      </c>
      <c r="T300" s="37"/>
      <c r="X300" s="39" t="str">
        <f t="shared" si="17"/>
        <v/>
      </c>
      <c r="Y300" s="42" t="str">
        <f t="shared" si="18"/>
        <v/>
      </c>
    </row>
    <row r="301" spans="1:25" ht="14.5">
      <c r="A301" s="192"/>
      <c r="B301" s="332"/>
      <c r="C301" s="194"/>
      <c r="D301" s="196"/>
      <c r="E301" s="194"/>
      <c r="F301" s="196"/>
      <c r="G301" s="197"/>
      <c r="H301" s="197"/>
      <c r="I301" s="198"/>
      <c r="J301" s="199"/>
      <c r="K301" s="195"/>
      <c r="L301" s="200" t="str">
        <f t="shared" ref="L301:L364" si="21">IF(B301="Compra",F301*G301,"")</f>
        <v/>
      </c>
      <c r="M301" s="78"/>
      <c r="N301" s="34"/>
      <c r="O301" s="78"/>
      <c r="P301" s="78"/>
      <c r="Q301" s="78"/>
      <c r="R301" s="36">
        <f t="shared" si="20"/>
        <v>28348.636155563392</v>
      </c>
      <c r="S301" s="37" t="str">
        <f t="shared" si="16"/>
        <v/>
      </c>
      <c r="T301" s="37"/>
      <c r="X301" s="39" t="str">
        <f t="shared" si="17"/>
        <v/>
      </c>
      <c r="Y301" s="42" t="str">
        <f t="shared" si="18"/>
        <v/>
      </c>
    </row>
    <row r="302" spans="1:25" ht="14.5">
      <c r="A302" s="192"/>
      <c r="B302" s="332"/>
      <c r="C302" s="194"/>
      <c r="D302" s="196"/>
      <c r="E302" s="194"/>
      <c r="F302" s="196"/>
      <c r="G302" s="197"/>
      <c r="H302" s="197"/>
      <c r="I302" s="198"/>
      <c r="J302" s="199"/>
      <c r="K302" s="195"/>
      <c r="L302" s="200" t="str">
        <f t="shared" si="21"/>
        <v/>
      </c>
      <c r="M302" s="78"/>
      <c r="N302" s="68"/>
      <c r="O302" s="78"/>
      <c r="P302" s="78"/>
      <c r="Q302" s="78"/>
      <c r="R302" s="36">
        <f t="shared" si="20"/>
        <v>28348.636155563392</v>
      </c>
      <c r="S302" s="37" t="str">
        <f t="shared" si="16"/>
        <v/>
      </c>
      <c r="T302" s="37"/>
      <c r="X302" s="39" t="str">
        <f t="shared" si="17"/>
        <v/>
      </c>
      <c r="Y302" s="42" t="str">
        <f t="shared" si="18"/>
        <v/>
      </c>
    </row>
    <row r="303" spans="1:25" ht="14.5">
      <c r="A303" s="192"/>
      <c r="B303" s="332"/>
      <c r="C303" s="194"/>
      <c r="D303" s="196"/>
      <c r="E303" s="194"/>
      <c r="F303" s="196"/>
      <c r="G303" s="197"/>
      <c r="H303" s="197"/>
      <c r="I303" s="198"/>
      <c r="J303" s="199"/>
      <c r="K303" s="195"/>
      <c r="L303" s="200" t="str">
        <f t="shared" si="21"/>
        <v/>
      </c>
      <c r="M303" s="78"/>
      <c r="N303" s="68"/>
      <c r="O303" s="78"/>
      <c r="P303" s="78"/>
      <c r="Q303" s="78"/>
      <c r="R303" s="36">
        <f t="shared" si="20"/>
        <v>28348.636155563392</v>
      </c>
      <c r="S303" s="37" t="str">
        <f t="shared" si="16"/>
        <v/>
      </c>
      <c r="T303" s="37"/>
      <c r="X303" s="39" t="str">
        <f t="shared" si="17"/>
        <v/>
      </c>
      <c r="Y303" s="42" t="str">
        <f t="shared" si="18"/>
        <v/>
      </c>
    </row>
    <row r="304" spans="1:25" ht="14.5">
      <c r="A304" s="98"/>
      <c r="B304" s="137"/>
      <c r="C304" s="138"/>
      <c r="D304" s="139"/>
      <c r="E304" s="138"/>
      <c r="F304" s="140"/>
      <c r="G304" s="141"/>
      <c r="H304" s="141"/>
      <c r="I304" s="142"/>
      <c r="J304" s="143"/>
      <c r="K304" s="139"/>
      <c r="L304" s="144" t="str">
        <f t="shared" si="21"/>
        <v/>
      </c>
      <c r="M304" s="78"/>
      <c r="N304" s="68"/>
      <c r="O304" s="78"/>
      <c r="P304" s="78"/>
      <c r="Q304" s="78"/>
      <c r="R304" s="36">
        <f t="shared" si="20"/>
        <v>28348.636155563392</v>
      </c>
      <c r="S304" s="37" t="str">
        <f t="shared" si="16"/>
        <v/>
      </c>
      <c r="T304" s="37"/>
      <c r="X304" s="39" t="str">
        <f t="shared" si="17"/>
        <v/>
      </c>
      <c r="Y304" s="42" t="str">
        <f t="shared" si="18"/>
        <v/>
      </c>
    </row>
    <row r="305" spans="1:25" ht="14.5">
      <c r="A305" s="116"/>
      <c r="B305" s="99"/>
      <c r="C305" s="100"/>
      <c r="D305" s="101"/>
      <c r="E305" s="100"/>
      <c r="F305" s="102"/>
      <c r="G305" s="103"/>
      <c r="H305" s="103"/>
      <c r="I305" s="117"/>
      <c r="J305" s="105"/>
      <c r="K305" s="101"/>
      <c r="L305" s="106" t="str">
        <f t="shared" si="21"/>
        <v/>
      </c>
      <c r="M305" s="383"/>
      <c r="N305" s="68"/>
      <c r="O305" s="78"/>
      <c r="P305" s="78"/>
      <c r="Q305" s="78"/>
      <c r="R305" s="36">
        <f t="shared" si="20"/>
        <v>28348.636155563392</v>
      </c>
      <c r="S305" s="37" t="str">
        <f t="shared" si="16"/>
        <v/>
      </c>
      <c r="T305" s="37"/>
      <c r="X305" s="39" t="str">
        <f t="shared" si="17"/>
        <v/>
      </c>
      <c r="Y305" s="42" t="str">
        <f t="shared" si="18"/>
        <v/>
      </c>
    </row>
    <row r="306" spans="1:25" ht="14.5">
      <c r="A306" s="118"/>
      <c r="B306" s="333"/>
      <c r="C306" s="120"/>
      <c r="D306" s="121"/>
      <c r="E306" s="120"/>
      <c r="F306" s="121"/>
      <c r="G306" s="122"/>
      <c r="H306" s="122"/>
      <c r="I306" s="123"/>
      <c r="J306" s="124"/>
      <c r="K306" s="125"/>
      <c r="L306" s="563" t="str">
        <f t="shared" si="21"/>
        <v/>
      </c>
      <c r="M306" s="33" t="s">
        <v>43</v>
      </c>
      <c r="N306" s="34"/>
      <c r="O306" s="78"/>
      <c r="P306" s="78"/>
      <c r="Q306" s="78"/>
      <c r="R306" s="36">
        <f t="shared" si="20"/>
        <v>28348.636155563392</v>
      </c>
      <c r="S306" s="37" t="str">
        <f t="shared" si="16"/>
        <v/>
      </c>
      <c r="T306" s="37"/>
      <c r="X306" s="39" t="str">
        <f t="shared" si="17"/>
        <v/>
      </c>
      <c r="Y306" s="42" t="str">
        <f t="shared" si="18"/>
        <v/>
      </c>
    </row>
    <row r="307" spans="1:25" ht="14.5">
      <c r="A307" s="118"/>
      <c r="B307" s="334"/>
      <c r="C307" s="138"/>
      <c r="D307" s="140"/>
      <c r="E307" s="138"/>
      <c r="F307" s="140"/>
      <c r="G307" s="141"/>
      <c r="H307" s="141"/>
      <c r="I307" s="142"/>
      <c r="J307" s="143"/>
      <c r="K307" s="139"/>
      <c r="L307" s="164" t="str">
        <f t="shared" si="21"/>
        <v/>
      </c>
      <c r="M307" s="45" t="s">
        <v>21</v>
      </c>
      <c r="N307" s="34"/>
      <c r="O307" s="78"/>
      <c r="P307" s="78"/>
      <c r="Q307" s="78"/>
      <c r="R307" s="36">
        <f t="shared" si="20"/>
        <v>28348.636155563392</v>
      </c>
      <c r="S307" s="37" t="str">
        <f t="shared" si="16"/>
        <v/>
      </c>
      <c r="T307" s="37"/>
      <c r="X307" s="39" t="str">
        <f t="shared" si="17"/>
        <v/>
      </c>
      <c r="Y307" s="42" t="str">
        <f t="shared" si="18"/>
        <v/>
      </c>
    </row>
    <row r="308" spans="1:25" ht="14.5">
      <c r="A308" s="127"/>
      <c r="B308" s="335"/>
      <c r="C308" s="129"/>
      <c r="D308" s="130"/>
      <c r="E308" s="129"/>
      <c r="F308" s="130"/>
      <c r="G308" s="131"/>
      <c r="H308" s="131"/>
      <c r="I308" s="132"/>
      <c r="J308" s="133"/>
      <c r="K308" s="134"/>
      <c r="L308" s="135" t="str">
        <f t="shared" si="21"/>
        <v/>
      </c>
      <c r="M308" s="56">
        <f>IFERROR(AVERAGE(L306:L340),0)</f>
        <v>0</v>
      </c>
      <c r="N308" s="34"/>
      <c r="O308" s="78"/>
      <c r="P308" s="78"/>
      <c r="Q308" s="78"/>
      <c r="R308" s="36">
        <f t="shared" si="20"/>
        <v>28348.636155563392</v>
      </c>
      <c r="S308" s="37" t="str">
        <f t="shared" si="16"/>
        <v/>
      </c>
      <c r="T308" s="37"/>
      <c r="X308" s="39" t="str">
        <f t="shared" si="17"/>
        <v/>
      </c>
      <c r="Y308" s="42" t="str">
        <f t="shared" si="18"/>
        <v/>
      </c>
    </row>
    <row r="309" spans="1:25" ht="14.5">
      <c r="A309" s="127"/>
      <c r="B309" s="335"/>
      <c r="C309" s="129"/>
      <c r="D309" s="130"/>
      <c r="E309" s="129"/>
      <c r="F309" s="130"/>
      <c r="G309" s="131"/>
      <c r="H309" s="131"/>
      <c r="I309" s="132"/>
      <c r="J309" s="133"/>
      <c r="K309" s="134"/>
      <c r="L309" s="135" t="str">
        <f t="shared" si="21"/>
        <v/>
      </c>
      <c r="M309" s="45" t="s">
        <v>24</v>
      </c>
      <c r="N309" s="34"/>
      <c r="O309" s="78"/>
      <c r="P309" s="78"/>
      <c r="Q309" s="78"/>
      <c r="R309" s="36">
        <f t="shared" si="20"/>
        <v>28348.636155563392</v>
      </c>
      <c r="S309" s="37" t="str">
        <f t="shared" si="16"/>
        <v/>
      </c>
      <c r="T309" s="37"/>
      <c r="X309" s="39" t="str">
        <f t="shared" si="17"/>
        <v/>
      </c>
      <c r="Y309" s="42" t="str">
        <f t="shared" si="18"/>
        <v/>
      </c>
    </row>
    <row r="310" spans="1:25" ht="14.5">
      <c r="A310" s="165"/>
      <c r="B310" s="246"/>
      <c r="C310" s="167"/>
      <c r="D310" s="169"/>
      <c r="E310" s="167"/>
      <c r="F310" s="169"/>
      <c r="G310" s="170"/>
      <c r="H310" s="170"/>
      <c r="I310" s="171"/>
      <c r="J310" s="172"/>
      <c r="K310" s="168"/>
      <c r="L310" s="273" t="str">
        <f t="shared" si="21"/>
        <v/>
      </c>
      <c r="M310" s="56">
        <f>SUM(I306:I340)</f>
        <v>0</v>
      </c>
      <c r="N310" s="34"/>
      <c r="O310" s="78"/>
      <c r="P310" s="78"/>
      <c r="Q310" s="78"/>
      <c r="R310" s="36">
        <f t="shared" si="20"/>
        <v>28348.636155563392</v>
      </c>
      <c r="S310" s="37" t="str">
        <f t="shared" si="16"/>
        <v/>
      </c>
      <c r="T310" s="37"/>
      <c r="X310" s="39" t="str">
        <f t="shared" ref="X310:X373" si="22">IF(I425&lt;&gt;0,I425,"")</f>
        <v/>
      </c>
      <c r="Y310" s="42" t="str">
        <f t="shared" ref="Y310:Y373" si="23">IF(I425&lt;&gt;0,A425,"")</f>
        <v/>
      </c>
    </row>
    <row r="311" spans="1:25" ht="14.5">
      <c r="A311" s="165"/>
      <c r="B311" s="246"/>
      <c r="C311" s="167"/>
      <c r="D311" s="169"/>
      <c r="E311" s="167"/>
      <c r="F311" s="169"/>
      <c r="G311" s="170"/>
      <c r="H311" s="170"/>
      <c r="I311" s="171"/>
      <c r="J311" s="172"/>
      <c r="K311" s="168"/>
      <c r="L311" s="273" t="str">
        <f t="shared" si="21"/>
        <v/>
      </c>
      <c r="M311" s="45" t="s">
        <v>27</v>
      </c>
      <c r="N311" s="34"/>
      <c r="O311" s="78"/>
      <c r="P311" s="78"/>
      <c r="Q311" s="78"/>
      <c r="R311" s="36">
        <f t="shared" si="20"/>
        <v>28348.636155563392</v>
      </c>
      <c r="S311" s="37" t="str">
        <f t="shared" si="16"/>
        <v/>
      </c>
      <c r="T311" s="37"/>
      <c r="X311" s="39" t="str">
        <f t="shared" si="22"/>
        <v/>
      </c>
      <c r="Y311" s="42" t="str">
        <f t="shared" si="23"/>
        <v/>
      </c>
    </row>
    <row r="312" spans="1:25" ht="14.5">
      <c r="A312" s="79"/>
      <c r="B312" s="336"/>
      <c r="C312" s="81"/>
      <c r="D312" s="83"/>
      <c r="E312" s="81"/>
      <c r="F312" s="83"/>
      <c r="G312" s="84"/>
      <c r="H312" s="84"/>
      <c r="I312" s="85"/>
      <c r="J312" s="86"/>
      <c r="K312" s="82"/>
      <c r="L312" s="337" t="str">
        <f t="shared" si="21"/>
        <v/>
      </c>
      <c r="M312" s="66">
        <f>SUM(J306:J340)/100</f>
        <v>0</v>
      </c>
      <c r="N312" s="34"/>
      <c r="O312" s="78"/>
      <c r="P312" s="78"/>
      <c r="Q312" s="78"/>
      <c r="R312" s="36">
        <f t="shared" si="20"/>
        <v>28348.636155563392</v>
      </c>
      <c r="S312" s="37" t="str">
        <f t="shared" si="16"/>
        <v/>
      </c>
      <c r="T312" s="37"/>
      <c r="X312" s="39" t="str">
        <f t="shared" si="22"/>
        <v/>
      </c>
      <c r="Y312" s="42" t="str">
        <f t="shared" si="23"/>
        <v/>
      </c>
    </row>
    <row r="313" spans="1:25" ht="14.5">
      <c r="A313" s="79"/>
      <c r="B313" s="336"/>
      <c r="C313" s="81"/>
      <c r="D313" s="83"/>
      <c r="E313" s="81"/>
      <c r="F313" s="83"/>
      <c r="G313" s="84"/>
      <c r="H313" s="84"/>
      <c r="I313" s="85"/>
      <c r="J313" s="86"/>
      <c r="K313" s="82"/>
      <c r="L313" s="337" t="str">
        <f t="shared" si="21"/>
        <v/>
      </c>
      <c r="M313" s="319"/>
      <c r="N313" s="68"/>
      <c r="O313" s="78"/>
      <c r="P313" s="78"/>
      <c r="Q313" s="78"/>
      <c r="R313" s="36">
        <f t="shared" si="20"/>
        <v>28348.636155563392</v>
      </c>
      <c r="S313" s="37" t="str">
        <f t="shared" si="16"/>
        <v/>
      </c>
      <c r="T313" s="37"/>
      <c r="X313" s="39" t="str">
        <f t="shared" si="22"/>
        <v/>
      </c>
      <c r="Y313" s="42" t="str">
        <f t="shared" si="23"/>
        <v/>
      </c>
    </row>
    <row r="314" spans="1:25" ht="14.5">
      <c r="A314" s="165"/>
      <c r="B314" s="246"/>
      <c r="C314" s="167"/>
      <c r="D314" s="169"/>
      <c r="E314" s="167"/>
      <c r="F314" s="169"/>
      <c r="G314" s="170"/>
      <c r="H314" s="170"/>
      <c r="I314" s="171"/>
      <c r="J314" s="172"/>
      <c r="K314" s="168"/>
      <c r="L314" s="273" t="str">
        <f t="shared" si="21"/>
        <v/>
      </c>
      <c r="M314" s="78"/>
      <c r="N314" s="68"/>
      <c r="O314" s="78"/>
      <c r="P314" s="78"/>
      <c r="Q314" s="78"/>
      <c r="R314" s="36">
        <f t="shared" si="20"/>
        <v>28348.636155563392</v>
      </c>
      <c r="S314" s="37" t="str">
        <f t="shared" si="16"/>
        <v/>
      </c>
      <c r="T314" s="37"/>
      <c r="X314" s="39" t="str">
        <f t="shared" si="22"/>
        <v/>
      </c>
      <c r="Y314" s="42" t="str">
        <f t="shared" si="23"/>
        <v/>
      </c>
    </row>
    <row r="315" spans="1:25" ht="14.5">
      <c r="A315" s="165"/>
      <c r="B315" s="246"/>
      <c r="C315" s="167"/>
      <c r="D315" s="169"/>
      <c r="E315" s="167"/>
      <c r="F315" s="169"/>
      <c r="G315" s="170"/>
      <c r="H315" s="170"/>
      <c r="I315" s="171"/>
      <c r="J315" s="172"/>
      <c r="K315" s="168"/>
      <c r="L315" s="273" t="str">
        <f t="shared" si="21"/>
        <v/>
      </c>
      <c r="M315" s="78"/>
      <c r="N315" s="78"/>
      <c r="O315" s="78"/>
      <c r="P315" s="78"/>
      <c r="Q315" s="78"/>
      <c r="R315" s="36">
        <f t="shared" si="20"/>
        <v>28348.636155563392</v>
      </c>
      <c r="S315" s="37" t="str">
        <f t="shared" si="16"/>
        <v/>
      </c>
      <c r="T315" s="37"/>
      <c r="X315" s="39" t="str">
        <f t="shared" si="22"/>
        <v/>
      </c>
      <c r="Y315" s="42" t="str">
        <f t="shared" si="23"/>
        <v/>
      </c>
    </row>
    <row r="316" spans="1:25" ht="14.5">
      <c r="A316" s="79"/>
      <c r="B316" s="336"/>
      <c r="C316" s="81"/>
      <c r="D316" s="83"/>
      <c r="E316" s="81"/>
      <c r="F316" s="83"/>
      <c r="G316" s="84"/>
      <c r="H316" s="84"/>
      <c r="I316" s="85"/>
      <c r="J316" s="86"/>
      <c r="K316" s="82"/>
      <c r="L316" s="337" t="str">
        <f t="shared" si="21"/>
        <v/>
      </c>
      <c r="M316" s="78"/>
      <c r="N316" s="78"/>
      <c r="O316" s="78"/>
      <c r="P316" s="78"/>
      <c r="Q316" s="78"/>
      <c r="R316" s="36">
        <f t="shared" si="20"/>
        <v>28348.636155563392</v>
      </c>
      <c r="S316" s="37" t="str">
        <f t="shared" si="16"/>
        <v/>
      </c>
      <c r="T316" s="37"/>
      <c r="X316" s="39" t="str">
        <f t="shared" si="22"/>
        <v/>
      </c>
      <c r="Y316" s="42" t="str">
        <f t="shared" si="23"/>
        <v/>
      </c>
    </row>
    <row r="317" spans="1:25" ht="14.5">
      <c r="A317" s="79"/>
      <c r="B317" s="336"/>
      <c r="C317" s="81"/>
      <c r="D317" s="83"/>
      <c r="E317" s="81"/>
      <c r="F317" s="83"/>
      <c r="G317" s="84"/>
      <c r="H317" s="84"/>
      <c r="I317" s="85"/>
      <c r="J317" s="86"/>
      <c r="K317" s="82"/>
      <c r="L317" s="337" t="str">
        <f t="shared" si="21"/>
        <v/>
      </c>
      <c r="M317" s="78"/>
      <c r="N317" s="78"/>
      <c r="O317" s="78"/>
      <c r="P317" s="78"/>
      <c r="Q317" s="78"/>
      <c r="R317" s="36">
        <f t="shared" si="20"/>
        <v>28348.636155563392</v>
      </c>
      <c r="S317" s="37" t="str">
        <f t="shared" si="16"/>
        <v/>
      </c>
      <c r="T317" s="37"/>
      <c r="X317" s="39" t="str">
        <f t="shared" si="22"/>
        <v/>
      </c>
      <c r="Y317" s="42" t="str">
        <f t="shared" si="23"/>
        <v/>
      </c>
    </row>
    <row r="318" spans="1:25" ht="14.5">
      <c r="A318" s="165"/>
      <c r="B318" s="246"/>
      <c r="C318" s="167"/>
      <c r="D318" s="169"/>
      <c r="E318" s="167"/>
      <c r="F318" s="169"/>
      <c r="G318" s="170"/>
      <c r="H318" s="170"/>
      <c r="I318" s="171"/>
      <c r="J318" s="172"/>
      <c r="K318" s="168"/>
      <c r="L318" s="273" t="str">
        <f t="shared" si="21"/>
        <v/>
      </c>
      <c r="M318" s="78"/>
      <c r="N318" s="78"/>
      <c r="O318" s="78"/>
      <c r="P318" s="78"/>
      <c r="Q318" s="78"/>
      <c r="R318" s="36">
        <f t="shared" si="20"/>
        <v>28348.636155563392</v>
      </c>
      <c r="S318" s="37" t="str">
        <f t="shared" si="16"/>
        <v/>
      </c>
      <c r="T318" s="37"/>
      <c r="X318" s="39" t="str">
        <f t="shared" si="22"/>
        <v/>
      </c>
      <c r="Y318" s="42" t="str">
        <f t="shared" si="23"/>
        <v/>
      </c>
    </row>
    <row r="319" spans="1:25" ht="14.5">
      <c r="A319" s="165"/>
      <c r="B319" s="246"/>
      <c r="C319" s="167"/>
      <c r="D319" s="169"/>
      <c r="E319" s="167"/>
      <c r="F319" s="169"/>
      <c r="G319" s="170"/>
      <c r="H319" s="170"/>
      <c r="I319" s="171"/>
      <c r="J319" s="172"/>
      <c r="K319" s="168"/>
      <c r="L319" s="273" t="str">
        <f t="shared" si="21"/>
        <v/>
      </c>
      <c r="M319" s="78"/>
      <c r="N319" s="78"/>
      <c r="O319" s="78"/>
      <c r="P319" s="78"/>
      <c r="Q319" s="78"/>
      <c r="R319" s="36">
        <f t="shared" si="20"/>
        <v>28348.636155563392</v>
      </c>
      <c r="S319" s="37" t="str">
        <f t="shared" si="16"/>
        <v/>
      </c>
      <c r="T319" s="37"/>
      <c r="X319" s="39" t="str">
        <f t="shared" si="22"/>
        <v/>
      </c>
      <c r="Y319" s="42" t="str">
        <f t="shared" si="23"/>
        <v/>
      </c>
    </row>
    <row r="320" spans="1:25" ht="14.5">
      <c r="A320" s="47"/>
      <c r="B320" s="48"/>
      <c r="C320" s="49"/>
      <c r="D320" s="54"/>
      <c r="E320" s="49"/>
      <c r="F320" s="50"/>
      <c r="G320" s="51"/>
      <c r="H320" s="51"/>
      <c r="I320" s="52"/>
      <c r="J320" s="53"/>
      <c r="K320" s="54"/>
      <c r="L320" s="55" t="str">
        <f t="shared" si="21"/>
        <v/>
      </c>
      <c r="M320" s="78"/>
      <c r="N320" s="78"/>
      <c r="O320" s="78"/>
      <c r="P320" s="78"/>
      <c r="Q320" s="78"/>
      <c r="R320" s="36">
        <f t="shared" si="20"/>
        <v>28348.636155563392</v>
      </c>
      <c r="S320" s="37" t="str">
        <f t="shared" si="16"/>
        <v/>
      </c>
      <c r="T320" s="37"/>
      <c r="X320" s="39" t="str">
        <f t="shared" si="22"/>
        <v/>
      </c>
      <c r="Y320" s="42" t="str">
        <f t="shared" si="23"/>
        <v/>
      </c>
    </row>
    <row r="321" spans="1:25" ht="14.5">
      <c r="A321" s="47"/>
      <c r="B321" s="48"/>
      <c r="C321" s="49"/>
      <c r="D321" s="54"/>
      <c r="E321" s="49"/>
      <c r="F321" s="50"/>
      <c r="G321" s="51"/>
      <c r="H321" s="51"/>
      <c r="I321" s="52"/>
      <c r="J321" s="53"/>
      <c r="K321" s="54"/>
      <c r="L321" s="55" t="str">
        <f t="shared" si="21"/>
        <v/>
      </c>
      <c r="M321" s="78"/>
      <c r="N321" s="78"/>
      <c r="O321" s="78"/>
      <c r="P321" s="78"/>
      <c r="Q321" s="78"/>
      <c r="R321" s="36">
        <f t="shared" si="20"/>
        <v>28348.636155563392</v>
      </c>
      <c r="S321" s="37" t="str">
        <f t="shared" si="16"/>
        <v/>
      </c>
      <c r="T321" s="37"/>
      <c r="X321" s="39" t="str">
        <f t="shared" si="22"/>
        <v/>
      </c>
      <c r="Y321" s="42" t="str">
        <f t="shared" si="23"/>
        <v/>
      </c>
    </row>
    <row r="322" spans="1:25" ht="14.5">
      <c r="A322" s="201"/>
      <c r="B322" s="283"/>
      <c r="C322" s="203"/>
      <c r="D322" s="205"/>
      <c r="E322" s="203"/>
      <c r="F322" s="205"/>
      <c r="G322" s="206"/>
      <c r="H322" s="206"/>
      <c r="I322" s="207"/>
      <c r="J322" s="208"/>
      <c r="K322" s="204"/>
      <c r="L322" s="209" t="str">
        <f t="shared" si="21"/>
        <v/>
      </c>
      <c r="M322" s="78"/>
      <c r="N322" s="78"/>
      <c r="O322" s="78"/>
      <c r="P322" s="78"/>
      <c r="Q322" s="78"/>
      <c r="R322" s="36">
        <f t="shared" si="20"/>
        <v>28348.636155563392</v>
      </c>
      <c r="S322" s="37" t="str">
        <f t="shared" si="16"/>
        <v/>
      </c>
      <c r="T322" s="37"/>
      <c r="X322" s="39" t="str">
        <f t="shared" si="22"/>
        <v/>
      </c>
      <c r="Y322" s="42" t="str">
        <f t="shared" si="23"/>
        <v/>
      </c>
    </row>
    <row r="323" spans="1:25" ht="14.5">
      <c r="A323" s="201"/>
      <c r="B323" s="283"/>
      <c r="C323" s="203"/>
      <c r="D323" s="205"/>
      <c r="E323" s="203"/>
      <c r="F323" s="205"/>
      <c r="G323" s="206"/>
      <c r="H323" s="206"/>
      <c r="I323" s="207"/>
      <c r="J323" s="208"/>
      <c r="K323" s="204"/>
      <c r="L323" s="209" t="str">
        <f t="shared" si="21"/>
        <v/>
      </c>
      <c r="M323" s="78"/>
      <c r="N323" s="78"/>
      <c r="O323" s="78"/>
      <c r="P323" s="78"/>
      <c r="Q323" s="78"/>
      <c r="R323" s="36">
        <f t="shared" si="20"/>
        <v>28348.636155563392</v>
      </c>
      <c r="S323" s="37" t="str">
        <f t="shared" si="16"/>
        <v/>
      </c>
      <c r="T323" s="37"/>
      <c r="X323" s="39" t="str">
        <f t="shared" si="22"/>
        <v/>
      </c>
      <c r="Y323" s="42" t="str">
        <f t="shared" si="23"/>
        <v/>
      </c>
    </row>
    <row r="324" spans="1:25" ht="14.5">
      <c r="A324" s="47"/>
      <c r="B324" s="48"/>
      <c r="C324" s="49"/>
      <c r="D324" s="54"/>
      <c r="E324" s="49"/>
      <c r="F324" s="50"/>
      <c r="G324" s="51"/>
      <c r="H324" s="51"/>
      <c r="I324" s="52"/>
      <c r="J324" s="53"/>
      <c r="K324" s="54"/>
      <c r="L324" s="55" t="str">
        <f t="shared" si="21"/>
        <v/>
      </c>
      <c r="M324" s="78"/>
      <c r="N324" s="78"/>
      <c r="O324" s="78"/>
      <c r="P324" s="78"/>
      <c r="Q324" s="78"/>
      <c r="R324" s="36">
        <f t="shared" si="20"/>
        <v>28348.636155563392</v>
      </c>
      <c r="S324" s="37" t="str">
        <f t="shared" si="16"/>
        <v/>
      </c>
      <c r="T324" s="37"/>
      <c r="X324" s="39" t="str">
        <f t="shared" si="22"/>
        <v/>
      </c>
      <c r="Y324" s="42" t="str">
        <f t="shared" si="23"/>
        <v/>
      </c>
    </row>
    <row r="325" spans="1:25" ht="14.5">
      <c r="A325" s="47"/>
      <c r="B325" s="48"/>
      <c r="C325" s="49"/>
      <c r="D325" s="54"/>
      <c r="E325" s="49"/>
      <c r="F325" s="50"/>
      <c r="G325" s="51"/>
      <c r="H325" s="51"/>
      <c r="I325" s="52"/>
      <c r="J325" s="53"/>
      <c r="K325" s="54"/>
      <c r="L325" s="55" t="str">
        <f t="shared" si="21"/>
        <v/>
      </c>
      <c r="M325" s="78"/>
      <c r="N325" s="78"/>
      <c r="O325" s="78"/>
      <c r="P325" s="78"/>
      <c r="Q325" s="78"/>
      <c r="R325" s="36">
        <f t="shared" si="20"/>
        <v>28348.636155563392</v>
      </c>
      <c r="S325" s="37" t="str">
        <f t="shared" si="16"/>
        <v/>
      </c>
      <c r="T325" s="37"/>
      <c r="X325" s="39" t="str">
        <f t="shared" si="22"/>
        <v/>
      </c>
      <c r="Y325" s="42" t="str">
        <f t="shared" si="23"/>
        <v/>
      </c>
    </row>
    <row r="326" spans="1:25" ht="14.5">
      <c r="A326" s="201"/>
      <c r="B326" s="283"/>
      <c r="C326" s="203"/>
      <c r="D326" s="205"/>
      <c r="E326" s="203"/>
      <c r="F326" s="205"/>
      <c r="G326" s="206"/>
      <c r="H326" s="206"/>
      <c r="I326" s="207"/>
      <c r="J326" s="208"/>
      <c r="K326" s="204"/>
      <c r="L326" s="209" t="str">
        <f t="shared" si="21"/>
        <v/>
      </c>
      <c r="M326" s="78"/>
      <c r="N326" s="78"/>
      <c r="O326" s="78"/>
      <c r="P326" s="78"/>
      <c r="Q326" s="78"/>
      <c r="R326" s="36">
        <f t="shared" si="20"/>
        <v>28348.636155563392</v>
      </c>
      <c r="S326" s="37" t="str">
        <f t="shared" si="16"/>
        <v/>
      </c>
      <c r="T326" s="37"/>
      <c r="X326" s="39" t="str">
        <f t="shared" si="22"/>
        <v/>
      </c>
      <c r="Y326" s="42" t="str">
        <f t="shared" si="23"/>
        <v/>
      </c>
    </row>
    <row r="327" spans="1:25" ht="14.5">
      <c r="A327" s="201"/>
      <c r="B327" s="283"/>
      <c r="C327" s="203"/>
      <c r="D327" s="205"/>
      <c r="E327" s="203"/>
      <c r="F327" s="205"/>
      <c r="G327" s="206"/>
      <c r="H327" s="206"/>
      <c r="I327" s="207"/>
      <c r="J327" s="208"/>
      <c r="K327" s="204"/>
      <c r="L327" s="209" t="str">
        <f t="shared" si="21"/>
        <v/>
      </c>
      <c r="M327" s="78"/>
      <c r="N327" s="78"/>
      <c r="O327" s="78"/>
      <c r="P327" s="78"/>
      <c r="Q327" s="78"/>
      <c r="R327" s="36">
        <f t="shared" si="20"/>
        <v>28348.636155563392</v>
      </c>
      <c r="S327" s="37" t="str">
        <f t="shared" si="16"/>
        <v/>
      </c>
      <c r="T327" s="37"/>
      <c r="X327" s="39" t="str">
        <f t="shared" si="22"/>
        <v/>
      </c>
      <c r="Y327" s="42" t="str">
        <f t="shared" si="23"/>
        <v/>
      </c>
    </row>
    <row r="328" spans="1:25" ht="14.5">
      <c r="A328" s="47"/>
      <c r="B328" s="48"/>
      <c r="C328" s="49"/>
      <c r="D328" s="54"/>
      <c r="E328" s="49"/>
      <c r="F328" s="50"/>
      <c r="G328" s="51"/>
      <c r="H328" s="51"/>
      <c r="I328" s="52"/>
      <c r="J328" s="53"/>
      <c r="K328" s="54"/>
      <c r="L328" s="55" t="str">
        <f t="shared" si="21"/>
        <v/>
      </c>
      <c r="M328" s="78"/>
      <c r="N328" s="78"/>
      <c r="O328" s="78"/>
      <c r="P328" s="78"/>
      <c r="Q328" s="78"/>
      <c r="R328" s="36">
        <f t="shared" si="20"/>
        <v>28348.636155563392</v>
      </c>
      <c r="S328" s="37" t="str">
        <f t="shared" si="16"/>
        <v/>
      </c>
      <c r="T328" s="37"/>
      <c r="X328" s="39" t="str">
        <f t="shared" si="22"/>
        <v/>
      </c>
      <c r="Y328" s="42" t="str">
        <f t="shared" si="23"/>
        <v/>
      </c>
    </row>
    <row r="329" spans="1:25" ht="14.5">
      <c r="A329" s="47"/>
      <c r="B329" s="48"/>
      <c r="C329" s="49"/>
      <c r="D329" s="54"/>
      <c r="E329" s="49"/>
      <c r="F329" s="50"/>
      <c r="G329" s="51"/>
      <c r="H329" s="51"/>
      <c r="I329" s="52"/>
      <c r="J329" s="53"/>
      <c r="K329" s="54"/>
      <c r="L329" s="55" t="str">
        <f t="shared" si="21"/>
        <v/>
      </c>
      <c r="M329" s="388"/>
      <c r="N329" s="78"/>
      <c r="O329" s="78"/>
      <c r="P329" s="78"/>
      <c r="Q329" s="78"/>
      <c r="R329" s="36">
        <f t="shared" si="20"/>
        <v>28348.636155563392</v>
      </c>
      <c r="S329" s="37" t="str">
        <f t="shared" si="16"/>
        <v/>
      </c>
      <c r="T329" s="37"/>
      <c r="X329" s="39" t="str">
        <f t="shared" si="22"/>
        <v/>
      </c>
      <c r="Y329" s="42" t="str">
        <f t="shared" si="23"/>
        <v/>
      </c>
    </row>
    <row r="330" spans="1:25" ht="14.5">
      <c r="A330" s="201"/>
      <c r="B330" s="283"/>
      <c r="C330" s="203"/>
      <c r="D330" s="205"/>
      <c r="E330" s="203"/>
      <c r="F330" s="205"/>
      <c r="G330" s="206"/>
      <c r="H330" s="206"/>
      <c r="I330" s="207"/>
      <c r="J330" s="208"/>
      <c r="K330" s="204"/>
      <c r="L330" s="209" t="str">
        <f t="shared" si="21"/>
        <v/>
      </c>
      <c r="M330" s="78"/>
      <c r="N330" s="78"/>
      <c r="O330" s="78"/>
      <c r="P330" s="78"/>
      <c r="Q330" s="78"/>
      <c r="R330" s="36">
        <f t="shared" si="20"/>
        <v>28348.636155563392</v>
      </c>
      <c r="S330" s="37" t="str">
        <f t="shared" si="16"/>
        <v/>
      </c>
      <c r="T330" s="37"/>
      <c r="X330" s="39" t="str">
        <f t="shared" si="22"/>
        <v/>
      </c>
      <c r="Y330" s="42" t="str">
        <f t="shared" si="23"/>
        <v/>
      </c>
    </row>
    <row r="331" spans="1:25" ht="14.5">
      <c r="A331" s="201"/>
      <c r="B331" s="283"/>
      <c r="C331" s="203"/>
      <c r="D331" s="205"/>
      <c r="E331" s="203"/>
      <c r="F331" s="205"/>
      <c r="G331" s="206"/>
      <c r="H331" s="206"/>
      <c r="I331" s="207"/>
      <c r="J331" s="208"/>
      <c r="K331" s="204"/>
      <c r="L331" s="209" t="str">
        <f t="shared" si="21"/>
        <v/>
      </c>
      <c r="M331" s="78"/>
      <c r="N331" s="78"/>
      <c r="O331" s="78"/>
      <c r="P331" s="78"/>
      <c r="Q331" s="78"/>
      <c r="R331" s="36">
        <f t="shared" si="20"/>
        <v>28348.636155563392</v>
      </c>
      <c r="S331" s="37" t="str">
        <f t="shared" si="16"/>
        <v/>
      </c>
      <c r="T331" s="37"/>
      <c r="X331" s="39" t="str">
        <f t="shared" si="22"/>
        <v/>
      </c>
      <c r="Y331" s="42" t="str">
        <f t="shared" si="23"/>
        <v/>
      </c>
    </row>
    <row r="332" spans="1:25" ht="14.5">
      <c r="A332" s="47"/>
      <c r="B332" s="48"/>
      <c r="C332" s="49"/>
      <c r="D332" s="54"/>
      <c r="E332" s="49"/>
      <c r="F332" s="50"/>
      <c r="G332" s="51"/>
      <c r="H332" s="51"/>
      <c r="I332" s="52"/>
      <c r="J332" s="53"/>
      <c r="K332" s="54"/>
      <c r="L332" s="55" t="str">
        <f t="shared" si="21"/>
        <v/>
      </c>
      <c r="M332" s="78"/>
      <c r="N332" s="78"/>
      <c r="O332" s="78"/>
      <c r="P332" s="78"/>
      <c r="Q332" s="78"/>
      <c r="R332" s="36">
        <f t="shared" si="20"/>
        <v>28348.636155563392</v>
      </c>
      <c r="S332" s="37" t="str">
        <f t="shared" si="16"/>
        <v/>
      </c>
      <c r="T332" s="37"/>
      <c r="X332" s="39" t="str">
        <f t="shared" si="22"/>
        <v/>
      </c>
      <c r="Y332" s="42" t="str">
        <f t="shared" si="23"/>
        <v/>
      </c>
    </row>
    <row r="333" spans="1:25" ht="14.5">
      <c r="A333" s="47"/>
      <c r="B333" s="48"/>
      <c r="C333" s="49"/>
      <c r="D333" s="54"/>
      <c r="E333" s="49"/>
      <c r="F333" s="50"/>
      <c r="G333" s="51"/>
      <c r="H333" s="51"/>
      <c r="I333" s="52"/>
      <c r="J333" s="53"/>
      <c r="K333" s="54"/>
      <c r="L333" s="55" t="str">
        <f t="shared" si="21"/>
        <v/>
      </c>
      <c r="M333" s="78"/>
      <c r="N333" s="78"/>
      <c r="O333" s="78"/>
      <c r="P333" s="78"/>
      <c r="Q333" s="78"/>
      <c r="R333" s="36">
        <f t="shared" si="20"/>
        <v>28348.636155563392</v>
      </c>
      <c r="S333" s="37" t="str">
        <f t="shared" si="16"/>
        <v/>
      </c>
      <c r="T333" s="37"/>
      <c r="X333" s="39" t="str">
        <f t="shared" si="22"/>
        <v/>
      </c>
      <c r="Y333" s="42" t="str">
        <f t="shared" si="23"/>
        <v/>
      </c>
    </row>
    <row r="334" spans="1:25" ht="14.5">
      <c r="A334" s="338"/>
      <c r="B334" s="339"/>
      <c r="C334" s="340"/>
      <c r="D334" s="341"/>
      <c r="E334" s="340"/>
      <c r="F334" s="341"/>
      <c r="G334" s="342"/>
      <c r="H334" s="342"/>
      <c r="I334" s="343"/>
      <c r="J334" s="344"/>
      <c r="K334" s="345"/>
      <c r="L334" s="346" t="str">
        <f t="shared" si="21"/>
        <v/>
      </c>
      <c r="M334" s="78"/>
      <c r="N334" s="78"/>
      <c r="O334" s="78"/>
      <c r="P334" s="78"/>
      <c r="Q334" s="78"/>
      <c r="R334" s="36">
        <f t="shared" si="20"/>
        <v>28348.636155563392</v>
      </c>
      <c r="S334" s="37" t="str">
        <f t="shared" si="16"/>
        <v/>
      </c>
      <c r="T334" s="37"/>
      <c r="X334" s="39" t="str">
        <f t="shared" si="22"/>
        <v/>
      </c>
      <c r="Y334" s="42" t="str">
        <f t="shared" si="23"/>
        <v/>
      </c>
    </row>
    <row r="335" spans="1:25" ht="14.5">
      <c r="A335" s="338"/>
      <c r="B335" s="339"/>
      <c r="C335" s="340"/>
      <c r="D335" s="341"/>
      <c r="E335" s="340"/>
      <c r="F335" s="341"/>
      <c r="G335" s="342"/>
      <c r="H335" s="342"/>
      <c r="I335" s="343"/>
      <c r="J335" s="344"/>
      <c r="K335" s="345"/>
      <c r="L335" s="346" t="str">
        <f t="shared" si="21"/>
        <v/>
      </c>
      <c r="M335" s="78"/>
      <c r="N335" s="78"/>
      <c r="O335" s="78"/>
      <c r="P335" s="78"/>
      <c r="Q335" s="78"/>
      <c r="R335" s="36">
        <f t="shared" si="20"/>
        <v>28348.636155563392</v>
      </c>
      <c r="S335" s="37" t="str">
        <f t="shared" si="16"/>
        <v/>
      </c>
      <c r="T335" s="37"/>
      <c r="X335" s="39" t="str">
        <f t="shared" si="22"/>
        <v/>
      </c>
      <c r="Y335" s="42" t="str">
        <f t="shared" si="23"/>
        <v/>
      </c>
    </row>
    <row r="336" spans="1:25" ht="14.5">
      <c r="A336" s="47"/>
      <c r="B336" s="48"/>
      <c r="C336" s="49"/>
      <c r="D336" s="54"/>
      <c r="E336" s="49"/>
      <c r="F336" s="50"/>
      <c r="G336" s="51"/>
      <c r="H336" s="51"/>
      <c r="I336" s="52"/>
      <c r="J336" s="53"/>
      <c r="K336" s="54"/>
      <c r="L336" s="55" t="str">
        <f t="shared" si="21"/>
        <v/>
      </c>
      <c r="M336" s="78"/>
      <c r="N336" s="78"/>
      <c r="O336" s="78"/>
      <c r="P336" s="78"/>
      <c r="Q336" s="78"/>
      <c r="R336" s="36">
        <f t="shared" si="20"/>
        <v>28348.636155563392</v>
      </c>
      <c r="S336" s="37" t="str">
        <f t="shared" si="16"/>
        <v/>
      </c>
      <c r="T336" s="37"/>
      <c r="X336" s="39" t="str">
        <f t="shared" si="22"/>
        <v/>
      </c>
      <c r="Y336" s="42" t="str">
        <f t="shared" si="23"/>
        <v/>
      </c>
    </row>
    <row r="337" spans="1:25" ht="14.5">
      <c r="A337" s="47"/>
      <c r="B337" s="48"/>
      <c r="C337" s="49"/>
      <c r="D337" s="54"/>
      <c r="E337" s="49"/>
      <c r="F337" s="50"/>
      <c r="G337" s="51"/>
      <c r="H337" s="51"/>
      <c r="I337" s="52"/>
      <c r="J337" s="53"/>
      <c r="K337" s="54"/>
      <c r="L337" s="55" t="str">
        <f t="shared" si="21"/>
        <v/>
      </c>
      <c r="M337" s="78"/>
      <c r="N337" s="78"/>
      <c r="O337" s="78"/>
      <c r="P337" s="78"/>
      <c r="Q337" s="78"/>
      <c r="R337" s="36">
        <f t="shared" si="20"/>
        <v>28348.636155563392</v>
      </c>
      <c r="S337" s="37" t="str">
        <f t="shared" si="16"/>
        <v/>
      </c>
      <c r="T337" s="37"/>
      <c r="X337" s="39" t="str">
        <f t="shared" si="22"/>
        <v/>
      </c>
      <c r="Y337" s="42" t="str">
        <f t="shared" si="23"/>
        <v/>
      </c>
    </row>
    <row r="338" spans="1:25" ht="14.5">
      <c r="A338" s="201"/>
      <c r="B338" s="283"/>
      <c r="C338" s="203"/>
      <c r="D338" s="205"/>
      <c r="E338" s="203"/>
      <c r="F338" s="205"/>
      <c r="G338" s="206"/>
      <c r="H338" s="206"/>
      <c r="I338" s="207"/>
      <c r="J338" s="208"/>
      <c r="K338" s="204"/>
      <c r="L338" s="209" t="str">
        <f t="shared" si="21"/>
        <v/>
      </c>
      <c r="M338" s="78"/>
      <c r="N338" s="78"/>
      <c r="O338" s="78"/>
      <c r="P338" s="78"/>
      <c r="Q338" s="78"/>
      <c r="R338" s="36">
        <f t="shared" si="20"/>
        <v>28348.636155563392</v>
      </c>
      <c r="S338" s="37" t="str">
        <f t="shared" si="16"/>
        <v/>
      </c>
      <c r="T338" s="37"/>
      <c r="X338" s="39" t="str">
        <f t="shared" si="22"/>
        <v/>
      </c>
      <c r="Y338" s="42" t="str">
        <f t="shared" si="23"/>
        <v/>
      </c>
    </row>
    <row r="339" spans="1:25" ht="14.5">
      <c r="A339" s="201"/>
      <c r="B339" s="283"/>
      <c r="C339" s="203"/>
      <c r="D339" s="205"/>
      <c r="E339" s="203"/>
      <c r="F339" s="205"/>
      <c r="G339" s="206"/>
      <c r="H339" s="206"/>
      <c r="I339" s="207"/>
      <c r="J339" s="208"/>
      <c r="K339" s="204"/>
      <c r="L339" s="209" t="str">
        <f t="shared" si="21"/>
        <v/>
      </c>
      <c r="M339" s="78"/>
      <c r="N339" s="78"/>
      <c r="O339" s="78"/>
      <c r="P339" s="78"/>
      <c r="Q339" s="78"/>
      <c r="R339" s="36">
        <f t="shared" si="20"/>
        <v>28348.636155563392</v>
      </c>
      <c r="S339" s="37" t="str">
        <f t="shared" si="16"/>
        <v/>
      </c>
      <c r="T339" s="37"/>
      <c r="X339" s="39" t="str">
        <f t="shared" si="22"/>
        <v/>
      </c>
      <c r="Y339" s="42" t="str">
        <f t="shared" si="23"/>
        <v/>
      </c>
    </row>
    <row r="340" spans="1:25" ht="14.5">
      <c r="A340" s="347"/>
      <c r="B340" s="348"/>
      <c r="C340" s="349"/>
      <c r="D340" s="350"/>
      <c r="E340" s="349"/>
      <c r="F340" s="350"/>
      <c r="G340" s="351"/>
      <c r="H340" s="351"/>
      <c r="I340" s="352"/>
      <c r="J340" s="353"/>
      <c r="K340" s="354"/>
      <c r="L340" s="355" t="str">
        <f t="shared" si="21"/>
        <v/>
      </c>
      <c r="M340" s="383"/>
      <c r="N340" s="78"/>
      <c r="O340" s="78"/>
      <c r="P340" s="78"/>
      <c r="Q340" s="78"/>
      <c r="R340" s="36">
        <f t="shared" si="20"/>
        <v>28348.636155563392</v>
      </c>
      <c r="S340" s="37" t="str">
        <f t="shared" si="16"/>
        <v/>
      </c>
      <c r="T340" s="37"/>
      <c r="X340" s="39" t="str">
        <f t="shared" si="22"/>
        <v/>
      </c>
      <c r="Y340" s="42" t="str">
        <f t="shared" si="23"/>
        <v/>
      </c>
    </row>
    <row r="341" spans="1:25" ht="14.5">
      <c r="A341" s="356"/>
      <c r="B341" s="357"/>
      <c r="C341" s="358"/>
      <c r="D341" s="359"/>
      <c r="E341" s="358"/>
      <c r="F341" s="359"/>
      <c r="G341" s="360"/>
      <c r="H341" s="360"/>
      <c r="I341" s="361"/>
      <c r="J341" s="362"/>
      <c r="K341" s="363"/>
      <c r="L341" s="578" t="str">
        <f t="shared" si="21"/>
        <v/>
      </c>
      <c r="M341" s="364" t="s">
        <v>44</v>
      </c>
      <c r="N341" s="244"/>
      <c r="O341" s="78"/>
      <c r="P341" s="78"/>
      <c r="Q341" s="78"/>
      <c r="R341" s="36">
        <f t="shared" si="20"/>
        <v>28348.636155563392</v>
      </c>
      <c r="S341" s="37" t="str">
        <f t="shared" si="16"/>
        <v/>
      </c>
      <c r="T341" s="37"/>
      <c r="X341" s="39" t="str">
        <f t="shared" si="22"/>
        <v/>
      </c>
      <c r="Y341" s="42" t="str">
        <f t="shared" si="23"/>
        <v/>
      </c>
    </row>
    <row r="342" spans="1:25" ht="14.5">
      <c r="A342" s="201"/>
      <c r="B342" s="283"/>
      <c r="C342" s="203"/>
      <c r="D342" s="205"/>
      <c r="E342" s="203"/>
      <c r="F342" s="205"/>
      <c r="G342" s="206"/>
      <c r="H342" s="206"/>
      <c r="I342" s="207"/>
      <c r="J342" s="208"/>
      <c r="K342" s="204"/>
      <c r="L342" s="209" t="str">
        <f t="shared" si="21"/>
        <v/>
      </c>
      <c r="M342" s="365" t="s">
        <v>21</v>
      </c>
      <c r="N342" s="244"/>
      <c r="O342" s="78"/>
      <c r="P342" s="78"/>
      <c r="Q342" s="78"/>
      <c r="R342" s="36">
        <f t="shared" si="20"/>
        <v>28348.636155563392</v>
      </c>
      <c r="S342" s="37" t="str">
        <f t="shared" si="16"/>
        <v/>
      </c>
      <c r="T342" s="37"/>
      <c r="X342" s="39" t="str">
        <f t="shared" si="22"/>
        <v/>
      </c>
      <c r="Y342" s="42" t="str">
        <f t="shared" si="23"/>
        <v/>
      </c>
    </row>
    <row r="343" spans="1:25" ht="14.5">
      <c r="A343" s="201"/>
      <c r="B343" s="283"/>
      <c r="C343" s="203"/>
      <c r="D343" s="205"/>
      <c r="E343" s="203"/>
      <c r="F343" s="205"/>
      <c r="G343" s="206"/>
      <c r="H343" s="206"/>
      <c r="I343" s="207"/>
      <c r="J343" s="208"/>
      <c r="K343" s="204"/>
      <c r="L343" s="209" t="str">
        <f t="shared" si="21"/>
        <v/>
      </c>
      <c r="M343" s="366">
        <f>IFERROR(AVERAGE(L341:L377),0)</f>
        <v>0</v>
      </c>
      <c r="N343" s="244"/>
      <c r="O343" s="78"/>
      <c r="P343" s="78"/>
      <c r="Q343" s="78"/>
      <c r="R343" s="36">
        <f t="shared" si="20"/>
        <v>28348.636155563392</v>
      </c>
      <c r="S343" s="37" t="str">
        <f t="shared" si="16"/>
        <v/>
      </c>
      <c r="T343" s="37"/>
      <c r="X343" s="39" t="str">
        <f t="shared" si="22"/>
        <v/>
      </c>
      <c r="Y343" s="42" t="str">
        <f t="shared" si="23"/>
        <v/>
      </c>
    </row>
    <row r="344" spans="1:25" ht="14.5">
      <c r="A344" s="338"/>
      <c r="B344" s="339"/>
      <c r="C344" s="340"/>
      <c r="D344" s="341"/>
      <c r="E344" s="340"/>
      <c r="F344" s="341"/>
      <c r="G344" s="342"/>
      <c r="H344" s="342"/>
      <c r="I344" s="343"/>
      <c r="J344" s="344"/>
      <c r="K344" s="345"/>
      <c r="L344" s="346" t="str">
        <f t="shared" si="21"/>
        <v/>
      </c>
      <c r="M344" s="365" t="s">
        <v>24</v>
      </c>
      <c r="N344" s="244"/>
      <c r="O344" s="78"/>
      <c r="P344" s="78"/>
      <c r="Q344" s="78"/>
      <c r="R344" s="36">
        <f t="shared" si="20"/>
        <v>28348.636155563392</v>
      </c>
      <c r="S344" s="37" t="str">
        <f t="shared" si="16"/>
        <v/>
      </c>
      <c r="T344" s="37"/>
      <c r="X344" s="39" t="str">
        <f t="shared" si="22"/>
        <v/>
      </c>
      <c r="Y344" s="42" t="str">
        <f t="shared" si="23"/>
        <v/>
      </c>
    </row>
    <row r="345" spans="1:25" ht="14.5">
      <c r="A345" s="338"/>
      <c r="B345" s="339"/>
      <c r="C345" s="340"/>
      <c r="D345" s="341"/>
      <c r="E345" s="340"/>
      <c r="F345" s="341"/>
      <c r="G345" s="342"/>
      <c r="H345" s="342"/>
      <c r="I345" s="343"/>
      <c r="J345" s="344"/>
      <c r="K345" s="345"/>
      <c r="L345" s="346" t="str">
        <f t="shared" si="21"/>
        <v/>
      </c>
      <c r="M345" s="366">
        <f>SUM(I341:I377)</f>
        <v>0</v>
      </c>
      <c r="N345" s="244"/>
      <c r="O345" s="78"/>
      <c r="P345" s="78"/>
      <c r="Q345" s="78"/>
      <c r="R345" s="36">
        <f t="shared" si="20"/>
        <v>28348.636155563392</v>
      </c>
      <c r="S345" s="37" t="str">
        <f t="shared" si="16"/>
        <v/>
      </c>
      <c r="T345" s="37"/>
      <c r="X345" s="39" t="str">
        <f t="shared" si="22"/>
        <v/>
      </c>
      <c r="Y345" s="42" t="str">
        <f t="shared" si="23"/>
        <v/>
      </c>
    </row>
    <row r="346" spans="1:25" ht="14.5">
      <c r="A346" s="201"/>
      <c r="B346" s="283"/>
      <c r="C346" s="203"/>
      <c r="D346" s="205"/>
      <c r="E346" s="203"/>
      <c r="F346" s="205"/>
      <c r="G346" s="206"/>
      <c r="H346" s="206"/>
      <c r="I346" s="207"/>
      <c r="J346" s="208"/>
      <c r="K346" s="204"/>
      <c r="L346" s="209" t="str">
        <f t="shared" si="21"/>
        <v/>
      </c>
      <c r="M346" s="365" t="s">
        <v>27</v>
      </c>
      <c r="N346" s="244"/>
      <c r="O346" s="78"/>
      <c r="P346" s="78"/>
      <c r="Q346" s="78"/>
      <c r="R346" s="36">
        <f t="shared" si="20"/>
        <v>28348.636155563392</v>
      </c>
      <c r="S346" s="37" t="str">
        <f t="shared" si="16"/>
        <v/>
      </c>
      <c r="T346" s="37"/>
      <c r="X346" s="39" t="str">
        <f t="shared" si="22"/>
        <v/>
      </c>
      <c r="Y346" s="42" t="str">
        <f t="shared" si="23"/>
        <v/>
      </c>
    </row>
    <row r="347" spans="1:25" ht="14.5">
      <c r="A347" s="201"/>
      <c r="B347" s="283"/>
      <c r="C347" s="203"/>
      <c r="D347" s="205"/>
      <c r="E347" s="203"/>
      <c r="F347" s="205"/>
      <c r="G347" s="206"/>
      <c r="H347" s="206"/>
      <c r="I347" s="207"/>
      <c r="J347" s="208"/>
      <c r="K347" s="204"/>
      <c r="L347" s="209" t="str">
        <f t="shared" si="21"/>
        <v/>
      </c>
      <c r="M347" s="367">
        <f>SUM(J341:J377)/100</f>
        <v>0</v>
      </c>
      <c r="N347" s="244"/>
      <c r="O347" s="78"/>
      <c r="P347" s="78"/>
      <c r="Q347" s="78"/>
      <c r="R347" s="36">
        <f t="shared" si="20"/>
        <v>28348.636155563392</v>
      </c>
      <c r="S347" s="37" t="str">
        <f t="shared" si="16"/>
        <v/>
      </c>
      <c r="T347" s="37"/>
      <c r="X347" s="39" t="str">
        <f t="shared" si="22"/>
        <v/>
      </c>
      <c r="Y347" s="42" t="str">
        <f t="shared" si="23"/>
        <v/>
      </c>
    </row>
    <row r="348" spans="1:25" ht="14.5">
      <c r="A348" s="201"/>
      <c r="B348" s="283"/>
      <c r="C348" s="203"/>
      <c r="D348" s="205"/>
      <c r="E348" s="203"/>
      <c r="F348" s="205"/>
      <c r="G348" s="206"/>
      <c r="H348" s="206"/>
      <c r="I348" s="207"/>
      <c r="J348" s="208"/>
      <c r="K348" s="204"/>
      <c r="L348" s="209" t="str">
        <f t="shared" si="21"/>
        <v/>
      </c>
      <c r="M348" s="319"/>
      <c r="N348" s="78"/>
      <c r="O348" s="78"/>
      <c r="P348" s="78"/>
      <c r="Q348" s="78"/>
      <c r="R348" s="36">
        <f t="shared" si="20"/>
        <v>28348.636155563392</v>
      </c>
      <c r="S348" s="37" t="str">
        <f t="shared" si="16"/>
        <v/>
      </c>
      <c r="T348" s="37"/>
      <c r="X348" s="39" t="str">
        <f t="shared" si="22"/>
        <v/>
      </c>
      <c r="Y348" s="42" t="str">
        <f t="shared" si="23"/>
        <v/>
      </c>
    </row>
    <row r="349" spans="1:25" ht="14.5">
      <c r="A349" s="201"/>
      <c r="B349" s="368"/>
      <c r="C349" s="203"/>
      <c r="D349" s="205"/>
      <c r="E349" s="203"/>
      <c r="F349" s="205"/>
      <c r="G349" s="206"/>
      <c r="H349" s="206"/>
      <c r="I349" s="207"/>
      <c r="J349" s="208"/>
      <c r="K349" s="204"/>
      <c r="L349" s="209" t="str">
        <f t="shared" si="21"/>
        <v/>
      </c>
      <c r="M349" s="388"/>
      <c r="N349" s="244"/>
      <c r="O349" s="78"/>
      <c r="P349" s="78"/>
      <c r="Q349" s="78"/>
      <c r="R349" s="36">
        <f t="shared" si="20"/>
        <v>28348.636155563392</v>
      </c>
      <c r="S349" s="37" t="str">
        <f t="shared" si="16"/>
        <v/>
      </c>
      <c r="T349" s="37"/>
      <c r="X349" s="39" t="str">
        <f t="shared" si="22"/>
        <v/>
      </c>
      <c r="Y349" s="42" t="str">
        <f t="shared" si="23"/>
        <v/>
      </c>
    </row>
    <row r="350" spans="1:25" ht="14.5">
      <c r="A350" s="79"/>
      <c r="B350" s="369"/>
      <c r="C350" s="81"/>
      <c r="D350" s="83"/>
      <c r="E350" s="81"/>
      <c r="F350" s="83"/>
      <c r="G350" s="84"/>
      <c r="H350" s="84"/>
      <c r="I350" s="85"/>
      <c r="J350" s="86"/>
      <c r="K350" s="82"/>
      <c r="L350" s="337" t="str">
        <f t="shared" si="21"/>
        <v/>
      </c>
      <c r="M350" s="388"/>
      <c r="N350" s="244"/>
      <c r="O350" s="78"/>
      <c r="P350" s="78"/>
      <c r="Q350" s="78"/>
      <c r="R350" s="36">
        <f t="shared" si="20"/>
        <v>28348.636155563392</v>
      </c>
      <c r="S350" s="37" t="str">
        <f t="shared" si="16"/>
        <v/>
      </c>
      <c r="T350" s="37"/>
      <c r="X350" s="39" t="str">
        <f t="shared" si="22"/>
        <v/>
      </c>
      <c r="Y350" s="42" t="str">
        <f t="shared" si="23"/>
        <v/>
      </c>
    </row>
    <row r="351" spans="1:25" ht="14.5">
      <c r="A351" s="79"/>
      <c r="B351" s="369"/>
      <c r="C351" s="81"/>
      <c r="D351" s="83"/>
      <c r="E351" s="81"/>
      <c r="F351" s="83"/>
      <c r="G351" s="84"/>
      <c r="H351" s="84"/>
      <c r="I351" s="85"/>
      <c r="J351" s="86"/>
      <c r="K351" s="82"/>
      <c r="L351" s="337" t="str">
        <f t="shared" si="21"/>
        <v/>
      </c>
      <c r="M351" s="388"/>
      <c r="N351" s="244"/>
      <c r="O351" s="78"/>
      <c r="P351" s="78"/>
      <c r="Q351" s="78"/>
      <c r="R351" s="36">
        <f t="shared" si="20"/>
        <v>28348.636155563392</v>
      </c>
      <c r="S351" s="37" t="str">
        <f t="shared" si="16"/>
        <v/>
      </c>
      <c r="T351" s="37"/>
      <c r="X351" s="39" t="str">
        <f t="shared" si="22"/>
        <v/>
      </c>
      <c r="Y351" s="42" t="str">
        <f t="shared" si="23"/>
        <v/>
      </c>
    </row>
    <row r="352" spans="1:25" ht="14.5">
      <c r="A352" s="201"/>
      <c r="B352" s="368"/>
      <c r="C352" s="203"/>
      <c r="D352" s="205"/>
      <c r="E352" s="203"/>
      <c r="F352" s="205"/>
      <c r="G352" s="206"/>
      <c r="H352" s="206"/>
      <c r="I352" s="207"/>
      <c r="J352" s="208"/>
      <c r="K352" s="204"/>
      <c r="L352" s="209" t="str">
        <f t="shared" si="21"/>
        <v/>
      </c>
      <c r="M352" s="388"/>
      <c r="N352" s="244"/>
      <c r="O352" s="78"/>
      <c r="P352" s="78"/>
      <c r="Q352" s="78"/>
      <c r="R352" s="36">
        <f t="shared" si="20"/>
        <v>28348.636155563392</v>
      </c>
      <c r="S352" s="37" t="str">
        <f t="shared" si="16"/>
        <v/>
      </c>
      <c r="T352" s="37"/>
      <c r="X352" s="39" t="str">
        <f t="shared" si="22"/>
        <v/>
      </c>
      <c r="Y352" s="42" t="str">
        <f t="shared" si="23"/>
        <v/>
      </c>
    </row>
    <row r="353" spans="1:25" ht="14.5">
      <c r="A353" s="201"/>
      <c r="B353" s="368"/>
      <c r="C353" s="203"/>
      <c r="D353" s="205"/>
      <c r="E353" s="203"/>
      <c r="F353" s="205"/>
      <c r="G353" s="206"/>
      <c r="H353" s="206"/>
      <c r="I353" s="207"/>
      <c r="J353" s="208"/>
      <c r="K353" s="204"/>
      <c r="L353" s="209" t="str">
        <f t="shared" si="21"/>
        <v/>
      </c>
      <c r="M353" s="388"/>
      <c r="N353" s="244"/>
      <c r="O353" s="78"/>
      <c r="P353" s="78"/>
      <c r="Q353" s="78"/>
      <c r="R353" s="36">
        <f t="shared" si="20"/>
        <v>28348.636155563392</v>
      </c>
      <c r="S353" s="37" t="str">
        <f t="shared" si="16"/>
        <v/>
      </c>
      <c r="T353" s="37"/>
      <c r="X353" s="39" t="str">
        <f t="shared" si="22"/>
        <v/>
      </c>
      <c r="Y353" s="42" t="str">
        <f t="shared" si="23"/>
        <v/>
      </c>
    </row>
    <row r="354" spans="1:25" ht="14.5">
      <c r="A354" s="201"/>
      <c r="B354" s="368"/>
      <c r="C354" s="203"/>
      <c r="D354" s="205"/>
      <c r="E354" s="203"/>
      <c r="F354" s="205"/>
      <c r="G354" s="206"/>
      <c r="H354" s="206"/>
      <c r="I354" s="207"/>
      <c r="J354" s="208"/>
      <c r="K354" s="204"/>
      <c r="L354" s="209" t="str">
        <f t="shared" si="21"/>
        <v/>
      </c>
      <c r="M354" s="388"/>
      <c r="N354" s="244"/>
      <c r="O354" s="78"/>
      <c r="P354" s="78"/>
      <c r="Q354" s="78"/>
      <c r="R354" s="36">
        <f t="shared" ref="R354:R417" si="24">R353*((J354/100)+1)</f>
        <v>28348.636155563392</v>
      </c>
      <c r="S354" s="37" t="str">
        <f t="shared" si="16"/>
        <v/>
      </c>
      <c r="T354" s="37"/>
      <c r="X354" s="39" t="str">
        <f t="shared" si="22"/>
        <v/>
      </c>
      <c r="Y354" s="42" t="str">
        <f t="shared" si="23"/>
        <v/>
      </c>
    </row>
    <row r="355" spans="1:25" ht="14.5">
      <c r="A355" s="201"/>
      <c r="B355" s="368"/>
      <c r="C355" s="203"/>
      <c r="D355" s="205"/>
      <c r="E355" s="203"/>
      <c r="F355" s="205"/>
      <c r="G355" s="206"/>
      <c r="H355" s="206"/>
      <c r="I355" s="207"/>
      <c r="J355" s="208"/>
      <c r="K355" s="204"/>
      <c r="L355" s="209" t="str">
        <f t="shared" si="21"/>
        <v/>
      </c>
      <c r="M355" s="388"/>
      <c r="N355" s="244"/>
      <c r="O355" s="78"/>
      <c r="P355" s="78"/>
      <c r="Q355" s="78"/>
      <c r="R355" s="36">
        <f t="shared" si="24"/>
        <v>28348.636155563392</v>
      </c>
      <c r="S355" s="37" t="str">
        <f t="shared" si="16"/>
        <v/>
      </c>
      <c r="T355" s="37"/>
      <c r="X355" s="39" t="str">
        <f t="shared" si="22"/>
        <v/>
      </c>
      <c r="Y355" s="42" t="str">
        <f t="shared" si="23"/>
        <v/>
      </c>
    </row>
    <row r="356" spans="1:25" ht="14.5">
      <c r="A356" s="127"/>
      <c r="B356" s="370"/>
      <c r="C356" s="129"/>
      <c r="D356" s="130"/>
      <c r="E356" s="129"/>
      <c r="F356" s="130"/>
      <c r="G356" s="131"/>
      <c r="H356" s="131"/>
      <c r="I356" s="132"/>
      <c r="J356" s="133"/>
      <c r="K356" s="134"/>
      <c r="L356" s="135" t="str">
        <f t="shared" si="21"/>
        <v/>
      </c>
      <c r="M356" s="388"/>
      <c r="N356" s="78"/>
      <c r="O356" s="78"/>
      <c r="P356" s="78"/>
      <c r="Q356" s="78"/>
      <c r="R356" s="36">
        <f t="shared" si="24"/>
        <v>28348.636155563392</v>
      </c>
      <c r="S356" s="37" t="str">
        <f t="shared" si="16"/>
        <v/>
      </c>
      <c r="T356" s="37"/>
      <c r="X356" s="39" t="str">
        <f t="shared" si="22"/>
        <v/>
      </c>
      <c r="Y356" s="42" t="str">
        <f t="shared" si="23"/>
        <v/>
      </c>
    </row>
    <row r="357" spans="1:25" ht="14.5">
      <c r="A357" s="127"/>
      <c r="B357" s="370"/>
      <c r="C357" s="129"/>
      <c r="D357" s="130"/>
      <c r="E357" s="129"/>
      <c r="F357" s="130"/>
      <c r="G357" s="131"/>
      <c r="H357" s="131"/>
      <c r="I357" s="132"/>
      <c r="J357" s="133"/>
      <c r="K357" s="134"/>
      <c r="L357" s="135" t="str">
        <f t="shared" si="21"/>
        <v/>
      </c>
      <c r="M357" s="78"/>
      <c r="N357" s="78"/>
      <c r="O357" s="78"/>
      <c r="P357" s="78"/>
      <c r="Q357" s="78"/>
      <c r="R357" s="36">
        <f t="shared" si="24"/>
        <v>28348.636155563392</v>
      </c>
      <c r="S357" s="37" t="str">
        <f t="shared" si="16"/>
        <v/>
      </c>
      <c r="T357" s="37"/>
      <c r="X357" s="39" t="str">
        <f t="shared" si="22"/>
        <v/>
      </c>
      <c r="Y357" s="42" t="str">
        <f t="shared" si="23"/>
        <v/>
      </c>
    </row>
    <row r="358" spans="1:25" ht="14.5">
      <c r="A358" s="127"/>
      <c r="B358" s="370"/>
      <c r="C358" s="129"/>
      <c r="D358" s="130"/>
      <c r="E358" s="129"/>
      <c r="F358" s="130"/>
      <c r="G358" s="131"/>
      <c r="H358" s="131"/>
      <c r="I358" s="132"/>
      <c r="J358" s="133"/>
      <c r="K358" s="134"/>
      <c r="L358" s="135" t="str">
        <f t="shared" si="21"/>
        <v/>
      </c>
      <c r="M358" s="78"/>
      <c r="N358" s="78"/>
      <c r="O358" s="78"/>
      <c r="P358" s="78"/>
      <c r="Q358" s="78"/>
      <c r="R358" s="36">
        <f t="shared" si="24"/>
        <v>28348.636155563392</v>
      </c>
      <c r="S358" s="37" t="str">
        <f t="shared" si="16"/>
        <v/>
      </c>
      <c r="T358" s="37"/>
      <c r="X358" s="39" t="str">
        <f t="shared" si="22"/>
        <v/>
      </c>
      <c r="Y358" s="42" t="str">
        <f t="shared" si="23"/>
        <v/>
      </c>
    </row>
    <row r="359" spans="1:25" ht="14.5">
      <c r="A359" s="579"/>
      <c r="B359" s="580"/>
      <c r="C359" s="581"/>
      <c r="D359" s="582"/>
      <c r="E359" s="583"/>
      <c r="F359" s="582"/>
      <c r="G359" s="584"/>
      <c r="H359" s="584"/>
      <c r="I359" s="585"/>
      <c r="J359" s="586"/>
      <c r="K359" s="581"/>
      <c r="L359" s="371" t="str">
        <f t="shared" si="21"/>
        <v/>
      </c>
      <c r="M359" s="78"/>
      <c r="N359" s="78"/>
      <c r="O359" s="78"/>
      <c r="P359" s="78"/>
      <c r="Q359" s="78"/>
      <c r="R359" s="36">
        <f t="shared" si="24"/>
        <v>28348.636155563392</v>
      </c>
      <c r="S359" s="37" t="str">
        <f t="shared" si="16"/>
        <v/>
      </c>
      <c r="T359" s="37"/>
      <c r="X359" s="39" t="str">
        <f t="shared" si="22"/>
        <v/>
      </c>
      <c r="Y359" s="42" t="str">
        <f t="shared" si="23"/>
        <v/>
      </c>
    </row>
    <row r="360" spans="1:25" ht="14.5">
      <c r="A360" s="579"/>
      <c r="B360" s="580"/>
      <c r="C360" s="581"/>
      <c r="D360" s="582"/>
      <c r="E360" s="587"/>
      <c r="F360" s="582"/>
      <c r="G360" s="584"/>
      <c r="H360" s="584"/>
      <c r="I360" s="585"/>
      <c r="J360" s="586"/>
      <c r="K360" s="581"/>
      <c r="L360" s="585" t="str">
        <f t="shared" si="21"/>
        <v/>
      </c>
      <c r="M360" s="78"/>
      <c r="N360" s="78"/>
      <c r="O360" s="78"/>
      <c r="P360" s="78"/>
      <c r="Q360" s="78"/>
      <c r="R360" s="36">
        <f t="shared" si="24"/>
        <v>28348.636155563392</v>
      </c>
      <c r="S360" s="37" t="str">
        <f t="shared" si="16"/>
        <v/>
      </c>
      <c r="T360" s="37"/>
      <c r="X360" s="39" t="str">
        <f t="shared" si="22"/>
        <v/>
      </c>
      <c r="Y360" s="42" t="str">
        <f t="shared" si="23"/>
        <v/>
      </c>
    </row>
    <row r="361" spans="1:25" ht="14.5">
      <c r="A361" s="165"/>
      <c r="B361" s="372"/>
      <c r="C361" s="167"/>
      <c r="D361" s="169"/>
      <c r="E361" s="167"/>
      <c r="F361" s="169"/>
      <c r="G361" s="170"/>
      <c r="H361" s="170"/>
      <c r="I361" s="171"/>
      <c r="J361" s="172"/>
      <c r="K361" s="168"/>
      <c r="L361" s="273" t="str">
        <f t="shared" si="21"/>
        <v/>
      </c>
      <c r="M361" s="78"/>
      <c r="N361" s="78"/>
      <c r="O361" s="78"/>
      <c r="P361" s="78"/>
      <c r="Q361" s="78"/>
      <c r="R361" s="36">
        <f t="shared" si="24"/>
        <v>28348.636155563392</v>
      </c>
      <c r="S361" s="37" t="str">
        <f t="shared" si="16"/>
        <v/>
      </c>
      <c r="T361" s="37"/>
      <c r="X361" s="39" t="str">
        <f t="shared" si="22"/>
        <v/>
      </c>
      <c r="Y361" s="42" t="str">
        <f t="shared" si="23"/>
        <v/>
      </c>
    </row>
    <row r="362" spans="1:25" ht="14.5">
      <c r="A362" s="165"/>
      <c r="B362" s="372"/>
      <c r="C362" s="167"/>
      <c r="D362" s="169"/>
      <c r="E362" s="167"/>
      <c r="F362" s="169"/>
      <c r="G362" s="170"/>
      <c r="H362" s="170"/>
      <c r="I362" s="171"/>
      <c r="J362" s="172"/>
      <c r="K362" s="168"/>
      <c r="L362" s="273" t="str">
        <f t="shared" si="21"/>
        <v/>
      </c>
      <c r="M362" s="78"/>
      <c r="N362" s="78"/>
      <c r="O362" s="78"/>
      <c r="P362" s="78"/>
      <c r="Q362" s="78"/>
      <c r="R362" s="36">
        <f t="shared" si="24"/>
        <v>28348.636155563392</v>
      </c>
      <c r="S362" s="37" t="str">
        <f t="shared" si="16"/>
        <v/>
      </c>
      <c r="T362" s="37"/>
      <c r="X362" s="39" t="str">
        <f t="shared" si="22"/>
        <v/>
      </c>
      <c r="Y362" s="42" t="str">
        <f t="shared" si="23"/>
        <v/>
      </c>
    </row>
    <row r="363" spans="1:25" ht="14.5">
      <c r="A363" s="47"/>
      <c r="B363" s="301"/>
      <c r="C363" s="49"/>
      <c r="D363" s="50"/>
      <c r="E363" s="49"/>
      <c r="F363" s="50"/>
      <c r="G363" s="51"/>
      <c r="H363" s="51"/>
      <c r="I363" s="52"/>
      <c r="J363" s="53"/>
      <c r="K363" s="54"/>
      <c r="L363" s="55" t="str">
        <f t="shared" si="21"/>
        <v/>
      </c>
      <c r="M363" s="78"/>
      <c r="N363" s="78"/>
      <c r="O363" s="78"/>
      <c r="P363" s="78"/>
      <c r="Q363" s="78"/>
      <c r="R363" s="36">
        <f t="shared" si="24"/>
        <v>28348.636155563392</v>
      </c>
      <c r="S363" s="37" t="str">
        <f t="shared" si="16"/>
        <v/>
      </c>
      <c r="T363" s="37"/>
      <c r="X363" s="39" t="str">
        <f t="shared" si="22"/>
        <v/>
      </c>
      <c r="Y363" s="42" t="str">
        <f t="shared" si="23"/>
        <v/>
      </c>
    </row>
    <row r="364" spans="1:25" ht="14.5">
      <c r="A364" s="47"/>
      <c r="B364" s="301"/>
      <c r="C364" s="49"/>
      <c r="D364" s="50"/>
      <c r="E364" s="49"/>
      <c r="F364" s="50"/>
      <c r="G364" s="51"/>
      <c r="H364" s="51"/>
      <c r="I364" s="52"/>
      <c r="J364" s="53"/>
      <c r="K364" s="54"/>
      <c r="L364" s="55" t="str">
        <f t="shared" si="21"/>
        <v/>
      </c>
      <c r="M364" s="78"/>
      <c r="N364" s="78"/>
      <c r="O364" s="78"/>
      <c r="P364" s="78"/>
      <c r="Q364" s="78"/>
      <c r="R364" s="36">
        <f t="shared" si="24"/>
        <v>28348.636155563392</v>
      </c>
      <c r="S364" s="37" t="str">
        <f t="shared" si="16"/>
        <v/>
      </c>
      <c r="T364" s="37"/>
      <c r="X364" s="39" t="str">
        <f t="shared" si="22"/>
        <v/>
      </c>
      <c r="Y364" s="42" t="str">
        <f t="shared" si="23"/>
        <v/>
      </c>
    </row>
    <row r="365" spans="1:25" ht="14.5">
      <c r="A365" s="165"/>
      <c r="B365" s="372"/>
      <c r="C365" s="167"/>
      <c r="D365" s="169"/>
      <c r="E365" s="167"/>
      <c r="F365" s="169"/>
      <c r="G365" s="170"/>
      <c r="H365" s="170"/>
      <c r="I365" s="171"/>
      <c r="J365" s="172"/>
      <c r="K365" s="168"/>
      <c r="L365" s="273" t="str">
        <f t="shared" ref="L365:L428" si="25">IF(B365="Compra",F365*G365,"")</f>
        <v/>
      </c>
      <c r="M365" s="78"/>
      <c r="N365" s="78"/>
      <c r="O365" s="78"/>
      <c r="P365" s="78"/>
      <c r="Q365" s="78"/>
      <c r="R365" s="36">
        <f t="shared" si="24"/>
        <v>28348.636155563392</v>
      </c>
      <c r="S365" s="37" t="str">
        <f t="shared" si="16"/>
        <v/>
      </c>
      <c r="T365" s="37"/>
      <c r="X365" s="39" t="str">
        <f t="shared" si="22"/>
        <v/>
      </c>
      <c r="Y365" s="42" t="str">
        <f t="shared" si="23"/>
        <v/>
      </c>
    </row>
    <row r="366" spans="1:25" ht="14.5">
      <c r="A366" s="165"/>
      <c r="B366" s="372"/>
      <c r="C366" s="167"/>
      <c r="D366" s="169"/>
      <c r="E366" s="167"/>
      <c r="F366" s="169"/>
      <c r="G366" s="170"/>
      <c r="H366" s="170"/>
      <c r="I366" s="171"/>
      <c r="J366" s="172"/>
      <c r="K366" s="168"/>
      <c r="L366" s="273" t="str">
        <f t="shared" si="25"/>
        <v/>
      </c>
      <c r="M366" s="78"/>
      <c r="N366" s="78"/>
      <c r="O366" s="78"/>
      <c r="P366" s="78"/>
      <c r="Q366" s="78"/>
      <c r="R366" s="36">
        <f t="shared" si="24"/>
        <v>28348.636155563392</v>
      </c>
      <c r="S366" s="37" t="str">
        <f t="shared" si="16"/>
        <v/>
      </c>
      <c r="T366" s="37"/>
      <c r="X366" s="39" t="str">
        <f t="shared" si="22"/>
        <v/>
      </c>
      <c r="Y366" s="42" t="str">
        <f t="shared" si="23"/>
        <v/>
      </c>
    </row>
    <row r="367" spans="1:25" ht="14.5">
      <c r="A367" s="165"/>
      <c r="B367" s="372"/>
      <c r="C367" s="167"/>
      <c r="D367" s="169"/>
      <c r="E367" s="167"/>
      <c r="F367" s="169"/>
      <c r="G367" s="170"/>
      <c r="H367" s="170"/>
      <c r="I367" s="171"/>
      <c r="J367" s="172"/>
      <c r="K367" s="168"/>
      <c r="L367" s="273" t="str">
        <f t="shared" si="25"/>
        <v/>
      </c>
      <c r="M367" s="78"/>
      <c r="N367" s="78"/>
      <c r="O367" s="78"/>
      <c r="P367" s="78"/>
      <c r="Q367" s="78"/>
      <c r="R367" s="36">
        <f t="shared" si="24"/>
        <v>28348.636155563392</v>
      </c>
      <c r="S367" s="37" t="str">
        <f t="shared" si="16"/>
        <v/>
      </c>
      <c r="T367" s="37"/>
      <c r="X367" s="39" t="str">
        <f t="shared" si="22"/>
        <v/>
      </c>
      <c r="Y367" s="42" t="str">
        <f t="shared" si="23"/>
        <v/>
      </c>
    </row>
    <row r="368" spans="1:25" ht="14.5">
      <c r="A368" s="579"/>
      <c r="B368" s="580"/>
      <c r="C368" s="581"/>
      <c r="D368" s="582"/>
      <c r="E368" s="583"/>
      <c r="F368" s="582"/>
      <c r="G368" s="584"/>
      <c r="H368" s="584"/>
      <c r="I368" s="585"/>
      <c r="J368" s="586"/>
      <c r="K368" s="581"/>
      <c r="L368" s="371" t="str">
        <f t="shared" si="25"/>
        <v/>
      </c>
      <c r="M368" s="78"/>
      <c r="N368" s="78"/>
      <c r="O368" s="78"/>
      <c r="P368" s="78"/>
      <c r="Q368" s="78"/>
      <c r="R368" s="36">
        <f t="shared" si="24"/>
        <v>28348.636155563392</v>
      </c>
      <c r="S368" s="37" t="str">
        <f t="shared" si="16"/>
        <v/>
      </c>
      <c r="T368" s="37"/>
      <c r="X368" s="39" t="str">
        <f t="shared" si="22"/>
        <v/>
      </c>
      <c r="Y368" s="42" t="str">
        <f t="shared" si="23"/>
        <v/>
      </c>
    </row>
    <row r="369" spans="1:25" ht="14.5">
      <c r="A369" s="579"/>
      <c r="B369" s="580"/>
      <c r="C369" s="581"/>
      <c r="D369" s="582"/>
      <c r="E369" s="587"/>
      <c r="F369" s="582"/>
      <c r="G369" s="584"/>
      <c r="H369" s="584"/>
      <c r="I369" s="585"/>
      <c r="J369" s="586"/>
      <c r="K369" s="581"/>
      <c r="L369" s="585" t="str">
        <f t="shared" si="25"/>
        <v/>
      </c>
      <c r="M369" s="78"/>
      <c r="N369" s="78"/>
      <c r="O369" s="78"/>
      <c r="P369" s="78"/>
      <c r="Q369" s="78"/>
      <c r="R369" s="36">
        <f t="shared" si="24"/>
        <v>28348.636155563392</v>
      </c>
      <c r="S369" s="37" t="str">
        <f t="shared" si="16"/>
        <v/>
      </c>
      <c r="T369" s="37"/>
      <c r="X369" s="39" t="str">
        <f t="shared" si="22"/>
        <v/>
      </c>
      <c r="Y369" s="42" t="str">
        <f t="shared" si="23"/>
        <v/>
      </c>
    </row>
    <row r="370" spans="1:25" ht="14.5">
      <c r="A370" s="579"/>
      <c r="B370" s="580"/>
      <c r="C370" s="581"/>
      <c r="D370" s="582"/>
      <c r="E370" s="587"/>
      <c r="F370" s="582"/>
      <c r="G370" s="584"/>
      <c r="H370" s="584"/>
      <c r="I370" s="585"/>
      <c r="J370" s="586"/>
      <c r="K370" s="581"/>
      <c r="L370" s="585" t="str">
        <f t="shared" si="25"/>
        <v/>
      </c>
      <c r="M370" s="78"/>
      <c r="N370" s="78"/>
      <c r="O370" s="78"/>
      <c r="P370" s="78"/>
      <c r="Q370" s="78"/>
      <c r="R370" s="36">
        <f t="shared" si="24"/>
        <v>28348.636155563392</v>
      </c>
      <c r="S370" s="37" t="str">
        <f t="shared" si="16"/>
        <v/>
      </c>
      <c r="T370" s="37"/>
      <c r="X370" s="39" t="str">
        <f t="shared" si="22"/>
        <v/>
      </c>
      <c r="Y370" s="42" t="str">
        <f t="shared" si="23"/>
        <v/>
      </c>
    </row>
    <row r="371" spans="1:25" ht="14.5">
      <c r="A371" s="165"/>
      <c r="B371" s="372"/>
      <c r="C371" s="167"/>
      <c r="D371" s="169"/>
      <c r="E371" s="167"/>
      <c r="F371" s="169"/>
      <c r="G371" s="170"/>
      <c r="H371" s="170"/>
      <c r="I371" s="171"/>
      <c r="J371" s="172"/>
      <c r="K371" s="168"/>
      <c r="L371" s="273" t="str">
        <f t="shared" si="25"/>
        <v/>
      </c>
      <c r="M371" s="78"/>
      <c r="N371" s="78"/>
      <c r="O371" s="78"/>
      <c r="P371" s="78"/>
      <c r="Q371" s="78"/>
      <c r="R371" s="36">
        <f t="shared" si="24"/>
        <v>28348.636155563392</v>
      </c>
      <c r="S371" s="37" t="str">
        <f t="shared" si="16"/>
        <v/>
      </c>
      <c r="T371" s="37"/>
      <c r="X371" s="39" t="str">
        <f t="shared" si="22"/>
        <v/>
      </c>
      <c r="Y371" s="42" t="str">
        <f t="shared" si="23"/>
        <v/>
      </c>
    </row>
    <row r="372" spans="1:25" ht="14.5">
      <c r="A372" s="165"/>
      <c r="B372" s="372"/>
      <c r="C372" s="167"/>
      <c r="D372" s="169"/>
      <c r="E372" s="167"/>
      <c r="F372" s="169"/>
      <c r="G372" s="170"/>
      <c r="H372" s="170"/>
      <c r="I372" s="171"/>
      <c r="J372" s="172"/>
      <c r="K372" s="168"/>
      <c r="L372" s="273" t="str">
        <f t="shared" si="25"/>
        <v/>
      </c>
      <c r="M372" s="78"/>
      <c r="N372" s="78"/>
      <c r="O372" s="78"/>
      <c r="P372" s="78"/>
      <c r="Q372" s="78"/>
      <c r="R372" s="36">
        <f t="shared" si="24"/>
        <v>28348.636155563392</v>
      </c>
      <c r="S372" s="37" t="str">
        <f t="shared" si="16"/>
        <v/>
      </c>
      <c r="T372" s="37"/>
      <c r="X372" s="39" t="str">
        <f t="shared" si="22"/>
        <v/>
      </c>
      <c r="Y372" s="42" t="str">
        <f t="shared" si="23"/>
        <v/>
      </c>
    </row>
    <row r="373" spans="1:25" ht="14.5">
      <c r="A373" s="192"/>
      <c r="B373" s="373"/>
      <c r="C373" s="194"/>
      <c r="D373" s="196"/>
      <c r="E373" s="194"/>
      <c r="F373" s="196"/>
      <c r="G373" s="197"/>
      <c r="H373" s="197"/>
      <c r="I373" s="198"/>
      <c r="J373" s="199"/>
      <c r="K373" s="195"/>
      <c r="L373" s="200" t="str">
        <f t="shared" si="25"/>
        <v/>
      </c>
      <c r="M373" s="78"/>
      <c r="N373" s="78"/>
      <c r="O373" s="78"/>
      <c r="P373" s="78"/>
      <c r="Q373" s="78"/>
      <c r="R373" s="36">
        <f t="shared" si="24"/>
        <v>28348.636155563392</v>
      </c>
      <c r="S373" s="37" t="str">
        <f t="shared" si="16"/>
        <v/>
      </c>
      <c r="T373" s="37"/>
      <c r="X373" s="39" t="str">
        <f t="shared" si="22"/>
        <v/>
      </c>
      <c r="Y373" s="42" t="str">
        <f t="shared" si="23"/>
        <v/>
      </c>
    </row>
    <row r="374" spans="1:25" ht="14.5">
      <c r="A374" s="192"/>
      <c r="B374" s="373"/>
      <c r="C374" s="194"/>
      <c r="D374" s="196"/>
      <c r="E374" s="194"/>
      <c r="F374" s="196"/>
      <c r="G374" s="197"/>
      <c r="H374" s="197"/>
      <c r="I374" s="198"/>
      <c r="J374" s="199"/>
      <c r="K374" s="195"/>
      <c r="L374" s="200" t="str">
        <f t="shared" si="25"/>
        <v/>
      </c>
      <c r="M374" s="78"/>
      <c r="N374" s="78"/>
      <c r="O374" s="78"/>
      <c r="P374" s="78"/>
      <c r="Q374" s="78"/>
      <c r="R374" s="36">
        <f t="shared" si="24"/>
        <v>28348.636155563392</v>
      </c>
      <c r="S374" s="37" t="str">
        <f t="shared" si="16"/>
        <v/>
      </c>
      <c r="T374" s="37"/>
      <c r="X374" s="39" t="str">
        <f t="shared" ref="X374:X437" si="26">IF(I489&lt;&gt;0,I489,"")</f>
        <v/>
      </c>
      <c r="Y374" s="42" t="str">
        <f t="shared" ref="Y374:Y437" si="27">IF(I489&lt;&gt;0,A489,"")</f>
        <v/>
      </c>
    </row>
    <row r="375" spans="1:25" ht="14.5">
      <c r="A375" s="127"/>
      <c r="B375" s="370"/>
      <c r="C375" s="129"/>
      <c r="D375" s="130"/>
      <c r="E375" s="129"/>
      <c r="F375" s="130"/>
      <c r="G375" s="131"/>
      <c r="H375" s="131"/>
      <c r="I375" s="132"/>
      <c r="J375" s="133"/>
      <c r="K375" s="134"/>
      <c r="L375" s="135" t="str">
        <f t="shared" si="25"/>
        <v/>
      </c>
      <c r="M375" s="78"/>
      <c r="N375" s="78"/>
      <c r="O375" s="78"/>
      <c r="P375" s="78"/>
      <c r="Q375" s="78"/>
      <c r="R375" s="36">
        <f t="shared" si="24"/>
        <v>28348.636155563392</v>
      </c>
      <c r="S375" s="37" t="str">
        <f t="shared" si="16"/>
        <v/>
      </c>
      <c r="T375" s="37"/>
      <c r="X375" s="39" t="str">
        <f t="shared" si="26"/>
        <v/>
      </c>
      <c r="Y375" s="42" t="str">
        <f t="shared" si="27"/>
        <v/>
      </c>
    </row>
    <row r="376" spans="1:25" ht="14.5">
      <c r="A376" s="127"/>
      <c r="B376" s="370"/>
      <c r="C376" s="129"/>
      <c r="D376" s="130"/>
      <c r="E376" s="129"/>
      <c r="F376" s="130"/>
      <c r="G376" s="131"/>
      <c r="H376" s="131"/>
      <c r="I376" s="132"/>
      <c r="J376" s="133"/>
      <c r="K376" s="134"/>
      <c r="L376" s="135" t="str">
        <f t="shared" si="25"/>
        <v/>
      </c>
      <c r="M376" s="78"/>
      <c r="N376" s="78"/>
      <c r="O376" s="78"/>
      <c r="P376" s="78"/>
      <c r="Q376" s="78"/>
      <c r="R376" s="36">
        <f t="shared" si="24"/>
        <v>28348.636155563392</v>
      </c>
      <c r="S376" s="37" t="str">
        <f t="shared" si="16"/>
        <v/>
      </c>
      <c r="T376" s="37"/>
      <c r="X376" s="39" t="str">
        <f t="shared" si="26"/>
        <v/>
      </c>
      <c r="Y376" s="42" t="str">
        <f t="shared" si="27"/>
        <v/>
      </c>
    </row>
    <row r="377" spans="1:25" ht="14.5">
      <c r="A377" s="374"/>
      <c r="B377" s="375"/>
      <c r="C377" s="376"/>
      <c r="D377" s="377"/>
      <c r="E377" s="376"/>
      <c r="F377" s="377"/>
      <c r="G377" s="378"/>
      <c r="H377" s="378"/>
      <c r="I377" s="379"/>
      <c r="J377" s="380"/>
      <c r="K377" s="381"/>
      <c r="L377" s="382" t="str">
        <f t="shared" si="25"/>
        <v/>
      </c>
      <c r="M377" s="383"/>
      <c r="N377" s="78"/>
      <c r="O377" s="78"/>
      <c r="P377" s="78"/>
      <c r="Q377" s="78"/>
      <c r="R377" s="36">
        <f t="shared" si="24"/>
        <v>28348.636155563392</v>
      </c>
      <c r="S377" s="37" t="str">
        <f t="shared" si="16"/>
        <v/>
      </c>
      <c r="T377" s="37"/>
      <c r="X377" s="39" t="str">
        <f t="shared" si="26"/>
        <v/>
      </c>
      <c r="Y377" s="42" t="str">
        <f t="shared" si="27"/>
        <v/>
      </c>
    </row>
    <row r="378" spans="1:25" ht="14.5">
      <c r="A378" s="265"/>
      <c r="B378" s="384"/>
      <c r="C378" s="267"/>
      <c r="D378" s="268"/>
      <c r="E378" s="267"/>
      <c r="F378" s="268"/>
      <c r="G378" s="269"/>
      <c r="H378" s="269"/>
      <c r="I378" s="270"/>
      <c r="J378" s="271"/>
      <c r="K378" s="272"/>
      <c r="L378" s="385" t="str">
        <f t="shared" si="25"/>
        <v/>
      </c>
      <c r="M378" s="364" t="s">
        <v>45</v>
      </c>
      <c r="N378" s="244"/>
      <c r="O378" s="78"/>
      <c r="P378" s="78"/>
      <c r="Q378" s="78"/>
      <c r="R378" s="36">
        <f t="shared" si="24"/>
        <v>28348.636155563392</v>
      </c>
      <c r="S378" s="37" t="str">
        <f t="shared" si="16"/>
        <v/>
      </c>
      <c r="T378" s="37"/>
      <c r="X378" s="39" t="str">
        <f t="shared" si="26"/>
        <v/>
      </c>
      <c r="Y378" s="42" t="str">
        <f t="shared" si="27"/>
        <v/>
      </c>
    </row>
    <row r="379" spans="1:25" ht="14.5">
      <c r="A379" s="127"/>
      <c r="B379" s="370"/>
      <c r="C379" s="129"/>
      <c r="D379" s="130"/>
      <c r="E379" s="129"/>
      <c r="F379" s="130"/>
      <c r="G379" s="131"/>
      <c r="H379" s="131"/>
      <c r="I379" s="132"/>
      <c r="J379" s="133"/>
      <c r="K379" s="134"/>
      <c r="L379" s="135" t="str">
        <f t="shared" si="25"/>
        <v/>
      </c>
      <c r="M379" s="365" t="s">
        <v>21</v>
      </c>
      <c r="N379" s="244"/>
      <c r="O379" s="78"/>
      <c r="P379" s="78"/>
      <c r="Q379" s="78"/>
      <c r="R379" s="36">
        <f t="shared" si="24"/>
        <v>28348.636155563392</v>
      </c>
      <c r="S379" s="37" t="str">
        <f t="shared" si="16"/>
        <v/>
      </c>
      <c r="T379" s="37"/>
      <c r="X379" s="39" t="str">
        <f t="shared" si="26"/>
        <v/>
      </c>
      <c r="Y379" s="42" t="str">
        <f t="shared" si="27"/>
        <v/>
      </c>
    </row>
    <row r="380" spans="1:25" ht="14.5">
      <c r="A380" s="127"/>
      <c r="B380" s="370"/>
      <c r="C380" s="129"/>
      <c r="D380" s="130"/>
      <c r="E380" s="129"/>
      <c r="F380" s="130"/>
      <c r="G380" s="131"/>
      <c r="H380" s="131"/>
      <c r="I380" s="132"/>
      <c r="J380" s="133"/>
      <c r="K380" s="134"/>
      <c r="L380" s="135" t="str">
        <f t="shared" si="25"/>
        <v/>
      </c>
      <c r="M380" s="366">
        <f>IFERROR(AVERAGE(L378:L3238),0)</f>
        <v>0</v>
      </c>
      <c r="N380" s="244"/>
      <c r="O380" s="78"/>
      <c r="P380" s="78"/>
      <c r="Q380" s="78"/>
      <c r="R380" s="36">
        <f t="shared" si="24"/>
        <v>28348.636155563392</v>
      </c>
      <c r="S380" s="37" t="str">
        <f t="shared" si="16"/>
        <v/>
      </c>
      <c r="T380" s="37"/>
      <c r="X380" s="39" t="str">
        <f t="shared" si="26"/>
        <v/>
      </c>
      <c r="Y380" s="42" t="str">
        <f t="shared" si="27"/>
        <v/>
      </c>
    </row>
    <row r="381" spans="1:25" ht="14.5">
      <c r="A381" s="165"/>
      <c r="B381" s="372"/>
      <c r="C381" s="167"/>
      <c r="D381" s="169"/>
      <c r="E381" s="167"/>
      <c r="F381" s="169"/>
      <c r="G381" s="170"/>
      <c r="H381" s="170"/>
      <c r="I381" s="171"/>
      <c r="J381" s="172"/>
      <c r="K381" s="168"/>
      <c r="L381" s="273" t="str">
        <f t="shared" si="25"/>
        <v/>
      </c>
      <c r="M381" s="365" t="s">
        <v>24</v>
      </c>
      <c r="N381" s="244"/>
      <c r="O381" s="78"/>
      <c r="P381" s="78"/>
      <c r="Q381" s="78"/>
      <c r="R381" s="36">
        <f t="shared" si="24"/>
        <v>28348.636155563392</v>
      </c>
      <c r="S381" s="37" t="str">
        <f t="shared" si="16"/>
        <v/>
      </c>
      <c r="T381" s="37"/>
      <c r="X381" s="39" t="str">
        <f t="shared" si="26"/>
        <v/>
      </c>
      <c r="Y381" s="42" t="str">
        <f t="shared" si="27"/>
        <v/>
      </c>
    </row>
    <row r="382" spans="1:25" ht="14.5">
      <c r="A382" s="165"/>
      <c r="B382" s="372"/>
      <c r="C382" s="167"/>
      <c r="D382" s="169"/>
      <c r="E382" s="167"/>
      <c r="F382" s="169"/>
      <c r="G382" s="170"/>
      <c r="H382" s="170"/>
      <c r="I382" s="171"/>
      <c r="J382" s="172"/>
      <c r="K382" s="168"/>
      <c r="L382" s="273" t="str">
        <f t="shared" si="25"/>
        <v/>
      </c>
      <c r="M382" s="366">
        <f>SUM(I378:I3148)</f>
        <v>0</v>
      </c>
      <c r="N382" s="244"/>
      <c r="O382" s="78"/>
      <c r="P382" s="78"/>
      <c r="Q382" s="78"/>
      <c r="R382" s="36">
        <f t="shared" si="24"/>
        <v>28348.636155563392</v>
      </c>
      <c r="S382" s="386"/>
      <c r="T382" s="37"/>
      <c r="X382" s="39" t="str">
        <f t="shared" si="26"/>
        <v/>
      </c>
      <c r="Y382" s="42" t="str">
        <f t="shared" si="27"/>
        <v/>
      </c>
    </row>
    <row r="383" spans="1:25" ht="14.5">
      <c r="A383" s="323"/>
      <c r="B383" s="324"/>
      <c r="C383" s="325"/>
      <c r="D383" s="326"/>
      <c r="E383" s="325"/>
      <c r="F383" s="326"/>
      <c r="G383" s="327"/>
      <c r="H383" s="327"/>
      <c r="I383" s="328"/>
      <c r="J383" s="329"/>
      <c r="K383" s="330"/>
      <c r="L383" s="331" t="str">
        <f t="shared" si="25"/>
        <v/>
      </c>
      <c r="M383" s="365" t="s">
        <v>27</v>
      </c>
      <c r="N383" s="244"/>
      <c r="O383" s="78"/>
      <c r="P383" s="78"/>
      <c r="Q383" s="78"/>
      <c r="R383" s="36">
        <f t="shared" si="24"/>
        <v>28348.636155563392</v>
      </c>
      <c r="S383" s="386"/>
      <c r="T383" s="37"/>
      <c r="X383" s="39" t="str">
        <f t="shared" si="26"/>
        <v/>
      </c>
      <c r="Y383" s="42" t="str">
        <f t="shared" si="27"/>
        <v/>
      </c>
    </row>
    <row r="384" spans="1:25" ht="14.5">
      <c r="A384" s="323"/>
      <c r="B384" s="387"/>
      <c r="C384" s="325"/>
      <c r="D384" s="326"/>
      <c r="E384" s="325"/>
      <c r="F384" s="326"/>
      <c r="G384" s="327"/>
      <c r="H384" s="327"/>
      <c r="I384" s="328"/>
      <c r="J384" s="329"/>
      <c r="K384" s="330"/>
      <c r="L384" s="331" t="str">
        <f t="shared" si="25"/>
        <v/>
      </c>
      <c r="M384" s="367">
        <f>SUM(J378:J3238)/100</f>
        <v>0</v>
      </c>
      <c r="N384" s="244"/>
      <c r="O384" s="78"/>
      <c r="P384" s="78"/>
      <c r="Q384" s="78"/>
      <c r="R384" s="36">
        <f t="shared" si="24"/>
        <v>28348.636155563392</v>
      </c>
      <c r="S384" s="386"/>
      <c r="T384" s="37"/>
      <c r="X384" s="39" t="str">
        <f t="shared" si="26"/>
        <v/>
      </c>
      <c r="Y384" s="42" t="str">
        <f t="shared" si="27"/>
        <v/>
      </c>
    </row>
    <row r="385" spans="1:25" ht="14.5">
      <c r="A385" s="165"/>
      <c r="B385" s="372"/>
      <c r="C385" s="167"/>
      <c r="D385" s="169"/>
      <c r="E385" s="167"/>
      <c r="F385" s="169"/>
      <c r="G385" s="170"/>
      <c r="H385" s="170"/>
      <c r="I385" s="171"/>
      <c r="J385" s="172"/>
      <c r="K385" s="168"/>
      <c r="L385" s="273" t="str">
        <f t="shared" si="25"/>
        <v/>
      </c>
      <c r="M385" s="388"/>
      <c r="N385" s="78"/>
      <c r="O385" s="78"/>
      <c r="P385" s="78"/>
      <c r="Q385" s="78"/>
      <c r="R385" s="36">
        <f t="shared" si="24"/>
        <v>28348.636155563392</v>
      </c>
      <c r="S385" s="386"/>
      <c r="T385" s="37"/>
      <c r="X385" s="39" t="str">
        <f t="shared" si="26"/>
        <v/>
      </c>
      <c r="Y385" s="42" t="str">
        <f t="shared" si="27"/>
        <v/>
      </c>
    </row>
    <row r="386" spans="1:25" ht="14.5">
      <c r="A386" s="165"/>
      <c r="B386" s="372"/>
      <c r="C386" s="167"/>
      <c r="D386" s="169"/>
      <c r="E386" s="167"/>
      <c r="F386" s="169"/>
      <c r="G386" s="170"/>
      <c r="H386" s="170"/>
      <c r="I386" s="171"/>
      <c r="J386" s="172"/>
      <c r="K386" s="168"/>
      <c r="L386" s="273" t="str">
        <f t="shared" si="25"/>
        <v/>
      </c>
      <c r="M386" s="78"/>
      <c r="N386" s="78"/>
      <c r="O386" s="78"/>
      <c r="P386" s="78"/>
      <c r="Q386" s="78"/>
      <c r="R386" s="36">
        <f t="shared" si="24"/>
        <v>28348.636155563392</v>
      </c>
      <c r="S386" s="386"/>
      <c r="T386" s="37"/>
      <c r="X386" s="39" t="str">
        <f t="shared" si="26"/>
        <v/>
      </c>
      <c r="Y386" s="42" t="str">
        <f t="shared" si="27"/>
        <v/>
      </c>
    </row>
    <row r="387" spans="1:25" ht="14.5">
      <c r="A387" s="192"/>
      <c r="B387" s="373"/>
      <c r="C387" s="194"/>
      <c r="D387" s="196"/>
      <c r="E387" s="194"/>
      <c r="F387" s="196"/>
      <c r="G387" s="197"/>
      <c r="H387" s="197"/>
      <c r="I387" s="198"/>
      <c r="J387" s="199"/>
      <c r="K387" s="195"/>
      <c r="L387" s="200" t="str">
        <f t="shared" si="25"/>
        <v/>
      </c>
      <c r="M387" s="78"/>
      <c r="N387" s="78"/>
      <c r="O387" s="78"/>
      <c r="P387" s="78"/>
      <c r="Q387" s="78"/>
      <c r="R387" s="36">
        <f t="shared" si="24"/>
        <v>28348.636155563392</v>
      </c>
      <c r="S387" s="386"/>
      <c r="T387" s="37"/>
      <c r="X387" s="39" t="str">
        <f t="shared" si="26"/>
        <v/>
      </c>
      <c r="Y387" s="42" t="str">
        <f t="shared" si="27"/>
        <v/>
      </c>
    </row>
    <row r="388" spans="1:25" ht="14.5">
      <c r="A388" s="192"/>
      <c r="B388" s="373"/>
      <c r="C388" s="194"/>
      <c r="D388" s="196"/>
      <c r="E388" s="194"/>
      <c r="F388" s="196"/>
      <c r="G388" s="197"/>
      <c r="H388" s="197"/>
      <c r="I388" s="198"/>
      <c r="J388" s="199"/>
      <c r="K388" s="195"/>
      <c r="L388" s="200" t="str">
        <f t="shared" si="25"/>
        <v/>
      </c>
      <c r="M388" s="78"/>
      <c r="N388" s="78"/>
      <c r="O388" s="78"/>
      <c r="P388" s="78"/>
      <c r="Q388" s="78"/>
      <c r="R388" s="36">
        <f t="shared" si="24"/>
        <v>28348.636155563392</v>
      </c>
      <c r="S388" s="386"/>
      <c r="T388" s="37"/>
      <c r="X388" s="39" t="str">
        <f t="shared" si="26"/>
        <v/>
      </c>
      <c r="Y388" s="42" t="str">
        <f t="shared" si="27"/>
        <v/>
      </c>
    </row>
    <row r="389" spans="1:25" ht="14.5">
      <c r="A389" s="165"/>
      <c r="B389" s="372"/>
      <c r="C389" s="167"/>
      <c r="D389" s="169"/>
      <c r="E389" s="167"/>
      <c r="F389" s="169"/>
      <c r="G389" s="170"/>
      <c r="H389" s="170"/>
      <c r="I389" s="171"/>
      <c r="J389" s="172"/>
      <c r="K389" s="168"/>
      <c r="L389" s="273" t="str">
        <f t="shared" si="25"/>
        <v/>
      </c>
      <c r="M389" s="78"/>
      <c r="N389" s="78"/>
      <c r="O389" s="78"/>
      <c r="P389" s="78"/>
      <c r="Q389" s="78"/>
      <c r="R389" s="36">
        <f t="shared" si="24"/>
        <v>28348.636155563392</v>
      </c>
      <c r="S389" s="386"/>
      <c r="T389" s="37"/>
      <c r="X389" s="39" t="str">
        <f t="shared" si="26"/>
        <v/>
      </c>
      <c r="Y389" s="42" t="str">
        <f t="shared" si="27"/>
        <v/>
      </c>
    </row>
    <row r="390" spans="1:25" ht="14.5">
      <c r="A390" s="165"/>
      <c r="B390" s="372"/>
      <c r="C390" s="167"/>
      <c r="D390" s="169"/>
      <c r="E390" s="167"/>
      <c r="F390" s="169"/>
      <c r="G390" s="170"/>
      <c r="H390" s="170"/>
      <c r="I390" s="171"/>
      <c r="J390" s="172"/>
      <c r="K390" s="168"/>
      <c r="L390" s="273" t="str">
        <f t="shared" si="25"/>
        <v/>
      </c>
      <c r="M390" s="78"/>
      <c r="N390" s="78"/>
      <c r="O390" s="78"/>
      <c r="P390" s="78"/>
      <c r="Q390" s="78"/>
      <c r="R390" s="36">
        <f t="shared" si="24"/>
        <v>28348.636155563392</v>
      </c>
      <c r="S390" s="386"/>
      <c r="T390" s="37"/>
      <c r="X390" s="39" t="str">
        <f t="shared" si="26"/>
        <v/>
      </c>
      <c r="Y390" s="42" t="str">
        <f t="shared" si="27"/>
        <v/>
      </c>
    </row>
    <row r="391" spans="1:25" ht="14.5">
      <c r="A391" s="192"/>
      <c r="B391" s="373"/>
      <c r="C391" s="194"/>
      <c r="D391" s="196"/>
      <c r="E391" s="194"/>
      <c r="F391" s="196"/>
      <c r="G391" s="197"/>
      <c r="H391" s="197"/>
      <c r="I391" s="198"/>
      <c r="J391" s="199"/>
      <c r="K391" s="195"/>
      <c r="L391" s="200" t="str">
        <f t="shared" si="25"/>
        <v/>
      </c>
      <c r="M391" s="78"/>
      <c r="N391" s="78"/>
      <c r="O391" s="78"/>
      <c r="P391" s="78"/>
      <c r="Q391" s="78"/>
      <c r="R391" s="36">
        <f t="shared" si="24"/>
        <v>28348.636155563392</v>
      </c>
      <c r="S391" s="386"/>
      <c r="T391" s="37"/>
      <c r="X391" s="39" t="str">
        <f t="shared" si="26"/>
        <v/>
      </c>
      <c r="Y391" s="42" t="str">
        <f t="shared" si="27"/>
        <v/>
      </c>
    </row>
    <row r="392" spans="1:25" ht="14.5">
      <c r="A392" s="192"/>
      <c r="B392" s="373"/>
      <c r="C392" s="194"/>
      <c r="D392" s="196"/>
      <c r="E392" s="194"/>
      <c r="F392" s="196"/>
      <c r="G392" s="197"/>
      <c r="H392" s="197"/>
      <c r="I392" s="198"/>
      <c r="J392" s="199"/>
      <c r="K392" s="195"/>
      <c r="L392" s="200" t="str">
        <f t="shared" si="25"/>
        <v/>
      </c>
      <c r="M392" s="78"/>
      <c r="N392" s="78"/>
      <c r="O392" s="78"/>
      <c r="P392" s="78"/>
      <c r="Q392" s="78"/>
      <c r="R392" s="36">
        <f t="shared" si="24"/>
        <v>28348.636155563392</v>
      </c>
      <c r="S392" s="386"/>
      <c r="T392" s="37"/>
      <c r="X392" s="39" t="str">
        <f t="shared" si="26"/>
        <v/>
      </c>
      <c r="Y392" s="42" t="str">
        <f t="shared" si="27"/>
        <v/>
      </c>
    </row>
    <row r="393" spans="1:25" ht="14.5">
      <c r="A393" s="165"/>
      <c r="B393" s="372"/>
      <c r="C393" s="167"/>
      <c r="D393" s="169"/>
      <c r="E393" s="167"/>
      <c r="F393" s="169"/>
      <c r="G393" s="170"/>
      <c r="H393" s="170"/>
      <c r="I393" s="171"/>
      <c r="J393" s="172"/>
      <c r="K393" s="168"/>
      <c r="L393" s="273" t="str">
        <f t="shared" si="25"/>
        <v/>
      </c>
      <c r="M393" s="78"/>
      <c r="N393" s="78"/>
      <c r="O393" s="78"/>
      <c r="P393" s="78"/>
      <c r="Q393" s="78"/>
      <c r="R393" s="36">
        <f t="shared" si="24"/>
        <v>28348.636155563392</v>
      </c>
      <c r="S393" s="386"/>
      <c r="T393" s="37"/>
      <c r="X393" s="39" t="str">
        <f t="shared" si="26"/>
        <v/>
      </c>
      <c r="Y393" s="42" t="str">
        <f t="shared" si="27"/>
        <v/>
      </c>
    </row>
    <row r="394" spans="1:25" ht="14.5">
      <c r="A394" s="165"/>
      <c r="B394" s="372"/>
      <c r="C394" s="167"/>
      <c r="D394" s="169"/>
      <c r="E394" s="167"/>
      <c r="F394" s="169"/>
      <c r="G394" s="170"/>
      <c r="H394" s="170"/>
      <c r="I394" s="171"/>
      <c r="J394" s="172"/>
      <c r="K394" s="168"/>
      <c r="L394" s="273" t="str">
        <f t="shared" si="25"/>
        <v/>
      </c>
      <c r="M394" s="78"/>
      <c r="N394" s="78"/>
      <c r="O394" s="78"/>
      <c r="P394" s="78"/>
      <c r="Q394" s="78"/>
      <c r="R394" s="36">
        <f t="shared" si="24"/>
        <v>28348.636155563392</v>
      </c>
      <c r="S394" s="386"/>
      <c r="T394" s="37"/>
      <c r="X394" s="39" t="str">
        <f t="shared" si="26"/>
        <v/>
      </c>
      <c r="Y394" s="42" t="str">
        <f t="shared" si="27"/>
        <v/>
      </c>
    </row>
    <row r="395" spans="1:25" ht="14.5">
      <c r="A395" s="389"/>
      <c r="B395" s="390"/>
      <c r="C395" s="391"/>
      <c r="D395" s="392"/>
      <c r="E395" s="391"/>
      <c r="F395" s="392"/>
      <c r="G395" s="393"/>
      <c r="H395" s="393"/>
      <c r="I395" s="394"/>
      <c r="J395" s="395"/>
      <c r="K395" s="396"/>
      <c r="L395" s="397" t="str">
        <f t="shared" si="25"/>
        <v/>
      </c>
      <c r="M395" s="78"/>
      <c r="N395" s="78"/>
      <c r="O395" s="78"/>
      <c r="P395" s="78"/>
      <c r="Q395" s="78"/>
      <c r="R395" s="36">
        <f t="shared" si="24"/>
        <v>28348.636155563392</v>
      </c>
      <c r="S395" s="386"/>
      <c r="T395" s="37"/>
      <c r="X395" s="39" t="str">
        <f t="shared" si="26"/>
        <v/>
      </c>
      <c r="Y395" s="42" t="str">
        <f t="shared" si="27"/>
        <v/>
      </c>
    </row>
    <row r="396" spans="1:25" ht="14.5">
      <c r="A396" s="389"/>
      <c r="B396" s="390"/>
      <c r="C396" s="391"/>
      <c r="D396" s="392"/>
      <c r="E396" s="391"/>
      <c r="F396" s="392"/>
      <c r="G396" s="393"/>
      <c r="H396" s="393"/>
      <c r="I396" s="394"/>
      <c r="J396" s="395"/>
      <c r="K396" s="396"/>
      <c r="L396" s="397" t="str">
        <f t="shared" si="25"/>
        <v/>
      </c>
      <c r="M396" s="78"/>
      <c r="N396" s="78"/>
      <c r="O396" s="78"/>
      <c r="P396" s="78"/>
      <c r="Q396" s="78"/>
      <c r="R396" s="36">
        <f t="shared" si="24"/>
        <v>28348.636155563392</v>
      </c>
      <c r="S396" s="386"/>
      <c r="T396" s="37"/>
      <c r="X396" s="39" t="str">
        <f t="shared" si="26"/>
        <v/>
      </c>
      <c r="Y396" s="42" t="str">
        <f t="shared" si="27"/>
        <v/>
      </c>
    </row>
    <row r="397" spans="1:25" ht="14.5">
      <c r="A397" s="165"/>
      <c r="B397" s="372"/>
      <c r="C397" s="167"/>
      <c r="D397" s="169"/>
      <c r="E397" s="167"/>
      <c r="F397" s="169"/>
      <c r="G397" s="170"/>
      <c r="H397" s="170"/>
      <c r="I397" s="171"/>
      <c r="J397" s="172"/>
      <c r="K397" s="168"/>
      <c r="L397" s="273" t="str">
        <f t="shared" si="25"/>
        <v/>
      </c>
      <c r="M397" s="78"/>
      <c r="N397" s="78"/>
      <c r="O397" s="78"/>
      <c r="P397" s="78"/>
      <c r="Q397" s="78"/>
      <c r="R397" s="36">
        <f t="shared" si="24"/>
        <v>28348.636155563392</v>
      </c>
      <c r="S397" s="386"/>
      <c r="T397" s="37"/>
      <c r="X397" s="39" t="str">
        <f t="shared" si="26"/>
        <v/>
      </c>
      <c r="Y397" s="42" t="str">
        <f t="shared" si="27"/>
        <v/>
      </c>
    </row>
    <row r="398" spans="1:25" ht="14.5">
      <c r="A398" s="165"/>
      <c r="B398" s="372"/>
      <c r="C398" s="167"/>
      <c r="D398" s="169"/>
      <c r="E398" s="167"/>
      <c r="F398" s="169"/>
      <c r="G398" s="170"/>
      <c r="H398" s="170"/>
      <c r="I398" s="171"/>
      <c r="J398" s="172"/>
      <c r="K398" s="168"/>
      <c r="L398" s="273" t="str">
        <f t="shared" si="25"/>
        <v/>
      </c>
      <c r="M398" s="78"/>
      <c r="N398" s="78"/>
      <c r="O398" s="78"/>
      <c r="P398" s="78"/>
      <c r="Q398" s="78"/>
      <c r="R398" s="36">
        <f t="shared" si="24"/>
        <v>28348.636155563392</v>
      </c>
      <c r="S398" s="386"/>
      <c r="T398" s="37"/>
      <c r="X398" s="39" t="str">
        <f t="shared" si="26"/>
        <v/>
      </c>
      <c r="Y398" s="42" t="str">
        <f t="shared" si="27"/>
        <v/>
      </c>
    </row>
    <row r="399" spans="1:25" ht="14.5">
      <c r="A399" s="389"/>
      <c r="B399" s="390"/>
      <c r="C399" s="391"/>
      <c r="D399" s="392"/>
      <c r="E399" s="391"/>
      <c r="F399" s="392"/>
      <c r="G399" s="393"/>
      <c r="H399" s="393"/>
      <c r="I399" s="394"/>
      <c r="J399" s="395"/>
      <c r="K399" s="396"/>
      <c r="L399" s="397" t="str">
        <f t="shared" si="25"/>
        <v/>
      </c>
      <c r="M399" s="78"/>
      <c r="N399" s="78"/>
      <c r="O399" s="78"/>
      <c r="P399" s="78"/>
      <c r="Q399" s="78"/>
      <c r="R399" s="36">
        <f t="shared" si="24"/>
        <v>28348.636155563392</v>
      </c>
      <c r="S399" s="386"/>
      <c r="T399" s="37"/>
      <c r="X399" s="39" t="str">
        <f t="shared" si="26"/>
        <v/>
      </c>
      <c r="Y399" s="42" t="str">
        <f t="shared" si="27"/>
        <v/>
      </c>
    </row>
    <row r="400" spans="1:25" ht="14.5">
      <c r="A400" s="389"/>
      <c r="B400" s="390"/>
      <c r="C400" s="391"/>
      <c r="D400" s="392"/>
      <c r="E400" s="391"/>
      <c r="F400" s="392"/>
      <c r="G400" s="393"/>
      <c r="H400" s="393"/>
      <c r="I400" s="394"/>
      <c r="J400" s="395"/>
      <c r="K400" s="396"/>
      <c r="L400" s="397" t="str">
        <f t="shared" si="25"/>
        <v/>
      </c>
      <c r="M400" s="78"/>
      <c r="N400" s="78"/>
      <c r="O400" s="78"/>
      <c r="P400" s="78"/>
      <c r="Q400" s="78"/>
      <c r="R400" s="36">
        <f t="shared" si="24"/>
        <v>28348.636155563392</v>
      </c>
      <c r="S400" s="386"/>
      <c r="T400" s="37"/>
      <c r="X400" s="39" t="str">
        <f t="shared" si="26"/>
        <v/>
      </c>
      <c r="Y400" s="42" t="str">
        <f t="shared" si="27"/>
        <v/>
      </c>
    </row>
    <row r="401" spans="1:25" ht="14.5">
      <c r="A401" s="323"/>
      <c r="B401" s="324"/>
      <c r="C401" s="325"/>
      <c r="D401" s="326"/>
      <c r="E401" s="325"/>
      <c r="F401" s="326"/>
      <c r="G401" s="327"/>
      <c r="H401" s="327"/>
      <c r="I401" s="328"/>
      <c r="J401" s="329"/>
      <c r="K401" s="330"/>
      <c r="L401" s="331" t="str">
        <f t="shared" si="25"/>
        <v/>
      </c>
      <c r="M401" s="78"/>
      <c r="N401" s="78"/>
      <c r="O401" s="78"/>
      <c r="P401" s="78"/>
      <c r="Q401" s="78"/>
      <c r="R401" s="36">
        <f t="shared" si="24"/>
        <v>28348.636155563392</v>
      </c>
      <c r="S401" s="386"/>
      <c r="T401" s="37"/>
      <c r="X401" s="39" t="str">
        <f t="shared" si="26"/>
        <v/>
      </c>
      <c r="Y401" s="42" t="str">
        <f t="shared" si="27"/>
        <v/>
      </c>
    </row>
    <row r="402" spans="1:25" ht="14.5">
      <c r="A402" s="323"/>
      <c r="B402" s="387"/>
      <c r="C402" s="325"/>
      <c r="D402" s="326"/>
      <c r="E402" s="325"/>
      <c r="F402" s="326"/>
      <c r="G402" s="327"/>
      <c r="H402" s="327"/>
      <c r="I402" s="328"/>
      <c r="J402" s="329"/>
      <c r="K402" s="330"/>
      <c r="L402" s="331" t="str">
        <f t="shared" si="25"/>
        <v/>
      </c>
      <c r="M402" s="78"/>
      <c r="N402" s="78"/>
      <c r="O402" s="78"/>
      <c r="P402" s="78"/>
      <c r="Q402" s="78"/>
      <c r="R402" s="36">
        <f t="shared" si="24"/>
        <v>28348.636155563392</v>
      </c>
      <c r="S402" s="386"/>
      <c r="T402" s="37"/>
      <c r="X402" s="39" t="str">
        <f t="shared" si="26"/>
        <v/>
      </c>
      <c r="Y402" s="42" t="str">
        <f t="shared" si="27"/>
        <v/>
      </c>
    </row>
    <row r="403" spans="1:25" ht="14.5">
      <c r="A403" s="165"/>
      <c r="B403" s="372"/>
      <c r="C403" s="167"/>
      <c r="D403" s="169"/>
      <c r="E403" s="167"/>
      <c r="F403" s="169"/>
      <c r="G403" s="170"/>
      <c r="H403" s="170"/>
      <c r="I403" s="171"/>
      <c r="J403" s="172"/>
      <c r="K403" s="168"/>
      <c r="L403" s="273" t="str">
        <f t="shared" si="25"/>
        <v/>
      </c>
      <c r="M403" s="78"/>
      <c r="N403" s="78"/>
      <c r="O403" s="78"/>
      <c r="P403" s="78"/>
      <c r="Q403" s="78"/>
      <c r="R403" s="36">
        <f t="shared" si="24"/>
        <v>28348.636155563392</v>
      </c>
      <c r="S403" s="386"/>
      <c r="T403" s="37"/>
      <c r="X403" s="39" t="str">
        <f t="shared" si="26"/>
        <v/>
      </c>
      <c r="Y403" s="42" t="str">
        <f t="shared" si="27"/>
        <v/>
      </c>
    </row>
    <row r="404" spans="1:25" ht="14.5">
      <c r="A404" s="165"/>
      <c r="B404" s="372"/>
      <c r="C404" s="167"/>
      <c r="D404" s="169"/>
      <c r="E404" s="167"/>
      <c r="F404" s="169"/>
      <c r="G404" s="170"/>
      <c r="H404" s="170"/>
      <c r="I404" s="171"/>
      <c r="J404" s="172"/>
      <c r="K404" s="168"/>
      <c r="L404" s="273" t="str">
        <f t="shared" si="25"/>
        <v/>
      </c>
      <c r="M404" s="78"/>
      <c r="N404" s="78"/>
      <c r="O404" s="78"/>
      <c r="P404" s="78"/>
      <c r="Q404" s="78"/>
      <c r="R404" s="36">
        <f t="shared" si="24"/>
        <v>28348.636155563392</v>
      </c>
      <c r="S404" s="386"/>
      <c r="T404" s="37"/>
      <c r="X404" s="39" t="str">
        <f t="shared" si="26"/>
        <v/>
      </c>
      <c r="Y404" s="42" t="str">
        <f t="shared" si="27"/>
        <v/>
      </c>
    </row>
    <row r="405" spans="1:25" ht="14.5">
      <c r="A405" s="47"/>
      <c r="B405" s="301"/>
      <c r="C405" s="49"/>
      <c r="D405" s="50"/>
      <c r="E405" s="49"/>
      <c r="F405" s="50"/>
      <c r="G405" s="51"/>
      <c r="H405" s="51"/>
      <c r="I405" s="52"/>
      <c r="J405" s="53"/>
      <c r="K405" s="54"/>
      <c r="L405" s="55" t="str">
        <f t="shared" si="25"/>
        <v/>
      </c>
      <c r="M405" s="78"/>
      <c r="N405" s="78"/>
      <c r="O405" s="78"/>
      <c r="P405" s="78"/>
      <c r="Q405" s="78"/>
      <c r="R405" s="36">
        <f t="shared" si="24"/>
        <v>28348.636155563392</v>
      </c>
      <c r="S405" s="386"/>
      <c r="T405" s="37"/>
      <c r="X405" s="39" t="str">
        <f t="shared" si="26"/>
        <v/>
      </c>
      <c r="Y405" s="42" t="str">
        <f t="shared" si="27"/>
        <v/>
      </c>
    </row>
    <row r="406" spans="1:25" ht="14.5">
      <c r="A406" s="47"/>
      <c r="B406" s="398"/>
      <c r="C406" s="49"/>
      <c r="D406" s="50"/>
      <c r="E406" s="49"/>
      <c r="F406" s="50"/>
      <c r="G406" s="51"/>
      <c r="H406" s="51"/>
      <c r="I406" s="52"/>
      <c r="J406" s="53"/>
      <c r="K406" s="54"/>
      <c r="L406" s="55" t="str">
        <f t="shared" si="25"/>
        <v/>
      </c>
      <c r="M406" s="78"/>
      <c r="N406" s="78"/>
      <c r="O406" s="78"/>
      <c r="P406" s="78"/>
      <c r="Q406" s="78"/>
      <c r="R406" s="36">
        <f t="shared" si="24"/>
        <v>28348.636155563392</v>
      </c>
      <c r="S406" s="386"/>
      <c r="T406" s="37"/>
      <c r="X406" s="39" t="str">
        <f t="shared" si="26"/>
        <v/>
      </c>
      <c r="Y406" s="42" t="str">
        <f t="shared" si="27"/>
        <v/>
      </c>
    </row>
    <row r="407" spans="1:25" ht="14.5">
      <c r="A407" s="323"/>
      <c r="B407" s="324"/>
      <c r="C407" s="325"/>
      <c r="D407" s="326"/>
      <c r="E407" s="325"/>
      <c r="F407" s="326"/>
      <c r="G407" s="327"/>
      <c r="H407" s="327"/>
      <c r="I407" s="328"/>
      <c r="J407" s="329"/>
      <c r="K407" s="330"/>
      <c r="L407" s="331" t="str">
        <f t="shared" si="25"/>
        <v/>
      </c>
      <c r="M407" s="78"/>
      <c r="N407" s="78"/>
      <c r="O407" s="78"/>
      <c r="P407" s="78"/>
      <c r="Q407" s="78"/>
      <c r="R407" s="36">
        <f t="shared" si="24"/>
        <v>28348.636155563392</v>
      </c>
      <c r="S407" s="386"/>
      <c r="T407" s="37"/>
      <c r="X407" s="39" t="str">
        <f t="shared" si="26"/>
        <v/>
      </c>
      <c r="Y407" s="42" t="str">
        <f t="shared" si="27"/>
        <v/>
      </c>
    </row>
    <row r="408" spans="1:25" ht="14.5">
      <c r="A408" s="323"/>
      <c r="B408" s="387"/>
      <c r="C408" s="325"/>
      <c r="D408" s="326"/>
      <c r="E408" s="325"/>
      <c r="F408" s="326"/>
      <c r="G408" s="327"/>
      <c r="H408" s="327"/>
      <c r="I408" s="328"/>
      <c r="J408" s="329"/>
      <c r="K408" s="330"/>
      <c r="L408" s="331" t="str">
        <f t="shared" si="25"/>
        <v/>
      </c>
      <c r="M408" s="78"/>
      <c r="N408" s="78"/>
      <c r="O408" s="78"/>
      <c r="P408" s="78"/>
      <c r="Q408" s="78"/>
      <c r="R408" s="36">
        <f t="shared" si="24"/>
        <v>28348.636155563392</v>
      </c>
      <c r="S408" s="386"/>
      <c r="T408" s="37"/>
      <c r="X408" s="39" t="str">
        <f t="shared" si="26"/>
        <v/>
      </c>
      <c r="Y408" s="42" t="str">
        <f t="shared" si="27"/>
        <v/>
      </c>
    </row>
    <row r="409" spans="1:25" ht="14.5">
      <c r="A409" s="47"/>
      <c r="B409" s="301"/>
      <c r="C409" s="49"/>
      <c r="D409" s="50"/>
      <c r="E409" s="49"/>
      <c r="F409" s="50"/>
      <c r="G409" s="51"/>
      <c r="H409" s="51"/>
      <c r="I409" s="52"/>
      <c r="J409" s="53"/>
      <c r="K409" s="54"/>
      <c r="L409" s="55" t="str">
        <f t="shared" si="25"/>
        <v/>
      </c>
      <c r="M409" s="78"/>
      <c r="N409" s="78"/>
      <c r="O409" s="78"/>
      <c r="P409" s="78"/>
      <c r="Q409" s="78"/>
      <c r="R409" s="36">
        <f t="shared" si="24"/>
        <v>28348.636155563392</v>
      </c>
      <c r="S409" s="386"/>
      <c r="T409" s="37"/>
      <c r="X409" s="39" t="str">
        <f t="shared" si="26"/>
        <v/>
      </c>
      <c r="Y409" s="42" t="str">
        <f t="shared" si="27"/>
        <v/>
      </c>
    </row>
    <row r="410" spans="1:25" ht="14.5">
      <c r="A410" s="47"/>
      <c r="B410" s="398"/>
      <c r="C410" s="49"/>
      <c r="D410" s="50"/>
      <c r="E410" s="49"/>
      <c r="F410" s="50"/>
      <c r="G410" s="51"/>
      <c r="H410" s="51"/>
      <c r="I410" s="52"/>
      <c r="J410" s="53"/>
      <c r="K410" s="54"/>
      <c r="L410" s="55" t="str">
        <f t="shared" si="25"/>
        <v/>
      </c>
      <c r="M410" s="78"/>
      <c r="N410" s="78"/>
      <c r="O410" s="78"/>
      <c r="P410" s="78"/>
      <c r="Q410" s="78"/>
      <c r="R410" s="36">
        <f t="shared" si="24"/>
        <v>28348.636155563392</v>
      </c>
      <c r="S410" s="386"/>
      <c r="T410" s="37"/>
      <c r="X410" s="39" t="str">
        <f t="shared" si="26"/>
        <v/>
      </c>
      <c r="Y410" s="42" t="str">
        <f t="shared" si="27"/>
        <v/>
      </c>
    </row>
    <row r="411" spans="1:25" ht="14.5">
      <c r="A411" s="201"/>
      <c r="B411" s="283"/>
      <c r="C411" s="203"/>
      <c r="D411" s="205"/>
      <c r="E411" s="203"/>
      <c r="F411" s="205"/>
      <c r="G411" s="206"/>
      <c r="H411" s="206"/>
      <c r="I411" s="207"/>
      <c r="J411" s="208"/>
      <c r="K411" s="204"/>
      <c r="L411" s="273" t="str">
        <f t="shared" si="25"/>
        <v/>
      </c>
      <c r="M411" s="78"/>
      <c r="N411" s="78"/>
      <c r="O411" s="78"/>
      <c r="P411" s="78"/>
      <c r="Q411" s="78"/>
      <c r="R411" s="36">
        <f t="shared" si="24"/>
        <v>28348.636155563392</v>
      </c>
      <c r="S411" s="386"/>
      <c r="T411" s="37"/>
      <c r="X411" s="39" t="str">
        <f t="shared" si="26"/>
        <v/>
      </c>
      <c r="Y411" s="42" t="str">
        <f t="shared" si="27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5"/>
        <v/>
      </c>
      <c r="M412" s="78"/>
      <c r="N412" s="78"/>
      <c r="O412" s="78"/>
      <c r="P412" s="78"/>
      <c r="Q412" s="78"/>
      <c r="R412" s="36">
        <f t="shared" si="24"/>
        <v>28348.636155563392</v>
      </c>
      <c r="S412" s="386"/>
      <c r="T412" s="37"/>
      <c r="X412" s="39" t="str">
        <f t="shared" si="26"/>
        <v/>
      </c>
      <c r="Y412" s="42" t="str">
        <f t="shared" si="27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5"/>
        <v/>
      </c>
      <c r="M413" s="78"/>
      <c r="N413" s="78"/>
      <c r="O413" s="78"/>
      <c r="P413" s="78"/>
      <c r="Q413" s="78"/>
      <c r="R413" s="36">
        <f t="shared" si="24"/>
        <v>28348.636155563392</v>
      </c>
      <c r="S413" s="386"/>
      <c r="T413" s="37"/>
      <c r="X413" s="39" t="str">
        <f t="shared" si="26"/>
        <v/>
      </c>
      <c r="Y413" s="42" t="str">
        <f t="shared" si="27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5"/>
        <v/>
      </c>
      <c r="M414" s="78"/>
      <c r="N414" s="78"/>
      <c r="O414" s="78"/>
      <c r="P414" s="78"/>
      <c r="Q414" s="78"/>
      <c r="R414" s="36">
        <f t="shared" si="24"/>
        <v>28348.636155563392</v>
      </c>
      <c r="S414" s="386"/>
      <c r="T414" s="37"/>
      <c r="X414" s="39" t="str">
        <f t="shared" si="26"/>
        <v/>
      </c>
      <c r="Y414" s="42" t="str">
        <f t="shared" si="27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5"/>
        <v/>
      </c>
      <c r="M415" s="78"/>
      <c r="N415" s="78"/>
      <c r="O415" s="78"/>
      <c r="P415" s="78"/>
      <c r="Q415" s="78"/>
      <c r="R415" s="36">
        <f t="shared" si="24"/>
        <v>28348.636155563392</v>
      </c>
      <c r="S415" s="386"/>
      <c r="T415" s="37"/>
      <c r="X415" s="39" t="str">
        <f t="shared" si="26"/>
        <v/>
      </c>
      <c r="Y415" s="42" t="str">
        <f t="shared" si="27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5"/>
        <v/>
      </c>
      <c r="M416" s="78"/>
      <c r="N416" s="78"/>
      <c r="O416" s="78"/>
      <c r="P416" s="78"/>
      <c r="Q416" s="78"/>
      <c r="R416" s="36">
        <f t="shared" si="24"/>
        <v>28348.636155563392</v>
      </c>
      <c r="S416" s="386"/>
      <c r="T416" s="37"/>
      <c r="X416" s="39" t="str">
        <f t="shared" si="26"/>
        <v/>
      </c>
      <c r="Y416" s="42" t="str">
        <f t="shared" si="27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5"/>
        <v/>
      </c>
      <c r="M417" s="78"/>
      <c r="N417" s="78"/>
      <c r="O417" s="78"/>
      <c r="P417" s="78"/>
      <c r="Q417" s="78"/>
      <c r="R417" s="36">
        <f t="shared" si="24"/>
        <v>28348.636155563392</v>
      </c>
      <c r="S417" s="386"/>
      <c r="T417" s="37"/>
      <c r="X417" s="39" t="str">
        <f t="shared" si="26"/>
        <v/>
      </c>
      <c r="Y417" s="42" t="str">
        <f t="shared" si="27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5"/>
        <v/>
      </c>
      <c r="M418" s="78"/>
      <c r="N418" s="78"/>
      <c r="O418" s="78"/>
      <c r="P418" s="78"/>
      <c r="Q418" s="78"/>
      <c r="R418" s="36">
        <f t="shared" ref="R418:R481" si="28">R417*((J418/100)+1)</f>
        <v>28348.636155563392</v>
      </c>
      <c r="S418" s="386"/>
      <c r="T418" s="37"/>
      <c r="X418" s="39" t="str">
        <f t="shared" si="26"/>
        <v/>
      </c>
      <c r="Y418" s="42" t="str">
        <f t="shared" si="27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5"/>
        <v/>
      </c>
      <c r="M419" s="78"/>
      <c r="N419" s="78"/>
      <c r="O419" s="78"/>
      <c r="P419" s="78"/>
      <c r="Q419" s="78"/>
      <c r="R419" s="36">
        <f t="shared" si="28"/>
        <v>28348.636155563392</v>
      </c>
      <c r="S419" s="386"/>
      <c r="T419" s="37"/>
      <c r="X419" s="39" t="str">
        <f t="shared" si="26"/>
        <v/>
      </c>
      <c r="Y419" s="42" t="str">
        <f t="shared" si="27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5"/>
        <v/>
      </c>
      <c r="M420" s="78"/>
      <c r="N420" s="78"/>
      <c r="O420" s="78"/>
      <c r="P420" s="78"/>
      <c r="Q420" s="78"/>
      <c r="R420" s="36">
        <f t="shared" si="28"/>
        <v>28348.636155563392</v>
      </c>
      <c r="S420" s="386"/>
      <c r="T420" s="37"/>
      <c r="X420" s="39" t="str">
        <f t="shared" si="26"/>
        <v/>
      </c>
      <c r="Y420" s="42" t="str">
        <f t="shared" si="27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5"/>
        <v/>
      </c>
      <c r="M421" s="78"/>
      <c r="N421" s="78"/>
      <c r="O421" s="78"/>
      <c r="P421" s="78"/>
      <c r="Q421" s="78"/>
      <c r="R421" s="36">
        <f t="shared" si="28"/>
        <v>28348.636155563392</v>
      </c>
      <c r="S421" s="386"/>
      <c r="T421" s="37"/>
      <c r="X421" s="39" t="str">
        <f t="shared" si="26"/>
        <v/>
      </c>
      <c r="Y421" s="42" t="str">
        <f t="shared" si="27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5"/>
        <v/>
      </c>
      <c r="M422" s="78"/>
      <c r="N422" s="78"/>
      <c r="O422" s="78"/>
      <c r="P422" s="78"/>
      <c r="Q422" s="78"/>
      <c r="R422" s="36">
        <f t="shared" si="28"/>
        <v>28348.636155563392</v>
      </c>
      <c r="S422" s="386"/>
      <c r="T422" s="37"/>
      <c r="X422" s="39" t="str">
        <f t="shared" si="26"/>
        <v/>
      </c>
      <c r="Y422" s="42" t="str">
        <f t="shared" si="27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5"/>
        <v/>
      </c>
      <c r="M423" s="78"/>
      <c r="N423" s="78"/>
      <c r="O423" s="78"/>
      <c r="P423" s="78"/>
      <c r="Q423" s="78"/>
      <c r="R423" s="36">
        <f t="shared" si="28"/>
        <v>28348.636155563392</v>
      </c>
      <c r="S423" s="386"/>
      <c r="T423" s="37"/>
      <c r="X423" s="39" t="str">
        <f t="shared" si="26"/>
        <v/>
      </c>
      <c r="Y423" s="42" t="str">
        <f t="shared" si="27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5"/>
        <v/>
      </c>
      <c r="M424" s="78"/>
      <c r="N424" s="78"/>
      <c r="O424" s="78"/>
      <c r="P424" s="78"/>
      <c r="Q424" s="78"/>
      <c r="R424" s="36">
        <f t="shared" si="28"/>
        <v>28348.636155563392</v>
      </c>
      <c r="S424" s="386"/>
      <c r="T424" s="37"/>
      <c r="X424" s="39" t="str">
        <f t="shared" si="26"/>
        <v/>
      </c>
      <c r="Y424" s="42" t="str">
        <f t="shared" si="27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5"/>
        <v/>
      </c>
      <c r="M425" s="78"/>
      <c r="N425" s="78"/>
      <c r="O425" s="78"/>
      <c r="P425" s="78"/>
      <c r="Q425" s="78"/>
      <c r="R425" s="36">
        <f t="shared" si="28"/>
        <v>28348.636155563392</v>
      </c>
      <c r="S425" s="386"/>
      <c r="T425" s="37"/>
      <c r="X425" s="39" t="str">
        <f t="shared" si="26"/>
        <v/>
      </c>
      <c r="Y425" s="42" t="str">
        <f t="shared" si="27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5"/>
        <v/>
      </c>
      <c r="M426" s="78"/>
      <c r="N426" s="78"/>
      <c r="O426" s="78"/>
      <c r="P426" s="78"/>
      <c r="Q426" s="78"/>
      <c r="R426" s="36">
        <f t="shared" si="28"/>
        <v>28348.636155563392</v>
      </c>
      <c r="S426" s="386"/>
      <c r="T426" s="37"/>
      <c r="X426" s="39" t="str">
        <f t="shared" si="26"/>
        <v/>
      </c>
      <c r="Y426" s="42" t="str">
        <f t="shared" si="27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5"/>
        <v/>
      </c>
      <c r="M427" s="78"/>
      <c r="N427" s="78"/>
      <c r="O427" s="78"/>
      <c r="P427" s="78"/>
      <c r="Q427" s="78"/>
      <c r="R427" s="36">
        <f t="shared" si="28"/>
        <v>28348.636155563392</v>
      </c>
      <c r="S427" s="386"/>
      <c r="T427" s="37"/>
      <c r="X427" s="39" t="str">
        <f t="shared" si="26"/>
        <v/>
      </c>
      <c r="Y427" s="42" t="str">
        <f t="shared" si="27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5"/>
        <v/>
      </c>
      <c r="M428" s="78"/>
      <c r="N428" s="78"/>
      <c r="O428" s="78"/>
      <c r="P428" s="78"/>
      <c r="Q428" s="78"/>
      <c r="R428" s="36">
        <f t="shared" si="28"/>
        <v>28348.636155563392</v>
      </c>
      <c r="S428" s="386"/>
      <c r="T428" s="37"/>
      <c r="X428" s="39" t="str">
        <f t="shared" si="26"/>
        <v/>
      </c>
      <c r="Y428" s="42" t="str">
        <f t="shared" si="27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9">IF(B429="Compra",F429*G429,"")</f>
        <v/>
      </c>
      <c r="M429" s="78"/>
      <c r="N429" s="78"/>
      <c r="O429" s="78"/>
      <c r="P429" s="78"/>
      <c r="Q429" s="78"/>
      <c r="R429" s="36">
        <f t="shared" si="28"/>
        <v>28348.636155563392</v>
      </c>
      <c r="S429" s="386"/>
      <c r="T429" s="37"/>
      <c r="X429" s="39" t="str">
        <f t="shared" si="26"/>
        <v/>
      </c>
      <c r="Y429" s="42" t="str">
        <f t="shared" si="27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9"/>
        <v/>
      </c>
      <c r="M430" s="78"/>
      <c r="N430" s="78"/>
      <c r="O430" s="78"/>
      <c r="P430" s="78"/>
      <c r="Q430" s="78"/>
      <c r="R430" s="36">
        <f t="shared" si="28"/>
        <v>28348.636155563392</v>
      </c>
      <c r="S430" s="386"/>
      <c r="T430" s="37"/>
      <c r="X430" s="39" t="str">
        <f t="shared" si="26"/>
        <v/>
      </c>
      <c r="Y430" s="42" t="str">
        <f t="shared" si="27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9"/>
        <v/>
      </c>
      <c r="M431" s="78"/>
      <c r="N431" s="78"/>
      <c r="O431" s="78"/>
      <c r="P431" s="78"/>
      <c r="Q431" s="78"/>
      <c r="R431" s="36">
        <f t="shared" si="28"/>
        <v>28348.636155563392</v>
      </c>
      <c r="S431" s="386"/>
      <c r="T431" s="37"/>
      <c r="X431" s="39" t="str">
        <f t="shared" si="26"/>
        <v/>
      </c>
      <c r="Y431" s="42" t="str">
        <f t="shared" si="27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9"/>
        <v/>
      </c>
      <c r="M432" s="78"/>
      <c r="N432" s="78"/>
      <c r="O432" s="78"/>
      <c r="P432" s="78"/>
      <c r="Q432" s="78"/>
      <c r="R432" s="36">
        <f t="shared" si="28"/>
        <v>28348.636155563392</v>
      </c>
      <c r="S432" s="386"/>
      <c r="T432" s="37"/>
      <c r="X432" s="39" t="str">
        <f t="shared" si="26"/>
        <v/>
      </c>
      <c r="Y432" s="42" t="str">
        <f t="shared" si="27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9"/>
        <v/>
      </c>
      <c r="M433" s="78"/>
      <c r="N433" s="78"/>
      <c r="O433" s="78"/>
      <c r="P433" s="78"/>
      <c r="Q433" s="78"/>
      <c r="R433" s="36">
        <f t="shared" si="28"/>
        <v>28348.636155563392</v>
      </c>
      <c r="S433" s="386"/>
      <c r="T433" s="37"/>
      <c r="X433" s="39" t="str">
        <f t="shared" si="26"/>
        <v/>
      </c>
      <c r="Y433" s="42" t="str">
        <f t="shared" si="27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9"/>
        <v/>
      </c>
      <c r="M434" s="78"/>
      <c r="N434" s="78"/>
      <c r="O434" s="78"/>
      <c r="P434" s="78"/>
      <c r="Q434" s="78"/>
      <c r="R434" s="36">
        <f t="shared" si="28"/>
        <v>28348.636155563392</v>
      </c>
      <c r="S434" s="386"/>
      <c r="T434" s="37"/>
      <c r="X434" s="39" t="str">
        <f t="shared" si="26"/>
        <v/>
      </c>
      <c r="Y434" s="42" t="str">
        <f t="shared" si="27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9"/>
        <v/>
      </c>
      <c r="M435" s="78"/>
      <c r="N435" s="78"/>
      <c r="O435" s="78"/>
      <c r="P435" s="78"/>
      <c r="Q435" s="78"/>
      <c r="R435" s="36">
        <f t="shared" si="28"/>
        <v>28348.636155563392</v>
      </c>
      <c r="S435" s="386"/>
      <c r="T435" s="37"/>
      <c r="X435" s="39" t="str">
        <f t="shared" si="26"/>
        <v/>
      </c>
      <c r="Y435" s="42" t="str">
        <f t="shared" si="27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9"/>
        <v/>
      </c>
      <c r="M436" s="78"/>
      <c r="N436" s="78"/>
      <c r="O436" s="78"/>
      <c r="P436" s="78"/>
      <c r="Q436" s="78"/>
      <c r="R436" s="36">
        <f t="shared" si="28"/>
        <v>28348.636155563392</v>
      </c>
      <c r="S436" s="386"/>
      <c r="T436" s="37"/>
      <c r="X436" s="39" t="str">
        <f t="shared" si="26"/>
        <v/>
      </c>
      <c r="Y436" s="42" t="str">
        <f t="shared" si="27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9"/>
        <v/>
      </c>
      <c r="M437" s="78"/>
      <c r="N437" s="78"/>
      <c r="O437" s="78"/>
      <c r="P437" s="78"/>
      <c r="Q437" s="78"/>
      <c r="R437" s="36">
        <f t="shared" si="28"/>
        <v>28348.636155563392</v>
      </c>
      <c r="S437" s="386"/>
      <c r="T437" s="37"/>
      <c r="X437" s="39" t="str">
        <f t="shared" si="26"/>
        <v/>
      </c>
      <c r="Y437" s="42" t="str">
        <f t="shared" si="27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9"/>
        <v/>
      </c>
      <c r="M438" s="78"/>
      <c r="N438" s="78"/>
      <c r="O438" s="78"/>
      <c r="P438" s="78"/>
      <c r="Q438" s="78"/>
      <c r="R438" s="36">
        <f t="shared" si="28"/>
        <v>28348.636155563392</v>
      </c>
      <c r="S438" s="386"/>
      <c r="T438" s="37"/>
      <c r="X438" s="39" t="str">
        <f t="shared" ref="X438:X501" si="30">IF(I553&lt;&gt;0,I553,"")</f>
        <v/>
      </c>
      <c r="Y438" s="42" t="str">
        <f t="shared" ref="Y438:Y501" si="31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9"/>
        <v/>
      </c>
      <c r="M439" s="78"/>
      <c r="N439" s="78"/>
      <c r="O439" s="78"/>
      <c r="P439" s="78"/>
      <c r="Q439" s="78"/>
      <c r="R439" s="36">
        <f t="shared" si="28"/>
        <v>28348.636155563392</v>
      </c>
      <c r="S439" s="386"/>
      <c r="T439" s="37"/>
      <c r="X439" s="39" t="str">
        <f t="shared" si="30"/>
        <v/>
      </c>
      <c r="Y439" s="42" t="str">
        <f t="shared" si="31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9"/>
        <v/>
      </c>
      <c r="M440" s="78"/>
      <c r="N440" s="78"/>
      <c r="O440" s="78"/>
      <c r="P440" s="78"/>
      <c r="Q440" s="78"/>
      <c r="R440" s="36">
        <f t="shared" si="28"/>
        <v>28348.636155563392</v>
      </c>
      <c r="S440" s="386"/>
      <c r="T440" s="37"/>
      <c r="X440" s="39" t="str">
        <f t="shared" si="30"/>
        <v/>
      </c>
      <c r="Y440" s="42" t="str">
        <f t="shared" si="31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9"/>
        <v/>
      </c>
      <c r="M441" s="78"/>
      <c r="N441" s="78"/>
      <c r="O441" s="78"/>
      <c r="P441" s="78"/>
      <c r="Q441" s="78"/>
      <c r="R441" s="36">
        <f t="shared" si="28"/>
        <v>28348.636155563392</v>
      </c>
      <c r="S441" s="386"/>
      <c r="T441" s="37"/>
      <c r="X441" s="39" t="str">
        <f t="shared" si="30"/>
        <v/>
      </c>
      <c r="Y441" s="42" t="str">
        <f t="shared" si="31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9"/>
        <v/>
      </c>
      <c r="M442" s="78"/>
      <c r="N442" s="78"/>
      <c r="O442" s="78"/>
      <c r="P442" s="78"/>
      <c r="Q442" s="78"/>
      <c r="R442" s="36">
        <f t="shared" si="28"/>
        <v>28348.636155563392</v>
      </c>
      <c r="S442" s="386"/>
      <c r="T442" s="37"/>
      <c r="X442" s="39" t="str">
        <f t="shared" si="30"/>
        <v/>
      </c>
      <c r="Y442" s="42" t="str">
        <f t="shared" si="31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9"/>
        <v/>
      </c>
      <c r="M443" s="78"/>
      <c r="N443" s="78"/>
      <c r="O443" s="78"/>
      <c r="P443" s="78"/>
      <c r="Q443" s="78"/>
      <c r="R443" s="36">
        <f t="shared" si="28"/>
        <v>28348.636155563392</v>
      </c>
      <c r="S443" s="386"/>
      <c r="T443" s="37"/>
      <c r="X443" s="39" t="str">
        <f t="shared" si="30"/>
        <v/>
      </c>
      <c r="Y443" s="42" t="str">
        <f t="shared" si="31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9"/>
        <v/>
      </c>
      <c r="M444" s="78"/>
      <c r="N444" s="78"/>
      <c r="O444" s="78"/>
      <c r="P444" s="78"/>
      <c r="Q444" s="78"/>
      <c r="R444" s="36">
        <f t="shared" si="28"/>
        <v>28348.636155563392</v>
      </c>
      <c r="S444" s="386"/>
      <c r="T444" s="37"/>
      <c r="X444" s="39" t="str">
        <f t="shared" si="30"/>
        <v/>
      </c>
      <c r="Y444" s="42" t="str">
        <f t="shared" si="31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9"/>
        <v/>
      </c>
      <c r="M445" s="78"/>
      <c r="N445" s="78"/>
      <c r="O445" s="78"/>
      <c r="P445" s="78"/>
      <c r="Q445" s="78"/>
      <c r="R445" s="36">
        <f t="shared" si="28"/>
        <v>28348.636155563392</v>
      </c>
      <c r="S445" s="386"/>
      <c r="T445" s="37"/>
      <c r="X445" s="39" t="str">
        <f t="shared" si="30"/>
        <v/>
      </c>
      <c r="Y445" s="42" t="str">
        <f t="shared" si="31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9"/>
        <v/>
      </c>
      <c r="M446" s="78"/>
      <c r="N446" s="78"/>
      <c r="O446" s="78"/>
      <c r="P446" s="78"/>
      <c r="Q446" s="78"/>
      <c r="R446" s="36">
        <f t="shared" si="28"/>
        <v>28348.636155563392</v>
      </c>
      <c r="S446" s="386"/>
      <c r="T446" s="37"/>
      <c r="X446" s="39" t="str">
        <f t="shared" si="30"/>
        <v/>
      </c>
      <c r="Y446" s="42" t="str">
        <f t="shared" si="31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9"/>
        <v/>
      </c>
      <c r="M447" s="78"/>
      <c r="N447" s="78"/>
      <c r="O447" s="78"/>
      <c r="P447" s="78"/>
      <c r="Q447" s="78"/>
      <c r="R447" s="36">
        <f t="shared" si="28"/>
        <v>28348.636155563392</v>
      </c>
      <c r="S447" s="386"/>
      <c r="T447" s="37"/>
      <c r="X447" s="39" t="str">
        <f t="shared" si="30"/>
        <v/>
      </c>
      <c r="Y447" s="42" t="str">
        <f t="shared" si="31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9"/>
        <v/>
      </c>
      <c r="M448" s="78"/>
      <c r="N448" s="78"/>
      <c r="O448" s="78"/>
      <c r="P448" s="78"/>
      <c r="Q448" s="78"/>
      <c r="R448" s="36">
        <f t="shared" si="28"/>
        <v>28348.636155563392</v>
      </c>
      <c r="S448" s="386"/>
      <c r="T448" s="37"/>
      <c r="X448" s="39" t="str">
        <f t="shared" si="30"/>
        <v/>
      </c>
      <c r="Y448" s="42" t="str">
        <f t="shared" si="31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9"/>
        <v/>
      </c>
      <c r="M449" s="78"/>
      <c r="N449" s="78"/>
      <c r="O449" s="78"/>
      <c r="P449" s="78"/>
      <c r="Q449" s="78"/>
      <c r="R449" s="36">
        <f t="shared" si="28"/>
        <v>28348.636155563392</v>
      </c>
      <c r="S449" s="386"/>
      <c r="T449" s="37"/>
      <c r="X449" s="39" t="str">
        <f t="shared" si="30"/>
        <v/>
      </c>
      <c r="Y449" s="42" t="str">
        <f t="shared" si="31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9"/>
        <v/>
      </c>
      <c r="M450" s="78"/>
      <c r="N450" s="78"/>
      <c r="O450" s="78"/>
      <c r="P450" s="78"/>
      <c r="Q450" s="78"/>
      <c r="R450" s="36">
        <f t="shared" si="28"/>
        <v>28348.636155563392</v>
      </c>
      <c r="S450" s="386"/>
      <c r="T450" s="37"/>
      <c r="X450" s="39" t="str">
        <f t="shared" si="30"/>
        <v/>
      </c>
      <c r="Y450" s="42" t="str">
        <f t="shared" si="31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9"/>
        <v/>
      </c>
      <c r="M451" s="78"/>
      <c r="N451" s="78"/>
      <c r="O451" s="78"/>
      <c r="P451" s="78"/>
      <c r="Q451" s="78"/>
      <c r="R451" s="36">
        <f t="shared" si="28"/>
        <v>28348.636155563392</v>
      </c>
      <c r="S451" s="386"/>
      <c r="T451" s="37"/>
      <c r="X451" s="39" t="str">
        <f t="shared" si="30"/>
        <v/>
      </c>
      <c r="Y451" s="42" t="str">
        <f t="shared" si="31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9"/>
        <v/>
      </c>
      <c r="M452" s="78"/>
      <c r="N452" s="78"/>
      <c r="O452" s="78"/>
      <c r="P452" s="78"/>
      <c r="Q452" s="78"/>
      <c r="R452" s="36">
        <f t="shared" si="28"/>
        <v>28348.636155563392</v>
      </c>
      <c r="S452" s="386"/>
      <c r="T452" s="37"/>
      <c r="X452" s="39" t="str">
        <f t="shared" si="30"/>
        <v/>
      </c>
      <c r="Y452" s="42" t="str">
        <f t="shared" si="31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9"/>
        <v/>
      </c>
      <c r="M453" s="78"/>
      <c r="N453" s="78"/>
      <c r="O453" s="78"/>
      <c r="P453" s="78"/>
      <c r="Q453" s="78"/>
      <c r="R453" s="36">
        <f t="shared" si="28"/>
        <v>28348.636155563392</v>
      </c>
      <c r="S453" s="386"/>
      <c r="T453" s="37"/>
      <c r="X453" s="39" t="str">
        <f t="shared" si="30"/>
        <v/>
      </c>
      <c r="Y453" s="42" t="str">
        <f t="shared" si="31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9"/>
        <v/>
      </c>
      <c r="M454" s="78"/>
      <c r="N454" s="78"/>
      <c r="O454" s="78"/>
      <c r="P454" s="78"/>
      <c r="Q454" s="78"/>
      <c r="R454" s="36">
        <f t="shared" si="28"/>
        <v>28348.636155563392</v>
      </c>
      <c r="S454" s="386"/>
      <c r="T454" s="37"/>
      <c r="X454" s="39" t="str">
        <f t="shared" si="30"/>
        <v/>
      </c>
      <c r="Y454" s="42" t="str">
        <f t="shared" si="31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9"/>
        <v/>
      </c>
      <c r="M455" s="78"/>
      <c r="N455" s="78"/>
      <c r="O455" s="78"/>
      <c r="P455" s="78"/>
      <c r="Q455" s="78"/>
      <c r="R455" s="36">
        <f t="shared" si="28"/>
        <v>28348.636155563392</v>
      </c>
      <c r="S455" s="386"/>
      <c r="T455" s="37"/>
      <c r="X455" s="39" t="str">
        <f t="shared" si="30"/>
        <v/>
      </c>
      <c r="Y455" s="42" t="str">
        <f t="shared" si="31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9"/>
        <v/>
      </c>
      <c r="M456" s="78"/>
      <c r="N456" s="78"/>
      <c r="O456" s="78"/>
      <c r="P456" s="78"/>
      <c r="Q456" s="78"/>
      <c r="R456" s="36">
        <f t="shared" si="28"/>
        <v>28348.636155563392</v>
      </c>
      <c r="S456" s="386"/>
      <c r="T456" s="37"/>
      <c r="X456" s="39" t="str">
        <f t="shared" si="30"/>
        <v/>
      </c>
      <c r="Y456" s="42" t="str">
        <f t="shared" si="31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9"/>
        <v/>
      </c>
      <c r="M457" s="78"/>
      <c r="N457" s="78"/>
      <c r="O457" s="78"/>
      <c r="P457" s="78"/>
      <c r="Q457" s="78"/>
      <c r="R457" s="36">
        <f t="shared" si="28"/>
        <v>28348.636155563392</v>
      </c>
      <c r="S457" s="386"/>
      <c r="T457" s="37"/>
      <c r="X457" s="39" t="str">
        <f t="shared" si="30"/>
        <v/>
      </c>
      <c r="Y457" s="42" t="str">
        <f t="shared" si="31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9"/>
        <v/>
      </c>
      <c r="M458" s="78"/>
      <c r="N458" s="78"/>
      <c r="O458" s="78"/>
      <c r="P458" s="78"/>
      <c r="Q458" s="78"/>
      <c r="R458" s="36">
        <f t="shared" si="28"/>
        <v>28348.636155563392</v>
      </c>
      <c r="S458" s="386"/>
      <c r="T458" s="37"/>
      <c r="X458" s="39" t="str">
        <f t="shared" si="30"/>
        <v/>
      </c>
      <c r="Y458" s="42" t="str">
        <f t="shared" si="31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9"/>
        <v/>
      </c>
      <c r="M459" s="78"/>
      <c r="N459" s="78"/>
      <c r="O459" s="78"/>
      <c r="P459" s="78"/>
      <c r="Q459" s="78"/>
      <c r="R459" s="36">
        <f t="shared" si="28"/>
        <v>28348.636155563392</v>
      </c>
      <c r="S459" s="386"/>
      <c r="T459" s="37"/>
      <c r="X459" s="39" t="str">
        <f t="shared" si="30"/>
        <v/>
      </c>
      <c r="Y459" s="42" t="str">
        <f t="shared" si="31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9"/>
        <v/>
      </c>
      <c r="M460" s="78"/>
      <c r="N460" s="78"/>
      <c r="O460" s="78"/>
      <c r="P460" s="78"/>
      <c r="Q460" s="78"/>
      <c r="R460" s="36">
        <f t="shared" si="28"/>
        <v>28348.636155563392</v>
      </c>
      <c r="S460" s="386"/>
      <c r="T460" s="37"/>
      <c r="X460" s="39" t="str">
        <f t="shared" si="30"/>
        <v/>
      </c>
      <c r="Y460" s="42" t="str">
        <f t="shared" si="31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9"/>
        <v/>
      </c>
      <c r="M461" s="78"/>
      <c r="N461" s="78"/>
      <c r="O461" s="78"/>
      <c r="P461" s="78"/>
      <c r="Q461" s="78"/>
      <c r="R461" s="36">
        <f t="shared" si="28"/>
        <v>28348.636155563392</v>
      </c>
      <c r="S461" s="386"/>
      <c r="T461" s="37"/>
      <c r="X461" s="39" t="str">
        <f t="shared" si="30"/>
        <v/>
      </c>
      <c r="Y461" s="42" t="str">
        <f t="shared" si="31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9"/>
        <v/>
      </c>
      <c r="M462" s="78"/>
      <c r="N462" s="78"/>
      <c r="O462" s="78"/>
      <c r="P462" s="78"/>
      <c r="Q462" s="78"/>
      <c r="R462" s="36">
        <f t="shared" si="28"/>
        <v>28348.636155563392</v>
      </c>
      <c r="S462" s="386"/>
      <c r="T462" s="37"/>
      <c r="X462" s="39" t="str">
        <f t="shared" si="30"/>
        <v/>
      </c>
      <c r="Y462" s="42" t="str">
        <f t="shared" si="31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9"/>
        <v/>
      </c>
      <c r="M463" s="78"/>
      <c r="N463" s="78"/>
      <c r="O463" s="78"/>
      <c r="P463" s="78"/>
      <c r="Q463" s="78"/>
      <c r="R463" s="36">
        <f t="shared" si="28"/>
        <v>28348.636155563392</v>
      </c>
      <c r="S463" s="386"/>
      <c r="T463" s="37"/>
      <c r="X463" s="39" t="str">
        <f t="shared" si="30"/>
        <v/>
      </c>
      <c r="Y463" s="42" t="str">
        <f t="shared" si="31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9"/>
        <v/>
      </c>
      <c r="M464" s="78"/>
      <c r="N464" s="78"/>
      <c r="O464" s="78"/>
      <c r="P464" s="78"/>
      <c r="Q464" s="78"/>
      <c r="R464" s="36">
        <f t="shared" si="28"/>
        <v>28348.636155563392</v>
      </c>
      <c r="S464" s="386"/>
      <c r="T464" s="37"/>
      <c r="X464" s="39" t="str">
        <f t="shared" si="30"/>
        <v/>
      </c>
      <c r="Y464" s="42" t="str">
        <f t="shared" si="31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9"/>
        <v/>
      </c>
      <c r="M465" s="78"/>
      <c r="N465" s="78"/>
      <c r="O465" s="78"/>
      <c r="P465" s="78"/>
      <c r="Q465" s="78"/>
      <c r="R465" s="36">
        <f t="shared" si="28"/>
        <v>28348.636155563392</v>
      </c>
      <c r="S465" s="386"/>
      <c r="T465" s="37"/>
      <c r="X465" s="39" t="str">
        <f t="shared" si="30"/>
        <v/>
      </c>
      <c r="Y465" s="42" t="str">
        <f t="shared" si="31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9"/>
        <v/>
      </c>
      <c r="M466" s="78"/>
      <c r="N466" s="78"/>
      <c r="O466" s="78"/>
      <c r="P466" s="78"/>
      <c r="Q466" s="78"/>
      <c r="R466" s="36">
        <f t="shared" si="28"/>
        <v>28348.636155563392</v>
      </c>
      <c r="S466" s="386"/>
      <c r="T466" s="37"/>
      <c r="X466" s="39" t="str">
        <f t="shared" si="30"/>
        <v/>
      </c>
      <c r="Y466" s="42" t="str">
        <f t="shared" si="31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9"/>
        <v/>
      </c>
      <c r="M467" s="78"/>
      <c r="N467" s="78"/>
      <c r="O467" s="78"/>
      <c r="P467" s="78"/>
      <c r="Q467" s="78"/>
      <c r="R467" s="36">
        <f t="shared" si="28"/>
        <v>28348.636155563392</v>
      </c>
      <c r="S467" s="386"/>
      <c r="T467" s="37"/>
      <c r="X467" s="39" t="str">
        <f t="shared" si="30"/>
        <v/>
      </c>
      <c r="Y467" s="42" t="str">
        <f t="shared" si="31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9"/>
        <v/>
      </c>
      <c r="M468" s="78"/>
      <c r="N468" s="78"/>
      <c r="O468" s="78"/>
      <c r="P468" s="78"/>
      <c r="Q468" s="78"/>
      <c r="R468" s="36">
        <f t="shared" si="28"/>
        <v>28348.636155563392</v>
      </c>
      <c r="S468" s="386"/>
      <c r="T468" s="37"/>
      <c r="X468" s="39" t="str">
        <f t="shared" si="30"/>
        <v/>
      </c>
      <c r="Y468" s="42" t="str">
        <f t="shared" si="31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9"/>
        <v/>
      </c>
      <c r="M469" s="78"/>
      <c r="N469" s="78"/>
      <c r="O469" s="78"/>
      <c r="P469" s="78"/>
      <c r="Q469" s="78"/>
      <c r="R469" s="36">
        <f t="shared" si="28"/>
        <v>28348.636155563392</v>
      </c>
      <c r="S469" s="386"/>
      <c r="T469" s="37"/>
      <c r="X469" s="39" t="str">
        <f t="shared" si="30"/>
        <v/>
      </c>
      <c r="Y469" s="42" t="str">
        <f t="shared" si="31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9"/>
        <v/>
      </c>
      <c r="M470" s="78"/>
      <c r="N470" s="78"/>
      <c r="O470" s="78"/>
      <c r="P470" s="78"/>
      <c r="Q470" s="78"/>
      <c r="R470" s="36">
        <f t="shared" si="28"/>
        <v>28348.636155563392</v>
      </c>
      <c r="S470" s="386"/>
      <c r="T470" s="37"/>
      <c r="X470" s="39" t="str">
        <f t="shared" si="30"/>
        <v/>
      </c>
      <c r="Y470" s="42" t="str">
        <f t="shared" si="31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9"/>
        <v/>
      </c>
      <c r="M471" s="78"/>
      <c r="N471" s="78"/>
      <c r="O471" s="78"/>
      <c r="P471" s="78"/>
      <c r="Q471" s="78"/>
      <c r="R471" s="36">
        <f t="shared" si="28"/>
        <v>28348.636155563392</v>
      </c>
      <c r="S471" s="386"/>
      <c r="T471" s="37"/>
      <c r="X471" s="39" t="str">
        <f t="shared" si="30"/>
        <v/>
      </c>
      <c r="Y471" s="42" t="str">
        <f t="shared" si="31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9"/>
        <v/>
      </c>
      <c r="M472" s="78"/>
      <c r="N472" s="78"/>
      <c r="O472" s="78"/>
      <c r="P472" s="78"/>
      <c r="Q472" s="78"/>
      <c r="R472" s="36">
        <f t="shared" si="28"/>
        <v>28348.636155563392</v>
      </c>
      <c r="S472" s="386"/>
      <c r="T472" s="37"/>
      <c r="X472" s="39" t="str">
        <f t="shared" si="30"/>
        <v/>
      </c>
      <c r="Y472" s="42" t="str">
        <f t="shared" si="31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9"/>
        <v/>
      </c>
      <c r="M473" s="78"/>
      <c r="N473" s="78"/>
      <c r="O473" s="78"/>
      <c r="P473" s="78"/>
      <c r="Q473" s="78"/>
      <c r="R473" s="36">
        <f t="shared" si="28"/>
        <v>28348.636155563392</v>
      </c>
      <c r="S473" s="386"/>
      <c r="T473" s="37"/>
      <c r="X473" s="39" t="str">
        <f t="shared" si="30"/>
        <v/>
      </c>
      <c r="Y473" s="42" t="str">
        <f t="shared" si="31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9"/>
        <v/>
      </c>
      <c r="M474" s="78"/>
      <c r="N474" s="78"/>
      <c r="O474" s="78"/>
      <c r="P474" s="78"/>
      <c r="Q474" s="78"/>
      <c r="R474" s="36">
        <f t="shared" si="28"/>
        <v>28348.636155563392</v>
      </c>
      <c r="S474" s="386"/>
      <c r="T474" s="37"/>
      <c r="X474" s="39" t="str">
        <f t="shared" si="30"/>
        <v/>
      </c>
      <c r="Y474" s="42" t="str">
        <f t="shared" si="31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9"/>
        <v/>
      </c>
      <c r="M475" s="78"/>
      <c r="N475" s="78"/>
      <c r="O475" s="78"/>
      <c r="P475" s="78"/>
      <c r="Q475" s="78"/>
      <c r="R475" s="36">
        <f t="shared" si="28"/>
        <v>28348.636155563392</v>
      </c>
      <c r="S475" s="386"/>
      <c r="T475" s="37"/>
      <c r="X475" s="39" t="str">
        <f t="shared" si="30"/>
        <v/>
      </c>
      <c r="Y475" s="42" t="str">
        <f t="shared" si="31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9"/>
        <v/>
      </c>
      <c r="M476" s="78"/>
      <c r="N476" s="78"/>
      <c r="O476" s="78"/>
      <c r="P476" s="78"/>
      <c r="Q476" s="78"/>
      <c r="R476" s="36">
        <f t="shared" si="28"/>
        <v>28348.636155563392</v>
      </c>
      <c r="S476" s="386"/>
      <c r="T476" s="37"/>
      <c r="X476" s="39" t="str">
        <f t="shared" si="30"/>
        <v/>
      </c>
      <c r="Y476" s="42" t="str">
        <f t="shared" si="31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9"/>
        <v/>
      </c>
      <c r="M477" s="78"/>
      <c r="N477" s="78"/>
      <c r="O477" s="78"/>
      <c r="P477" s="78"/>
      <c r="Q477" s="78"/>
      <c r="R477" s="36">
        <f t="shared" si="28"/>
        <v>28348.636155563392</v>
      </c>
      <c r="S477" s="386"/>
      <c r="T477" s="37"/>
      <c r="X477" s="39" t="str">
        <f t="shared" si="30"/>
        <v/>
      </c>
      <c r="Y477" s="42" t="str">
        <f t="shared" si="31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9"/>
        <v/>
      </c>
      <c r="M478" s="78"/>
      <c r="N478" s="78"/>
      <c r="O478" s="78"/>
      <c r="P478" s="78"/>
      <c r="Q478" s="78"/>
      <c r="R478" s="36">
        <f t="shared" si="28"/>
        <v>28348.636155563392</v>
      </c>
      <c r="S478" s="386"/>
      <c r="T478" s="37"/>
      <c r="X478" s="39" t="str">
        <f t="shared" si="30"/>
        <v/>
      </c>
      <c r="Y478" s="42" t="str">
        <f t="shared" si="31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9"/>
        <v/>
      </c>
      <c r="M479" s="78"/>
      <c r="N479" s="78"/>
      <c r="O479" s="78"/>
      <c r="P479" s="78"/>
      <c r="Q479" s="78"/>
      <c r="R479" s="36">
        <f t="shared" si="28"/>
        <v>28348.636155563392</v>
      </c>
      <c r="S479" s="386"/>
      <c r="T479" s="37"/>
      <c r="X479" s="39" t="str">
        <f t="shared" si="30"/>
        <v/>
      </c>
      <c r="Y479" s="42" t="str">
        <f t="shared" si="31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9"/>
        <v/>
      </c>
      <c r="M480" s="78"/>
      <c r="N480" s="78"/>
      <c r="O480" s="78"/>
      <c r="P480" s="78"/>
      <c r="Q480" s="78"/>
      <c r="R480" s="36">
        <f t="shared" si="28"/>
        <v>28348.636155563392</v>
      </c>
      <c r="S480" s="386"/>
      <c r="T480" s="37"/>
      <c r="X480" s="39" t="str">
        <f t="shared" si="30"/>
        <v/>
      </c>
      <c r="Y480" s="42" t="str">
        <f t="shared" si="31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9"/>
        <v/>
      </c>
      <c r="M481" s="78"/>
      <c r="N481" s="78"/>
      <c r="O481" s="78"/>
      <c r="P481" s="78"/>
      <c r="Q481" s="78"/>
      <c r="R481" s="36">
        <f t="shared" si="28"/>
        <v>28348.636155563392</v>
      </c>
      <c r="S481" s="386"/>
      <c r="T481" s="37"/>
      <c r="X481" s="39" t="str">
        <f t="shared" si="30"/>
        <v/>
      </c>
      <c r="Y481" s="42" t="str">
        <f t="shared" si="31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9"/>
        <v/>
      </c>
      <c r="M482" s="78"/>
      <c r="N482" s="78"/>
      <c r="O482" s="78"/>
      <c r="P482" s="78"/>
      <c r="Q482" s="78"/>
      <c r="R482" s="36">
        <f t="shared" ref="R482:R545" si="32">R481*((J482/100)+1)</f>
        <v>28348.636155563392</v>
      </c>
      <c r="S482" s="386"/>
      <c r="T482" s="37"/>
      <c r="X482" s="39" t="str">
        <f t="shared" si="30"/>
        <v/>
      </c>
      <c r="Y482" s="42" t="str">
        <f t="shared" si="31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9"/>
        <v/>
      </c>
      <c r="M483" s="78"/>
      <c r="N483" s="78"/>
      <c r="O483" s="78"/>
      <c r="P483" s="78"/>
      <c r="Q483" s="78"/>
      <c r="R483" s="36">
        <f t="shared" si="32"/>
        <v>28348.636155563392</v>
      </c>
      <c r="S483" s="386"/>
      <c r="T483" s="37"/>
      <c r="X483" s="39" t="str">
        <f t="shared" si="30"/>
        <v/>
      </c>
      <c r="Y483" s="42" t="str">
        <f t="shared" si="31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9"/>
        <v/>
      </c>
      <c r="M484" s="78"/>
      <c r="N484" s="78"/>
      <c r="O484" s="78"/>
      <c r="P484" s="78"/>
      <c r="Q484" s="78"/>
      <c r="R484" s="36">
        <f t="shared" si="32"/>
        <v>28348.636155563392</v>
      </c>
      <c r="S484" s="386"/>
      <c r="T484" s="37"/>
      <c r="X484" s="39" t="str">
        <f t="shared" si="30"/>
        <v/>
      </c>
      <c r="Y484" s="42" t="str">
        <f t="shared" si="31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9"/>
        <v/>
      </c>
      <c r="M485" s="78"/>
      <c r="N485" s="78"/>
      <c r="O485" s="78"/>
      <c r="P485" s="78"/>
      <c r="Q485" s="78"/>
      <c r="R485" s="36">
        <f t="shared" si="32"/>
        <v>28348.636155563392</v>
      </c>
      <c r="S485" s="386"/>
      <c r="T485" s="37"/>
      <c r="X485" s="39" t="str">
        <f t="shared" si="30"/>
        <v/>
      </c>
      <c r="Y485" s="42" t="str">
        <f t="shared" si="31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9"/>
        <v/>
      </c>
      <c r="M486" s="78"/>
      <c r="N486" s="78"/>
      <c r="O486" s="78"/>
      <c r="P486" s="78"/>
      <c r="Q486" s="78"/>
      <c r="R486" s="36">
        <f t="shared" si="32"/>
        <v>28348.636155563392</v>
      </c>
      <c r="S486" s="386"/>
      <c r="T486" s="37"/>
      <c r="X486" s="39" t="str">
        <f t="shared" si="30"/>
        <v/>
      </c>
      <c r="Y486" s="42" t="str">
        <f t="shared" si="31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9"/>
        <v/>
      </c>
      <c r="M487" s="78"/>
      <c r="N487" s="78"/>
      <c r="O487" s="78"/>
      <c r="P487" s="78"/>
      <c r="Q487" s="78"/>
      <c r="R487" s="36">
        <f t="shared" si="32"/>
        <v>28348.636155563392</v>
      </c>
      <c r="S487" s="386"/>
      <c r="T487" s="37"/>
      <c r="X487" s="39" t="str">
        <f t="shared" si="30"/>
        <v/>
      </c>
      <c r="Y487" s="42" t="str">
        <f t="shared" si="31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9"/>
        <v/>
      </c>
      <c r="M488" s="78"/>
      <c r="N488" s="78"/>
      <c r="O488" s="78"/>
      <c r="P488" s="78"/>
      <c r="Q488" s="78"/>
      <c r="R488" s="36">
        <f t="shared" si="32"/>
        <v>28348.636155563392</v>
      </c>
      <c r="S488" s="386"/>
      <c r="T488" s="37"/>
      <c r="X488" s="39" t="str">
        <f t="shared" si="30"/>
        <v/>
      </c>
      <c r="Y488" s="42" t="str">
        <f t="shared" si="31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9"/>
        <v/>
      </c>
      <c r="M489" s="78"/>
      <c r="N489" s="78"/>
      <c r="O489" s="78"/>
      <c r="P489" s="78"/>
      <c r="Q489" s="78"/>
      <c r="R489" s="36">
        <f t="shared" si="32"/>
        <v>28348.636155563392</v>
      </c>
      <c r="S489" s="386"/>
      <c r="T489" s="37"/>
      <c r="X489" s="39" t="str">
        <f t="shared" si="30"/>
        <v/>
      </c>
      <c r="Y489" s="42" t="str">
        <f t="shared" si="31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9"/>
        <v/>
      </c>
      <c r="M490" s="78"/>
      <c r="N490" s="78"/>
      <c r="O490" s="78"/>
      <c r="P490" s="78"/>
      <c r="Q490" s="78"/>
      <c r="R490" s="36">
        <f t="shared" si="32"/>
        <v>28348.636155563392</v>
      </c>
      <c r="S490" s="386"/>
      <c r="T490" s="37"/>
      <c r="X490" s="39" t="str">
        <f t="shared" si="30"/>
        <v/>
      </c>
      <c r="Y490" s="42" t="str">
        <f t="shared" si="31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9"/>
        <v/>
      </c>
      <c r="M491" s="78"/>
      <c r="N491" s="78"/>
      <c r="O491" s="78"/>
      <c r="P491" s="78"/>
      <c r="Q491" s="78"/>
      <c r="R491" s="36">
        <f t="shared" si="32"/>
        <v>28348.636155563392</v>
      </c>
      <c r="S491" s="386"/>
      <c r="T491" s="37"/>
      <c r="X491" s="39" t="str">
        <f t="shared" si="30"/>
        <v/>
      </c>
      <c r="Y491" s="42" t="str">
        <f t="shared" si="31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9"/>
        <v/>
      </c>
      <c r="M492" s="78"/>
      <c r="N492" s="78"/>
      <c r="O492" s="78"/>
      <c r="P492" s="78"/>
      <c r="Q492" s="78"/>
      <c r="R492" s="36">
        <f t="shared" si="32"/>
        <v>28348.636155563392</v>
      </c>
      <c r="S492" s="386"/>
      <c r="T492" s="37"/>
      <c r="X492" s="39" t="str">
        <f t="shared" si="30"/>
        <v/>
      </c>
      <c r="Y492" s="42" t="str">
        <f t="shared" si="31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3">IF(B493="Compra",F493*G493,"")</f>
        <v/>
      </c>
      <c r="M493" s="78"/>
      <c r="N493" s="78"/>
      <c r="O493" s="78"/>
      <c r="P493" s="78"/>
      <c r="Q493" s="78"/>
      <c r="R493" s="36">
        <f t="shared" si="32"/>
        <v>28348.636155563392</v>
      </c>
      <c r="S493" s="386"/>
      <c r="T493" s="37"/>
      <c r="X493" s="39" t="str">
        <f t="shared" si="30"/>
        <v/>
      </c>
      <c r="Y493" s="42" t="str">
        <f t="shared" si="31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3"/>
        <v/>
      </c>
      <c r="M494" s="78"/>
      <c r="N494" s="78"/>
      <c r="O494" s="78"/>
      <c r="P494" s="78"/>
      <c r="Q494" s="78"/>
      <c r="R494" s="36">
        <f t="shared" si="32"/>
        <v>28348.636155563392</v>
      </c>
      <c r="S494" s="386"/>
      <c r="T494" s="37"/>
      <c r="X494" s="39" t="str">
        <f t="shared" si="30"/>
        <v/>
      </c>
      <c r="Y494" s="42" t="str">
        <f t="shared" si="31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3"/>
        <v/>
      </c>
      <c r="M495" s="78"/>
      <c r="N495" s="78"/>
      <c r="O495" s="78"/>
      <c r="P495" s="78"/>
      <c r="Q495" s="78"/>
      <c r="R495" s="36">
        <f t="shared" si="32"/>
        <v>28348.636155563392</v>
      </c>
      <c r="S495" s="386"/>
      <c r="T495" s="37"/>
      <c r="X495" s="39" t="str">
        <f t="shared" si="30"/>
        <v/>
      </c>
      <c r="Y495" s="42" t="str">
        <f t="shared" si="31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3"/>
        <v/>
      </c>
      <c r="M496" s="78"/>
      <c r="N496" s="78"/>
      <c r="O496" s="78"/>
      <c r="P496" s="78"/>
      <c r="Q496" s="78"/>
      <c r="R496" s="36">
        <f t="shared" si="32"/>
        <v>28348.636155563392</v>
      </c>
      <c r="S496" s="386"/>
      <c r="T496" s="37"/>
      <c r="X496" s="39" t="str">
        <f t="shared" si="30"/>
        <v/>
      </c>
      <c r="Y496" s="42" t="str">
        <f t="shared" si="31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3"/>
        <v/>
      </c>
      <c r="M497" s="78"/>
      <c r="N497" s="78"/>
      <c r="O497" s="78"/>
      <c r="P497" s="78"/>
      <c r="Q497" s="78"/>
      <c r="R497" s="36">
        <f t="shared" si="32"/>
        <v>28348.636155563392</v>
      </c>
      <c r="S497" s="386"/>
      <c r="T497" s="37"/>
      <c r="X497" s="39" t="str">
        <f t="shared" si="30"/>
        <v/>
      </c>
      <c r="Y497" s="42" t="str">
        <f t="shared" si="31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3"/>
        <v/>
      </c>
      <c r="M498" s="78"/>
      <c r="N498" s="78"/>
      <c r="O498" s="78"/>
      <c r="P498" s="78"/>
      <c r="Q498" s="78"/>
      <c r="R498" s="36">
        <f t="shared" si="32"/>
        <v>28348.636155563392</v>
      </c>
      <c r="S498" s="386"/>
      <c r="T498" s="37"/>
      <c r="X498" s="39" t="str">
        <f t="shared" si="30"/>
        <v/>
      </c>
      <c r="Y498" s="42" t="str">
        <f t="shared" si="31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3"/>
        <v/>
      </c>
      <c r="M499" s="78"/>
      <c r="N499" s="78"/>
      <c r="O499" s="78"/>
      <c r="P499" s="78"/>
      <c r="Q499" s="78"/>
      <c r="R499" s="36">
        <f t="shared" si="32"/>
        <v>28348.636155563392</v>
      </c>
      <c r="S499" s="386"/>
      <c r="T499" s="37"/>
      <c r="X499" s="39" t="str">
        <f t="shared" si="30"/>
        <v/>
      </c>
      <c r="Y499" s="42" t="str">
        <f t="shared" si="31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3"/>
        <v/>
      </c>
      <c r="M500" s="78"/>
      <c r="N500" s="78"/>
      <c r="O500" s="78"/>
      <c r="P500" s="78"/>
      <c r="Q500" s="78"/>
      <c r="R500" s="36">
        <f t="shared" si="32"/>
        <v>28348.636155563392</v>
      </c>
      <c r="S500" s="386"/>
      <c r="T500" s="37"/>
      <c r="X500" s="39" t="str">
        <f t="shared" si="30"/>
        <v/>
      </c>
      <c r="Y500" s="42" t="str">
        <f t="shared" si="31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3"/>
        <v/>
      </c>
      <c r="M501" s="78"/>
      <c r="N501" s="78"/>
      <c r="O501" s="78"/>
      <c r="P501" s="78"/>
      <c r="Q501" s="78"/>
      <c r="R501" s="36">
        <f t="shared" si="32"/>
        <v>28348.636155563392</v>
      </c>
      <c r="S501" s="386"/>
      <c r="T501" s="37"/>
      <c r="X501" s="39" t="str">
        <f t="shared" si="30"/>
        <v/>
      </c>
      <c r="Y501" s="42" t="str">
        <f t="shared" si="31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3"/>
        <v/>
      </c>
      <c r="M502" s="78"/>
      <c r="N502" s="78"/>
      <c r="O502" s="78"/>
      <c r="P502" s="78"/>
      <c r="Q502" s="78"/>
      <c r="R502" s="36">
        <f t="shared" si="32"/>
        <v>28348.636155563392</v>
      </c>
      <c r="S502" s="386"/>
      <c r="T502" s="37"/>
      <c r="X502" s="39" t="str">
        <f t="shared" ref="X502:X565" si="34">IF(I617&lt;&gt;0,I617,"")</f>
        <v/>
      </c>
      <c r="Y502" s="42" t="str">
        <f t="shared" ref="Y502:Y565" si="35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3"/>
        <v/>
      </c>
      <c r="M503" s="78"/>
      <c r="N503" s="78"/>
      <c r="O503" s="78"/>
      <c r="P503" s="78"/>
      <c r="Q503" s="78"/>
      <c r="R503" s="36">
        <f t="shared" si="32"/>
        <v>28348.636155563392</v>
      </c>
      <c r="S503" s="386"/>
      <c r="T503" s="37"/>
      <c r="X503" s="39" t="str">
        <f t="shared" si="34"/>
        <v/>
      </c>
      <c r="Y503" s="42" t="str">
        <f t="shared" si="35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3"/>
        <v/>
      </c>
      <c r="M504" s="78"/>
      <c r="N504" s="78"/>
      <c r="O504" s="78"/>
      <c r="P504" s="78"/>
      <c r="Q504" s="78"/>
      <c r="R504" s="36">
        <f t="shared" si="32"/>
        <v>28348.636155563392</v>
      </c>
      <c r="S504" s="386"/>
      <c r="T504" s="37"/>
      <c r="X504" s="39" t="str">
        <f t="shared" si="34"/>
        <v/>
      </c>
      <c r="Y504" s="42" t="str">
        <f t="shared" si="35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3"/>
        <v/>
      </c>
      <c r="M505" s="78"/>
      <c r="N505" s="78"/>
      <c r="O505" s="78"/>
      <c r="P505" s="78"/>
      <c r="Q505" s="78"/>
      <c r="R505" s="36">
        <f t="shared" si="32"/>
        <v>28348.636155563392</v>
      </c>
      <c r="S505" s="386"/>
      <c r="T505" s="37"/>
      <c r="X505" s="39" t="str">
        <f t="shared" si="34"/>
        <v/>
      </c>
      <c r="Y505" s="42" t="str">
        <f t="shared" si="35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3"/>
        <v/>
      </c>
      <c r="M506" s="78"/>
      <c r="N506" s="78"/>
      <c r="O506" s="78"/>
      <c r="P506" s="78"/>
      <c r="Q506" s="78"/>
      <c r="R506" s="36">
        <f t="shared" si="32"/>
        <v>28348.636155563392</v>
      </c>
      <c r="S506" s="386"/>
      <c r="T506" s="37"/>
      <c r="X506" s="39" t="str">
        <f t="shared" si="34"/>
        <v/>
      </c>
      <c r="Y506" s="42" t="str">
        <f t="shared" si="35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3"/>
        <v/>
      </c>
      <c r="M507" s="78"/>
      <c r="N507" s="78"/>
      <c r="O507" s="78"/>
      <c r="P507" s="78"/>
      <c r="Q507" s="78"/>
      <c r="R507" s="36">
        <f t="shared" si="32"/>
        <v>28348.636155563392</v>
      </c>
      <c r="S507" s="386"/>
      <c r="T507" s="37"/>
      <c r="X507" s="39" t="str">
        <f t="shared" si="34"/>
        <v/>
      </c>
      <c r="Y507" s="42" t="str">
        <f t="shared" si="35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3"/>
        <v/>
      </c>
      <c r="M508" s="78"/>
      <c r="N508" s="78"/>
      <c r="O508" s="78"/>
      <c r="P508" s="78"/>
      <c r="Q508" s="78"/>
      <c r="R508" s="36">
        <f t="shared" si="32"/>
        <v>28348.636155563392</v>
      </c>
      <c r="S508" s="386"/>
      <c r="T508" s="37"/>
      <c r="X508" s="39" t="str">
        <f t="shared" si="34"/>
        <v/>
      </c>
      <c r="Y508" s="42" t="str">
        <f t="shared" si="35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3"/>
        <v/>
      </c>
      <c r="M509" s="78"/>
      <c r="N509" s="78"/>
      <c r="O509" s="78"/>
      <c r="P509" s="78"/>
      <c r="Q509" s="78"/>
      <c r="R509" s="36">
        <f t="shared" si="32"/>
        <v>28348.636155563392</v>
      </c>
      <c r="S509" s="386"/>
      <c r="T509" s="37"/>
      <c r="X509" s="39" t="str">
        <f t="shared" si="34"/>
        <v/>
      </c>
      <c r="Y509" s="42" t="str">
        <f t="shared" si="35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3"/>
        <v/>
      </c>
      <c r="M510" s="78"/>
      <c r="N510" s="78"/>
      <c r="O510" s="78"/>
      <c r="P510" s="78"/>
      <c r="Q510" s="78"/>
      <c r="R510" s="36">
        <f t="shared" si="32"/>
        <v>28348.636155563392</v>
      </c>
      <c r="S510" s="386"/>
      <c r="T510" s="37"/>
      <c r="X510" s="39" t="str">
        <f t="shared" si="34"/>
        <v/>
      </c>
      <c r="Y510" s="42" t="str">
        <f t="shared" si="35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3"/>
        <v/>
      </c>
      <c r="M511" s="78"/>
      <c r="N511" s="78"/>
      <c r="O511" s="78"/>
      <c r="P511" s="78"/>
      <c r="Q511" s="78"/>
      <c r="R511" s="36">
        <f t="shared" si="32"/>
        <v>28348.636155563392</v>
      </c>
      <c r="S511" s="386"/>
      <c r="T511" s="37"/>
      <c r="X511" s="39" t="str">
        <f t="shared" si="34"/>
        <v/>
      </c>
      <c r="Y511" s="42" t="str">
        <f t="shared" si="35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3"/>
        <v/>
      </c>
      <c r="M512" s="78"/>
      <c r="N512" s="78"/>
      <c r="O512" s="78"/>
      <c r="P512" s="78"/>
      <c r="Q512" s="78"/>
      <c r="R512" s="36">
        <f t="shared" si="32"/>
        <v>28348.636155563392</v>
      </c>
      <c r="S512" s="386"/>
      <c r="T512" s="37"/>
      <c r="X512" s="39" t="str">
        <f t="shared" si="34"/>
        <v/>
      </c>
      <c r="Y512" s="42" t="str">
        <f t="shared" si="35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3"/>
        <v/>
      </c>
      <c r="M513" s="78"/>
      <c r="N513" s="78"/>
      <c r="O513" s="78"/>
      <c r="P513" s="78"/>
      <c r="Q513" s="78"/>
      <c r="R513" s="36">
        <f t="shared" si="32"/>
        <v>28348.636155563392</v>
      </c>
      <c r="S513" s="386"/>
      <c r="T513" s="37"/>
      <c r="X513" s="39" t="str">
        <f t="shared" si="34"/>
        <v/>
      </c>
      <c r="Y513" s="42" t="str">
        <f t="shared" si="35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3"/>
        <v/>
      </c>
      <c r="M514" s="78"/>
      <c r="N514" s="78"/>
      <c r="O514" s="78"/>
      <c r="P514" s="78"/>
      <c r="Q514" s="78"/>
      <c r="R514" s="36">
        <f t="shared" si="32"/>
        <v>28348.636155563392</v>
      </c>
      <c r="S514" s="386"/>
      <c r="T514" s="37"/>
      <c r="X514" s="39" t="str">
        <f t="shared" si="34"/>
        <v/>
      </c>
      <c r="Y514" s="42" t="str">
        <f t="shared" si="35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3"/>
        <v/>
      </c>
      <c r="M515" s="78"/>
      <c r="N515" s="78"/>
      <c r="O515" s="78"/>
      <c r="P515" s="78"/>
      <c r="Q515" s="78"/>
      <c r="R515" s="36">
        <f t="shared" si="32"/>
        <v>28348.636155563392</v>
      </c>
      <c r="S515" s="386"/>
      <c r="T515" s="37"/>
      <c r="X515" s="39" t="str">
        <f t="shared" si="34"/>
        <v/>
      </c>
      <c r="Y515" s="42" t="str">
        <f t="shared" si="35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3"/>
        <v/>
      </c>
      <c r="M516" s="78"/>
      <c r="N516" s="78"/>
      <c r="O516" s="78"/>
      <c r="P516" s="78"/>
      <c r="Q516" s="78"/>
      <c r="R516" s="36">
        <f t="shared" si="32"/>
        <v>28348.636155563392</v>
      </c>
      <c r="S516" s="386"/>
      <c r="T516" s="37"/>
      <c r="X516" s="39" t="str">
        <f t="shared" si="34"/>
        <v/>
      </c>
      <c r="Y516" s="42" t="str">
        <f t="shared" si="35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3"/>
        <v/>
      </c>
      <c r="M517" s="78"/>
      <c r="N517" s="78"/>
      <c r="O517" s="78"/>
      <c r="P517" s="78"/>
      <c r="Q517" s="78"/>
      <c r="R517" s="36">
        <f t="shared" si="32"/>
        <v>28348.636155563392</v>
      </c>
      <c r="S517" s="386"/>
      <c r="T517" s="37"/>
      <c r="X517" s="39" t="str">
        <f t="shared" si="34"/>
        <v/>
      </c>
      <c r="Y517" s="42" t="str">
        <f t="shared" si="35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3"/>
        <v/>
      </c>
      <c r="M518" s="78"/>
      <c r="N518" s="78"/>
      <c r="O518" s="78"/>
      <c r="P518" s="78"/>
      <c r="Q518" s="78"/>
      <c r="R518" s="36">
        <f t="shared" si="32"/>
        <v>28348.636155563392</v>
      </c>
      <c r="S518" s="386"/>
      <c r="T518" s="37"/>
      <c r="X518" s="39" t="str">
        <f t="shared" si="34"/>
        <v/>
      </c>
      <c r="Y518" s="42" t="str">
        <f t="shared" si="35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3"/>
        <v/>
      </c>
      <c r="M519" s="78"/>
      <c r="N519" s="78"/>
      <c r="O519" s="78"/>
      <c r="P519" s="78"/>
      <c r="Q519" s="78"/>
      <c r="R519" s="36">
        <f t="shared" si="32"/>
        <v>28348.636155563392</v>
      </c>
      <c r="S519" s="386"/>
      <c r="T519" s="37"/>
      <c r="X519" s="39" t="str">
        <f t="shared" si="34"/>
        <v/>
      </c>
      <c r="Y519" s="42" t="str">
        <f t="shared" si="35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3"/>
        <v/>
      </c>
      <c r="M520" s="78"/>
      <c r="N520" s="78"/>
      <c r="O520" s="78"/>
      <c r="P520" s="78"/>
      <c r="Q520" s="78"/>
      <c r="R520" s="36">
        <f t="shared" si="32"/>
        <v>28348.636155563392</v>
      </c>
      <c r="S520" s="386"/>
      <c r="T520" s="37"/>
      <c r="X520" s="39" t="str">
        <f t="shared" si="34"/>
        <v/>
      </c>
      <c r="Y520" s="42" t="str">
        <f t="shared" si="35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3"/>
        <v/>
      </c>
      <c r="M521" s="78"/>
      <c r="N521" s="78"/>
      <c r="O521" s="78"/>
      <c r="P521" s="78"/>
      <c r="Q521" s="78"/>
      <c r="R521" s="36">
        <f t="shared" si="32"/>
        <v>28348.636155563392</v>
      </c>
      <c r="S521" s="386"/>
      <c r="T521" s="37"/>
      <c r="X521" s="39" t="str">
        <f t="shared" si="34"/>
        <v/>
      </c>
      <c r="Y521" s="42" t="str">
        <f t="shared" si="35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3"/>
        <v/>
      </c>
      <c r="M522" s="78"/>
      <c r="N522" s="78"/>
      <c r="O522" s="78"/>
      <c r="P522" s="78"/>
      <c r="Q522" s="78"/>
      <c r="R522" s="36">
        <f t="shared" si="32"/>
        <v>28348.636155563392</v>
      </c>
      <c r="S522" s="386"/>
      <c r="T522" s="37"/>
      <c r="X522" s="39" t="str">
        <f t="shared" si="34"/>
        <v/>
      </c>
      <c r="Y522" s="42" t="str">
        <f t="shared" si="35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3"/>
        <v/>
      </c>
      <c r="M523" s="78"/>
      <c r="N523" s="78"/>
      <c r="O523" s="78"/>
      <c r="P523" s="78"/>
      <c r="Q523" s="78"/>
      <c r="R523" s="36">
        <f t="shared" si="32"/>
        <v>28348.636155563392</v>
      </c>
      <c r="S523" s="386"/>
      <c r="T523" s="37"/>
      <c r="X523" s="39" t="str">
        <f t="shared" si="34"/>
        <v/>
      </c>
      <c r="Y523" s="42" t="str">
        <f t="shared" si="35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3"/>
        <v/>
      </c>
      <c r="M524" s="78"/>
      <c r="N524" s="78"/>
      <c r="O524" s="78"/>
      <c r="P524" s="78"/>
      <c r="Q524" s="78"/>
      <c r="R524" s="36">
        <f t="shared" si="32"/>
        <v>28348.636155563392</v>
      </c>
      <c r="S524" s="386"/>
      <c r="T524" s="37"/>
      <c r="X524" s="39" t="str">
        <f t="shared" si="34"/>
        <v/>
      </c>
      <c r="Y524" s="42" t="str">
        <f t="shared" si="35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3"/>
        <v/>
      </c>
      <c r="M525" s="78"/>
      <c r="N525" s="78"/>
      <c r="O525" s="78"/>
      <c r="P525" s="78"/>
      <c r="Q525" s="78"/>
      <c r="R525" s="36">
        <f t="shared" si="32"/>
        <v>28348.636155563392</v>
      </c>
      <c r="S525" s="386"/>
      <c r="T525" s="37"/>
      <c r="X525" s="39" t="str">
        <f t="shared" si="34"/>
        <v/>
      </c>
      <c r="Y525" s="42" t="str">
        <f t="shared" si="35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3"/>
        <v/>
      </c>
      <c r="M526" s="78"/>
      <c r="N526" s="78"/>
      <c r="O526" s="78"/>
      <c r="P526" s="78"/>
      <c r="Q526" s="78"/>
      <c r="R526" s="36">
        <f t="shared" si="32"/>
        <v>28348.636155563392</v>
      </c>
      <c r="S526" s="386"/>
      <c r="T526" s="37"/>
      <c r="X526" s="39" t="str">
        <f t="shared" si="34"/>
        <v/>
      </c>
      <c r="Y526" s="42" t="str">
        <f t="shared" si="35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3"/>
        <v/>
      </c>
      <c r="M527" s="78"/>
      <c r="N527" s="78"/>
      <c r="O527" s="78"/>
      <c r="P527" s="78"/>
      <c r="Q527" s="78"/>
      <c r="R527" s="36">
        <f t="shared" si="32"/>
        <v>28348.636155563392</v>
      </c>
      <c r="S527" s="386"/>
      <c r="T527" s="37"/>
      <c r="X527" s="39" t="str">
        <f t="shared" si="34"/>
        <v/>
      </c>
      <c r="Y527" s="42" t="str">
        <f t="shared" si="35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3"/>
        <v/>
      </c>
      <c r="M528" s="78"/>
      <c r="N528" s="78"/>
      <c r="O528" s="78"/>
      <c r="P528" s="78"/>
      <c r="Q528" s="78"/>
      <c r="R528" s="36">
        <f t="shared" si="32"/>
        <v>28348.636155563392</v>
      </c>
      <c r="S528" s="386"/>
      <c r="T528" s="37"/>
      <c r="X528" s="39" t="str">
        <f t="shared" si="34"/>
        <v/>
      </c>
      <c r="Y528" s="42" t="str">
        <f t="shared" si="35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3"/>
        <v/>
      </c>
      <c r="M529" s="78"/>
      <c r="N529" s="78"/>
      <c r="O529" s="78"/>
      <c r="P529" s="78"/>
      <c r="Q529" s="78"/>
      <c r="R529" s="36">
        <f t="shared" si="32"/>
        <v>28348.636155563392</v>
      </c>
      <c r="S529" s="386"/>
      <c r="T529" s="37"/>
      <c r="X529" s="39" t="str">
        <f t="shared" si="34"/>
        <v/>
      </c>
      <c r="Y529" s="42" t="str">
        <f t="shared" si="35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3"/>
        <v/>
      </c>
      <c r="M530" s="78"/>
      <c r="N530" s="78"/>
      <c r="O530" s="78"/>
      <c r="P530" s="78"/>
      <c r="Q530" s="78"/>
      <c r="R530" s="36">
        <f t="shared" si="32"/>
        <v>28348.636155563392</v>
      </c>
      <c r="S530" s="386"/>
      <c r="T530" s="37"/>
      <c r="X530" s="39" t="str">
        <f t="shared" si="34"/>
        <v/>
      </c>
      <c r="Y530" s="42" t="str">
        <f t="shared" si="35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3"/>
        <v/>
      </c>
      <c r="M531" s="78"/>
      <c r="N531" s="78"/>
      <c r="O531" s="78"/>
      <c r="P531" s="78"/>
      <c r="Q531" s="78"/>
      <c r="R531" s="36">
        <f t="shared" si="32"/>
        <v>28348.636155563392</v>
      </c>
      <c r="S531" s="386"/>
      <c r="T531" s="37"/>
      <c r="X531" s="39" t="str">
        <f t="shared" si="34"/>
        <v/>
      </c>
      <c r="Y531" s="42" t="str">
        <f t="shared" si="35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3"/>
        <v/>
      </c>
      <c r="M532" s="78"/>
      <c r="N532" s="78"/>
      <c r="O532" s="78"/>
      <c r="P532" s="78"/>
      <c r="Q532" s="78"/>
      <c r="R532" s="36">
        <f t="shared" si="32"/>
        <v>28348.636155563392</v>
      </c>
      <c r="S532" s="386"/>
      <c r="T532" s="37"/>
      <c r="X532" s="39" t="str">
        <f t="shared" si="34"/>
        <v/>
      </c>
      <c r="Y532" s="42" t="str">
        <f t="shared" si="35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3"/>
        <v/>
      </c>
      <c r="M533" s="78"/>
      <c r="N533" s="78"/>
      <c r="O533" s="78"/>
      <c r="P533" s="78"/>
      <c r="Q533" s="78"/>
      <c r="R533" s="36">
        <f t="shared" si="32"/>
        <v>28348.636155563392</v>
      </c>
      <c r="S533" s="386"/>
      <c r="T533" s="37"/>
      <c r="X533" s="39" t="str">
        <f t="shared" si="34"/>
        <v/>
      </c>
      <c r="Y533" s="42" t="str">
        <f t="shared" si="35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3"/>
        <v/>
      </c>
      <c r="M534" s="78"/>
      <c r="N534" s="78"/>
      <c r="O534" s="78"/>
      <c r="P534" s="78"/>
      <c r="Q534" s="78"/>
      <c r="R534" s="36">
        <f t="shared" si="32"/>
        <v>28348.636155563392</v>
      </c>
      <c r="S534" s="386"/>
      <c r="T534" s="37"/>
      <c r="X534" s="39" t="str">
        <f t="shared" si="34"/>
        <v/>
      </c>
      <c r="Y534" s="42" t="str">
        <f t="shared" si="35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3"/>
        <v/>
      </c>
      <c r="M535" s="78"/>
      <c r="N535" s="78"/>
      <c r="O535" s="78"/>
      <c r="P535" s="78"/>
      <c r="Q535" s="78"/>
      <c r="R535" s="36">
        <f t="shared" si="32"/>
        <v>28348.636155563392</v>
      </c>
      <c r="S535" s="386"/>
      <c r="T535" s="37"/>
      <c r="X535" s="39" t="str">
        <f t="shared" si="34"/>
        <v/>
      </c>
      <c r="Y535" s="42" t="str">
        <f t="shared" si="35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3"/>
        <v/>
      </c>
      <c r="M536" s="78"/>
      <c r="N536" s="78"/>
      <c r="O536" s="78"/>
      <c r="P536" s="78"/>
      <c r="Q536" s="78"/>
      <c r="R536" s="36">
        <f t="shared" si="32"/>
        <v>28348.636155563392</v>
      </c>
      <c r="S536" s="386"/>
      <c r="T536" s="37"/>
      <c r="X536" s="39" t="str">
        <f t="shared" si="34"/>
        <v/>
      </c>
      <c r="Y536" s="42" t="str">
        <f t="shared" si="35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3"/>
        <v/>
      </c>
      <c r="M537" s="78"/>
      <c r="N537" s="78"/>
      <c r="O537" s="78"/>
      <c r="P537" s="78"/>
      <c r="Q537" s="78"/>
      <c r="R537" s="36">
        <f t="shared" si="32"/>
        <v>28348.636155563392</v>
      </c>
      <c r="S537" s="386"/>
      <c r="T537" s="37"/>
      <c r="X537" s="39" t="str">
        <f t="shared" si="34"/>
        <v/>
      </c>
      <c r="Y537" s="42" t="str">
        <f t="shared" si="35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3"/>
        <v/>
      </c>
      <c r="M538" s="78"/>
      <c r="N538" s="78"/>
      <c r="O538" s="78"/>
      <c r="P538" s="78"/>
      <c r="Q538" s="78"/>
      <c r="R538" s="36">
        <f t="shared" si="32"/>
        <v>28348.636155563392</v>
      </c>
      <c r="S538" s="386"/>
      <c r="T538" s="37"/>
      <c r="X538" s="39" t="str">
        <f t="shared" si="34"/>
        <v/>
      </c>
      <c r="Y538" s="42" t="str">
        <f t="shared" si="35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3"/>
        <v/>
      </c>
      <c r="M539" s="78"/>
      <c r="N539" s="78"/>
      <c r="O539" s="78"/>
      <c r="P539" s="78"/>
      <c r="Q539" s="78"/>
      <c r="R539" s="36">
        <f t="shared" si="32"/>
        <v>28348.636155563392</v>
      </c>
      <c r="S539" s="386"/>
      <c r="T539" s="37"/>
      <c r="X539" s="39" t="str">
        <f t="shared" si="34"/>
        <v/>
      </c>
      <c r="Y539" s="42" t="str">
        <f t="shared" si="35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3"/>
        <v/>
      </c>
      <c r="M540" s="78"/>
      <c r="N540" s="78"/>
      <c r="O540" s="78"/>
      <c r="P540" s="78"/>
      <c r="Q540" s="78"/>
      <c r="R540" s="36">
        <f t="shared" si="32"/>
        <v>28348.636155563392</v>
      </c>
      <c r="S540" s="386"/>
      <c r="T540" s="37"/>
      <c r="X540" s="39" t="str">
        <f t="shared" si="34"/>
        <v/>
      </c>
      <c r="Y540" s="42" t="str">
        <f t="shared" si="35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3"/>
        <v/>
      </c>
      <c r="M541" s="78"/>
      <c r="N541" s="78"/>
      <c r="O541" s="78"/>
      <c r="P541" s="78"/>
      <c r="Q541" s="78"/>
      <c r="R541" s="36">
        <f t="shared" si="32"/>
        <v>28348.636155563392</v>
      </c>
      <c r="S541" s="386"/>
      <c r="T541" s="37"/>
      <c r="X541" s="39" t="str">
        <f t="shared" si="34"/>
        <v/>
      </c>
      <c r="Y541" s="42" t="str">
        <f t="shared" si="35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3"/>
        <v/>
      </c>
      <c r="M542" s="78"/>
      <c r="N542" s="78"/>
      <c r="O542" s="78"/>
      <c r="P542" s="78"/>
      <c r="Q542" s="78"/>
      <c r="R542" s="36">
        <f t="shared" si="32"/>
        <v>28348.636155563392</v>
      </c>
      <c r="S542" s="386"/>
      <c r="T542" s="37"/>
      <c r="X542" s="39" t="str">
        <f t="shared" si="34"/>
        <v/>
      </c>
      <c r="Y542" s="42" t="str">
        <f t="shared" si="35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3"/>
        <v/>
      </c>
      <c r="M543" s="78"/>
      <c r="N543" s="78"/>
      <c r="O543" s="78"/>
      <c r="P543" s="78"/>
      <c r="Q543" s="78"/>
      <c r="R543" s="36">
        <f t="shared" si="32"/>
        <v>28348.636155563392</v>
      </c>
      <c r="S543" s="386"/>
      <c r="T543" s="37"/>
      <c r="X543" s="39" t="str">
        <f t="shared" si="34"/>
        <v/>
      </c>
      <c r="Y543" s="42" t="str">
        <f t="shared" si="35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3"/>
        <v/>
      </c>
      <c r="M544" s="78"/>
      <c r="N544" s="78"/>
      <c r="O544" s="78"/>
      <c r="P544" s="78"/>
      <c r="Q544" s="78"/>
      <c r="R544" s="36">
        <f t="shared" si="32"/>
        <v>28348.636155563392</v>
      </c>
      <c r="S544" s="386"/>
      <c r="T544" s="37"/>
      <c r="X544" s="39" t="str">
        <f t="shared" si="34"/>
        <v/>
      </c>
      <c r="Y544" s="42" t="str">
        <f t="shared" si="35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3"/>
        <v/>
      </c>
      <c r="M545" s="78"/>
      <c r="N545" s="78"/>
      <c r="O545" s="78"/>
      <c r="P545" s="78"/>
      <c r="Q545" s="78"/>
      <c r="R545" s="36">
        <f t="shared" si="32"/>
        <v>28348.636155563392</v>
      </c>
      <c r="S545" s="386"/>
      <c r="T545" s="37"/>
      <c r="X545" s="39" t="str">
        <f t="shared" si="34"/>
        <v/>
      </c>
      <c r="Y545" s="42" t="str">
        <f t="shared" si="35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3"/>
        <v/>
      </c>
      <c r="M546" s="78"/>
      <c r="N546" s="78"/>
      <c r="O546" s="78"/>
      <c r="P546" s="78"/>
      <c r="Q546" s="78"/>
      <c r="R546" s="36">
        <f t="shared" ref="R546:R609" si="36">R545*((J546/100)+1)</f>
        <v>28348.636155563392</v>
      </c>
      <c r="S546" s="386"/>
      <c r="T546" s="37"/>
      <c r="X546" s="39" t="str">
        <f t="shared" si="34"/>
        <v/>
      </c>
      <c r="Y546" s="42" t="str">
        <f t="shared" si="35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3"/>
        <v/>
      </c>
      <c r="M547" s="78"/>
      <c r="N547" s="78"/>
      <c r="O547" s="78"/>
      <c r="P547" s="78"/>
      <c r="Q547" s="78"/>
      <c r="R547" s="36">
        <f t="shared" si="36"/>
        <v>28348.636155563392</v>
      </c>
      <c r="S547" s="386"/>
      <c r="T547" s="37"/>
      <c r="X547" s="39" t="str">
        <f t="shared" si="34"/>
        <v/>
      </c>
      <c r="Y547" s="42" t="str">
        <f t="shared" si="35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3"/>
        <v/>
      </c>
      <c r="M548" s="78"/>
      <c r="N548" s="78"/>
      <c r="O548" s="78"/>
      <c r="P548" s="78"/>
      <c r="Q548" s="78"/>
      <c r="R548" s="36">
        <f t="shared" si="36"/>
        <v>28348.636155563392</v>
      </c>
      <c r="S548" s="386"/>
      <c r="T548" s="37"/>
      <c r="X548" s="39" t="str">
        <f t="shared" si="34"/>
        <v/>
      </c>
      <c r="Y548" s="42" t="str">
        <f t="shared" si="35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3"/>
        <v/>
      </c>
      <c r="M549" s="78"/>
      <c r="N549" s="78"/>
      <c r="O549" s="78"/>
      <c r="P549" s="78"/>
      <c r="Q549" s="78"/>
      <c r="R549" s="36">
        <f t="shared" si="36"/>
        <v>28348.636155563392</v>
      </c>
      <c r="S549" s="386"/>
      <c r="T549" s="37"/>
      <c r="X549" s="39" t="str">
        <f t="shared" si="34"/>
        <v/>
      </c>
      <c r="Y549" s="42" t="str">
        <f t="shared" si="35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3"/>
        <v/>
      </c>
      <c r="M550" s="78"/>
      <c r="N550" s="78"/>
      <c r="O550" s="78"/>
      <c r="P550" s="78"/>
      <c r="Q550" s="78"/>
      <c r="R550" s="36">
        <f t="shared" si="36"/>
        <v>28348.636155563392</v>
      </c>
      <c r="S550" s="386"/>
      <c r="T550" s="37"/>
      <c r="X550" s="39" t="str">
        <f t="shared" si="34"/>
        <v/>
      </c>
      <c r="Y550" s="42" t="str">
        <f t="shared" si="35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3"/>
        <v/>
      </c>
      <c r="M551" s="78"/>
      <c r="N551" s="78"/>
      <c r="O551" s="78"/>
      <c r="P551" s="78"/>
      <c r="Q551" s="78"/>
      <c r="R551" s="36">
        <f t="shared" si="36"/>
        <v>28348.636155563392</v>
      </c>
      <c r="S551" s="386"/>
      <c r="T551" s="37"/>
      <c r="X551" s="39" t="str">
        <f t="shared" si="34"/>
        <v/>
      </c>
      <c r="Y551" s="42" t="str">
        <f t="shared" si="35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3"/>
        <v/>
      </c>
      <c r="M552" s="78"/>
      <c r="N552" s="78"/>
      <c r="O552" s="78"/>
      <c r="P552" s="78"/>
      <c r="Q552" s="78"/>
      <c r="R552" s="36">
        <f t="shared" si="36"/>
        <v>28348.636155563392</v>
      </c>
      <c r="S552" s="386"/>
      <c r="T552" s="37"/>
      <c r="X552" s="39" t="str">
        <f t="shared" si="34"/>
        <v/>
      </c>
      <c r="Y552" s="42" t="str">
        <f t="shared" si="35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3"/>
        <v/>
      </c>
      <c r="M553" s="78"/>
      <c r="N553" s="78"/>
      <c r="O553" s="78"/>
      <c r="P553" s="78"/>
      <c r="Q553" s="78"/>
      <c r="R553" s="36">
        <f t="shared" si="36"/>
        <v>28348.636155563392</v>
      </c>
      <c r="S553" s="386"/>
      <c r="T553" s="37"/>
      <c r="X553" s="39" t="str">
        <f t="shared" si="34"/>
        <v/>
      </c>
      <c r="Y553" s="42" t="str">
        <f t="shared" si="35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3"/>
        <v/>
      </c>
      <c r="M554" s="78"/>
      <c r="N554" s="78"/>
      <c r="O554" s="78"/>
      <c r="P554" s="78"/>
      <c r="Q554" s="78"/>
      <c r="R554" s="36">
        <f t="shared" si="36"/>
        <v>28348.636155563392</v>
      </c>
      <c r="S554" s="386"/>
      <c r="T554" s="37"/>
      <c r="X554" s="39" t="str">
        <f t="shared" si="34"/>
        <v/>
      </c>
      <c r="Y554" s="42" t="str">
        <f t="shared" si="35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3"/>
        <v/>
      </c>
      <c r="M555" s="78"/>
      <c r="N555" s="78"/>
      <c r="O555" s="78"/>
      <c r="P555" s="78"/>
      <c r="Q555" s="78"/>
      <c r="R555" s="36">
        <f t="shared" si="36"/>
        <v>28348.636155563392</v>
      </c>
      <c r="S555" s="386"/>
      <c r="T555" s="37"/>
      <c r="X555" s="39" t="str">
        <f t="shared" si="34"/>
        <v/>
      </c>
      <c r="Y555" s="42" t="str">
        <f t="shared" si="35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3"/>
        <v/>
      </c>
      <c r="M556" s="78"/>
      <c r="N556" s="78"/>
      <c r="O556" s="78"/>
      <c r="P556" s="78"/>
      <c r="Q556" s="78"/>
      <c r="R556" s="36">
        <f t="shared" si="36"/>
        <v>28348.636155563392</v>
      </c>
      <c r="S556" s="386"/>
      <c r="T556" s="37"/>
      <c r="X556" s="39" t="str">
        <f t="shared" si="34"/>
        <v/>
      </c>
      <c r="Y556" s="42" t="str">
        <f t="shared" si="35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7">IF(B557="Compra",F557*G557,"")</f>
        <v/>
      </c>
      <c r="M557" s="78"/>
      <c r="N557" s="78"/>
      <c r="O557" s="78"/>
      <c r="P557" s="78"/>
      <c r="Q557" s="78"/>
      <c r="R557" s="36">
        <f t="shared" si="36"/>
        <v>28348.636155563392</v>
      </c>
      <c r="S557" s="386"/>
      <c r="T557" s="37"/>
      <c r="X557" s="39" t="str">
        <f t="shared" si="34"/>
        <v/>
      </c>
      <c r="Y557" s="42" t="str">
        <f t="shared" si="35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7"/>
        <v/>
      </c>
      <c r="M558" s="78"/>
      <c r="N558" s="78"/>
      <c r="O558" s="78"/>
      <c r="P558" s="78"/>
      <c r="Q558" s="78"/>
      <c r="R558" s="36">
        <f t="shared" si="36"/>
        <v>28348.636155563392</v>
      </c>
      <c r="S558" s="386"/>
      <c r="T558" s="37"/>
      <c r="X558" s="39" t="str">
        <f t="shared" si="34"/>
        <v/>
      </c>
      <c r="Y558" s="42" t="str">
        <f t="shared" si="35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7"/>
        <v/>
      </c>
      <c r="M559" s="78"/>
      <c r="N559" s="78"/>
      <c r="O559" s="78"/>
      <c r="P559" s="78"/>
      <c r="Q559" s="78"/>
      <c r="R559" s="36">
        <f t="shared" si="36"/>
        <v>28348.636155563392</v>
      </c>
      <c r="S559" s="386"/>
      <c r="T559" s="37"/>
      <c r="X559" s="39" t="str">
        <f t="shared" si="34"/>
        <v/>
      </c>
      <c r="Y559" s="42" t="str">
        <f t="shared" si="35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7"/>
        <v/>
      </c>
      <c r="M560" s="78"/>
      <c r="N560" s="78"/>
      <c r="O560" s="78"/>
      <c r="P560" s="78"/>
      <c r="Q560" s="78"/>
      <c r="R560" s="36">
        <f t="shared" si="36"/>
        <v>28348.636155563392</v>
      </c>
      <c r="S560" s="386"/>
      <c r="T560" s="37"/>
      <c r="X560" s="39" t="str">
        <f t="shared" si="34"/>
        <v/>
      </c>
      <c r="Y560" s="42" t="str">
        <f t="shared" si="35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7"/>
        <v/>
      </c>
      <c r="M561" s="78"/>
      <c r="N561" s="78"/>
      <c r="O561" s="78"/>
      <c r="P561" s="78"/>
      <c r="Q561" s="78"/>
      <c r="R561" s="36">
        <f t="shared" si="36"/>
        <v>28348.636155563392</v>
      </c>
      <c r="S561" s="386"/>
      <c r="T561" s="37"/>
      <c r="X561" s="39" t="str">
        <f t="shared" si="34"/>
        <v/>
      </c>
      <c r="Y561" s="42" t="str">
        <f t="shared" si="35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7"/>
        <v/>
      </c>
      <c r="M562" s="78"/>
      <c r="N562" s="78"/>
      <c r="O562" s="78"/>
      <c r="P562" s="78"/>
      <c r="Q562" s="78"/>
      <c r="R562" s="36">
        <f t="shared" si="36"/>
        <v>28348.636155563392</v>
      </c>
      <c r="S562" s="386"/>
      <c r="T562" s="37"/>
      <c r="X562" s="39" t="str">
        <f t="shared" si="34"/>
        <v/>
      </c>
      <c r="Y562" s="42" t="str">
        <f t="shared" si="35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7"/>
        <v/>
      </c>
      <c r="M563" s="78"/>
      <c r="N563" s="78"/>
      <c r="O563" s="78"/>
      <c r="P563" s="78"/>
      <c r="Q563" s="78"/>
      <c r="R563" s="36">
        <f t="shared" si="36"/>
        <v>28348.636155563392</v>
      </c>
      <c r="S563" s="386"/>
      <c r="T563" s="37"/>
      <c r="X563" s="39" t="str">
        <f t="shared" si="34"/>
        <v/>
      </c>
      <c r="Y563" s="42" t="str">
        <f t="shared" si="35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7"/>
        <v/>
      </c>
      <c r="M564" s="78"/>
      <c r="N564" s="78"/>
      <c r="O564" s="78"/>
      <c r="P564" s="78"/>
      <c r="Q564" s="78"/>
      <c r="R564" s="36">
        <f t="shared" si="36"/>
        <v>28348.636155563392</v>
      </c>
      <c r="S564" s="386"/>
      <c r="T564" s="37"/>
      <c r="X564" s="39" t="str">
        <f t="shared" si="34"/>
        <v/>
      </c>
      <c r="Y564" s="42" t="str">
        <f t="shared" si="35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7"/>
        <v/>
      </c>
      <c r="M565" s="78"/>
      <c r="N565" s="78"/>
      <c r="O565" s="78"/>
      <c r="P565" s="78"/>
      <c r="Q565" s="78"/>
      <c r="R565" s="36">
        <f t="shared" si="36"/>
        <v>28348.636155563392</v>
      </c>
      <c r="S565" s="386"/>
      <c r="T565" s="37"/>
      <c r="X565" s="39" t="str">
        <f t="shared" si="34"/>
        <v/>
      </c>
      <c r="Y565" s="42" t="str">
        <f t="shared" si="35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7"/>
        <v/>
      </c>
      <c r="M566" s="78"/>
      <c r="N566" s="78"/>
      <c r="O566" s="78"/>
      <c r="P566" s="78"/>
      <c r="Q566" s="78"/>
      <c r="R566" s="36">
        <f t="shared" si="36"/>
        <v>28348.636155563392</v>
      </c>
      <c r="S566" s="386"/>
      <c r="T566" s="37"/>
      <c r="X566" s="39" t="str">
        <f t="shared" ref="X566:X629" si="38">IF(I681&lt;&gt;0,I681,"")</f>
        <v/>
      </c>
      <c r="Y566" s="42" t="str">
        <f t="shared" ref="Y566:Y629" si="39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7"/>
        <v/>
      </c>
      <c r="M567" s="78"/>
      <c r="N567" s="78"/>
      <c r="O567" s="78"/>
      <c r="P567" s="78"/>
      <c r="Q567" s="78"/>
      <c r="R567" s="36">
        <f t="shared" si="36"/>
        <v>28348.636155563392</v>
      </c>
      <c r="S567" s="386"/>
      <c r="T567" s="37"/>
      <c r="X567" s="39" t="str">
        <f t="shared" si="38"/>
        <v/>
      </c>
      <c r="Y567" s="42" t="str">
        <f t="shared" si="39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7"/>
        <v/>
      </c>
      <c r="M568" s="78"/>
      <c r="N568" s="78"/>
      <c r="O568" s="78"/>
      <c r="P568" s="78"/>
      <c r="Q568" s="78"/>
      <c r="R568" s="36">
        <f t="shared" si="36"/>
        <v>28348.636155563392</v>
      </c>
      <c r="S568" s="386"/>
      <c r="T568" s="37"/>
      <c r="X568" s="39" t="str">
        <f t="shared" si="38"/>
        <v/>
      </c>
      <c r="Y568" s="42" t="str">
        <f t="shared" si="39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7"/>
        <v/>
      </c>
      <c r="M569" s="78"/>
      <c r="N569" s="78"/>
      <c r="O569" s="78"/>
      <c r="P569" s="78"/>
      <c r="Q569" s="78"/>
      <c r="R569" s="36">
        <f t="shared" si="36"/>
        <v>28348.636155563392</v>
      </c>
      <c r="S569" s="386"/>
      <c r="T569" s="37"/>
      <c r="X569" s="39" t="str">
        <f t="shared" si="38"/>
        <v/>
      </c>
      <c r="Y569" s="42" t="str">
        <f t="shared" si="39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7"/>
        <v/>
      </c>
      <c r="M570" s="78"/>
      <c r="N570" s="78"/>
      <c r="O570" s="78"/>
      <c r="P570" s="78"/>
      <c r="Q570" s="78"/>
      <c r="R570" s="36">
        <f t="shared" si="36"/>
        <v>28348.636155563392</v>
      </c>
      <c r="S570" s="386"/>
      <c r="T570" s="37"/>
      <c r="X570" s="39" t="str">
        <f t="shared" si="38"/>
        <v/>
      </c>
      <c r="Y570" s="42" t="str">
        <f t="shared" si="39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7"/>
        <v/>
      </c>
      <c r="M571" s="78"/>
      <c r="N571" s="78"/>
      <c r="O571" s="78"/>
      <c r="P571" s="78"/>
      <c r="Q571" s="78"/>
      <c r="R571" s="36">
        <f t="shared" si="36"/>
        <v>28348.636155563392</v>
      </c>
      <c r="S571" s="386"/>
      <c r="T571" s="37"/>
      <c r="X571" s="39" t="str">
        <f t="shared" si="38"/>
        <v/>
      </c>
      <c r="Y571" s="42" t="str">
        <f t="shared" si="39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7"/>
        <v/>
      </c>
      <c r="M572" s="78"/>
      <c r="N572" s="78"/>
      <c r="O572" s="78"/>
      <c r="P572" s="78"/>
      <c r="Q572" s="78"/>
      <c r="R572" s="36">
        <f t="shared" si="36"/>
        <v>28348.636155563392</v>
      </c>
      <c r="S572" s="386"/>
      <c r="T572" s="37"/>
      <c r="X572" s="39" t="str">
        <f t="shared" si="38"/>
        <v/>
      </c>
      <c r="Y572" s="42" t="str">
        <f t="shared" si="39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7"/>
        <v/>
      </c>
      <c r="M573" s="78"/>
      <c r="N573" s="78"/>
      <c r="O573" s="78"/>
      <c r="P573" s="78"/>
      <c r="Q573" s="78"/>
      <c r="R573" s="36">
        <f t="shared" si="36"/>
        <v>28348.636155563392</v>
      </c>
      <c r="S573" s="386"/>
      <c r="T573" s="37"/>
      <c r="X573" s="39" t="str">
        <f t="shared" si="38"/>
        <v/>
      </c>
      <c r="Y573" s="42" t="str">
        <f t="shared" si="39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7"/>
        <v/>
      </c>
      <c r="M574" s="78"/>
      <c r="N574" s="78"/>
      <c r="O574" s="78"/>
      <c r="P574" s="78"/>
      <c r="Q574" s="78"/>
      <c r="R574" s="36">
        <f t="shared" si="36"/>
        <v>28348.636155563392</v>
      </c>
      <c r="S574" s="386"/>
      <c r="T574" s="37"/>
      <c r="X574" s="39" t="str">
        <f t="shared" si="38"/>
        <v/>
      </c>
      <c r="Y574" s="42" t="str">
        <f t="shared" si="39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7"/>
        <v/>
      </c>
      <c r="M575" s="78"/>
      <c r="N575" s="78"/>
      <c r="O575" s="78"/>
      <c r="P575" s="78"/>
      <c r="Q575" s="78"/>
      <c r="R575" s="36">
        <f t="shared" si="36"/>
        <v>28348.636155563392</v>
      </c>
      <c r="S575" s="386"/>
      <c r="T575" s="37"/>
      <c r="X575" s="39" t="str">
        <f t="shared" si="38"/>
        <v/>
      </c>
      <c r="Y575" s="42" t="str">
        <f t="shared" si="39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7"/>
        <v/>
      </c>
      <c r="M576" s="78"/>
      <c r="N576" s="78"/>
      <c r="O576" s="78"/>
      <c r="P576" s="78"/>
      <c r="Q576" s="78"/>
      <c r="R576" s="36">
        <f t="shared" si="36"/>
        <v>28348.636155563392</v>
      </c>
      <c r="S576" s="386"/>
      <c r="T576" s="37"/>
      <c r="X576" s="39" t="str">
        <f t="shared" si="38"/>
        <v/>
      </c>
      <c r="Y576" s="42" t="str">
        <f t="shared" si="39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7"/>
        <v/>
      </c>
      <c r="M577" s="78"/>
      <c r="N577" s="78"/>
      <c r="O577" s="78"/>
      <c r="P577" s="78"/>
      <c r="Q577" s="78"/>
      <c r="R577" s="36">
        <f t="shared" si="36"/>
        <v>28348.636155563392</v>
      </c>
      <c r="S577" s="386"/>
      <c r="T577" s="37"/>
      <c r="X577" s="39" t="str">
        <f t="shared" si="38"/>
        <v/>
      </c>
      <c r="Y577" s="42" t="str">
        <f t="shared" si="39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7"/>
        <v/>
      </c>
      <c r="M578" s="78"/>
      <c r="N578" s="78"/>
      <c r="O578" s="78"/>
      <c r="P578" s="78"/>
      <c r="Q578" s="78"/>
      <c r="R578" s="36">
        <f t="shared" si="36"/>
        <v>28348.636155563392</v>
      </c>
      <c r="S578" s="386"/>
      <c r="T578" s="37"/>
      <c r="X578" s="39" t="str">
        <f t="shared" si="38"/>
        <v/>
      </c>
      <c r="Y578" s="42" t="str">
        <f t="shared" si="39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7"/>
        <v/>
      </c>
      <c r="M579" s="78"/>
      <c r="N579" s="78"/>
      <c r="O579" s="78"/>
      <c r="P579" s="78"/>
      <c r="Q579" s="78"/>
      <c r="R579" s="36">
        <f t="shared" si="36"/>
        <v>28348.636155563392</v>
      </c>
      <c r="S579" s="386"/>
      <c r="T579" s="37"/>
      <c r="X579" s="39" t="str">
        <f t="shared" si="38"/>
        <v/>
      </c>
      <c r="Y579" s="42" t="str">
        <f t="shared" si="39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7"/>
        <v/>
      </c>
      <c r="M580" s="78"/>
      <c r="N580" s="78"/>
      <c r="O580" s="78"/>
      <c r="P580" s="78"/>
      <c r="Q580" s="78"/>
      <c r="R580" s="36">
        <f t="shared" si="36"/>
        <v>28348.636155563392</v>
      </c>
      <c r="S580" s="386"/>
      <c r="T580" s="37"/>
      <c r="X580" s="39" t="str">
        <f t="shared" si="38"/>
        <v/>
      </c>
      <c r="Y580" s="42" t="str">
        <f t="shared" si="39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7"/>
        <v/>
      </c>
      <c r="M581" s="78"/>
      <c r="N581" s="78"/>
      <c r="O581" s="78"/>
      <c r="P581" s="78"/>
      <c r="Q581" s="78"/>
      <c r="R581" s="36">
        <f t="shared" si="36"/>
        <v>28348.636155563392</v>
      </c>
      <c r="S581" s="386"/>
      <c r="T581" s="37"/>
      <c r="X581" s="39" t="str">
        <f t="shared" si="38"/>
        <v/>
      </c>
      <c r="Y581" s="42" t="str">
        <f t="shared" si="39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7"/>
        <v/>
      </c>
      <c r="M582" s="78"/>
      <c r="N582" s="78"/>
      <c r="O582" s="78"/>
      <c r="P582" s="78"/>
      <c r="Q582" s="78"/>
      <c r="R582" s="36">
        <f t="shared" si="36"/>
        <v>28348.636155563392</v>
      </c>
      <c r="S582" s="386"/>
      <c r="T582" s="37"/>
      <c r="X582" s="39" t="str">
        <f t="shared" si="38"/>
        <v/>
      </c>
      <c r="Y582" s="42" t="str">
        <f t="shared" si="39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7"/>
        <v/>
      </c>
      <c r="M583" s="78"/>
      <c r="N583" s="78"/>
      <c r="O583" s="78"/>
      <c r="P583" s="78"/>
      <c r="Q583" s="78"/>
      <c r="R583" s="36">
        <f t="shared" si="36"/>
        <v>28348.636155563392</v>
      </c>
      <c r="S583" s="386"/>
      <c r="T583" s="37"/>
      <c r="X583" s="39" t="str">
        <f t="shared" si="38"/>
        <v/>
      </c>
      <c r="Y583" s="42" t="str">
        <f t="shared" si="39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7"/>
        <v/>
      </c>
      <c r="M584" s="78"/>
      <c r="N584" s="78"/>
      <c r="O584" s="78"/>
      <c r="P584" s="78"/>
      <c r="Q584" s="78"/>
      <c r="R584" s="36">
        <f t="shared" si="36"/>
        <v>28348.636155563392</v>
      </c>
      <c r="S584" s="386"/>
      <c r="T584" s="37"/>
      <c r="X584" s="39" t="str">
        <f t="shared" si="38"/>
        <v/>
      </c>
      <c r="Y584" s="42" t="str">
        <f t="shared" si="39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7"/>
        <v/>
      </c>
      <c r="M585" s="78"/>
      <c r="N585" s="78"/>
      <c r="O585" s="78"/>
      <c r="P585" s="78"/>
      <c r="Q585" s="78"/>
      <c r="R585" s="36">
        <f t="shared" si="36"/>
        <v>28348.636155563392</v>
      </c>
      <c r="S585" s="386"/>
      <c r="T585" s="37"/>
      <c r="X585" s="39" t="str">
        <f t="shared" si="38"/>
        <v/>
      </c>
      <c r="Y585" s="42" t="str">
        <f t="shared" si="39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7"/>
        <v/>
      </c>
      <c r="M586" s="78"/>
      <c r="N586" s="78"/>
      <c r="O586" s="78"/>
      <c r="P586" s="78"/>
      <c r="Q586" s="78"/>
      <c r="R586" s="36">
        <f t="shared" si="36"/>
        <v>28348.636155563392</v>
      </c>
      <c r="S586" s="386"/>
      <c r="T586" s="37"/>
      <c r="X586" s="39" t="str">
        <f t="shared" si="38"/>
        <v/>
      </c>
      <c r="Y586" s="42" t="str">
        <f t="shared" si="39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7"/>
        <v/>
      </c>
      <c r="M587" s="78"/>
      <c r="N587" s="78"/>
      <c r="O587" s="78"/>
      <c r="P587" s="78"/>
      <c r="Q587" s="78"/>
      <c r="R587" s="36">
        <f t="shared" si="36"/>
        <v>28348.636155563392</v>
      </c>
      <c r="S587" s="386"/>
      <c r="T587" s="37"/>
      <c r="X587" s="39" t="str">
        <f t="shared" si="38"/>
        <v/>
      </c>
      <c r="Y587" s="42" t="str">
        <f t="shared" si="39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7"/>
        <v/>
      </c>
      <c r="M588" s="78"/>
      <c r="N588" s="78"/>
      <c r="O588" s="78"/>
      <c r="P588" s="78"/>
      <c r="Q588" s="78"/>
      <c r="R588" s="36">
        <f t="shared" si="36"/>
        <v>28348.636155563392</v>
      </c>
      <c r="S588" s="386"/>
      <c r="T588" s="37"/>
      <c r="X588" s="39" t="str">
        <f t="shared" si="38"/>
        <v/>
      </c>
      <c r="Y588" s="42" t="str">
        <f t="shared" si="39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7"/>
        <v/>
      </c>
      <c r="M589" s="78"/>
      <c r="N589" s="78"/>
      <c r="O589" s="78"/>
      <c r="P589" s="78"/>
      <c r="Q589" s="78"/>
      <c r="R589" s="36">
        <f t="shared" si="36"/>
        <v>28348.636155563392</v>
      </c>
      <c r="S589" s="386"/>
      <c r="T589" s="37"/>
      <c r="X589" s="39" t="str">
        <f t="shared" si="38"/>
        <v/>
      </c>
      <c r="Y589" s="42" t="str">
        <f t="shared" si="39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7"/>
        <v/>
      </c>
      <c r="M590" s="78"/>
      <c r="N590" s="78"/>
      <c r="O590" s="78"/>
      <c r="P590" s="78"/>
      <c r="Q590" s="78"/>
      <c r="R590" s="36">
        <f t="shared" si="36"/>
        <v>28348.636155563392</v>
      </c>
      <c r="S590" s="386"/>
      <c r="T590" s="37"/>
      <c r="X590" s="39" t="str">
        <f t="shared" si="38"/>
        <v/>
      </c>
      <c r="Y590" s="42" t="str">
        <f t="shared" si="39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7"/>
        <v/>
      </c>
      <c r="M591" s="78"/>
      <c r="N591" s="78"/>
      <c r="O591" s="78"/>
      <c r="P591" s="78"/>
      <c r="Q591" s="78"/>
      <c r="R591" s="36">
        <f t="shared" si="36"/>
        <v>28348.636155563392</v>
      </c>
      <c r="S591" s="386"/>
      <c r="T591" s="37"/>
      <c r="X591" s="39" t="str">
        <f t="shared" si="38"/>
        <v/>
      </c>
      <c r="Y591" s="42" t="str">
        <f t="shared" si="39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7"/>
        <v/>
      </c>
      <c r="M592" s="78"/>
      <c r="N592" s="78"/>
      <c r="O592" s="78"/>
      <c r="P592" s="78"/>
      <c r="Q592" s="78"/>
      <c r="R592" s="36">
        <f t="shared" si="36"/>
        <v>28348.636155563392</v>
      </c>
      <c r="S592" s="386"/>
      <c r="T592" s="37"/>
      <c r="X592" s="39" t="str">
        <f t="shared" si="38"/>
        <v/>
      </c>
      <c r="Y592" s="42" t="str">
        <f t="shared" si="39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7"/>
        <v/>
      </c>
      <c r="M593" s="78"/>
      <c r="N593" s="78"/>
      <c r="O593" s="78"/>
      <c r="P593" s="78"/>
      <c r="Q593" s="78"/>
      <c r="R593" s="36">
        <f t="shared" si="36"/>
        <v>28348.636155563392</v>
      </c>
      <c r="S593" s="386"/>
      <c r="T593" s="37"/>
      <c r="X593" s="39" t="str">
        <f t="shared" si="38"/>
        <v/>
      </c>
      <c r="Y593" s="42" t="str">
        <f t="shared" si="39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7"/>
        <v/>
      </c>
      <c r="M594" s="78"/>
      <c r="N594" s="78"/>
      <c r="O594" s="78"/>
      <c r="P594" s="78"/>
      <c r="Q594" s="78"/>
      <c r="R594" s="36">
        <f t="shared" si="36"/>
        <v>28348.636155563392</v>
      </c>
      <c r="S594" s="386"/>
      <c r="T594" s="37"/>
      <c r="X594" s="39" t="str">
        <f t="shared" si="38"/>
        <v/>
      </c>
      <c r="Y594" s="42" t="str">
        <f t="shared" si="39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7"/>
        <v/>
      </c>
      <c r="M595" s="78"/>
      <c r="N595" s="78"/>
      <c r="O595" s="78"/>
      <c r="P595" s="78"/>
      <c r="Q595" s="78"/>
      <c r="R595" s="36">
        <f t="shared" si="36"/>
        <v>28348.636155563392</v>
      </c>
      <c r="S595" s="386"/>
      <c r="T595" s="37"/>
      <c r="X595" s="39" t="str">
        <f t="shared" si="38"/>
        <v/>
      </c>
      <c r="Y595" s="42" t="str">
        <f t="shared" si="39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7"/>
        <v/>
      </c>
      <c r="M596" s="78"/>
      <c r="N596" s="78"/>
      <c r="O596" s="78"/>
      <c r="P596" s="78"/>
      <c r="Q596" s="78"/>
      <c r="R596" s="36">
        <f t="shared" si="36"/>
        <v>28348.636155563392</v>
      </c>
      <c r="S596" s="386"/>
      <c r="T596" s="37"/>
      <c r="X596" s="39" t="str">
        <f t="shared" si="38"/>
        <v/>
      </c>
      <c r="Y596" s="42" t="str">
        <f t="shared" si="39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7"/>
        <v/>
      </c>
      <c r="M597" s="78"/>
      <c r="N597" s="78"/>
      <c r="O597" s="78"/>
      <c r="P597" s="78"/>
      <c r="Q597" s="78"/>
      <c r="R597" s="36">
        <f t="shared" si="36"/>
        <v>28348.636155563392</v>
      </c>
      <c r="S597" s="386"/>
      <c r="T597" s="37"/>
      <c r="X597" s="39" t="str">
        <f t="shared" si="38"/>
        <v/>
      </c>
      <c r="Y597" s="42" t="str">
        <f t="shared" si="39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7"/>
        <v/>
      </c>
      <c r="M598" s="78"/>
      <c r="N598" s="78"/>
      <c r="O598" s="78"/>
      <c r="P598" s="78"/>
      <c r="Q598" s="78"/>
      <c r="R598" s="36">
        <f t="shared" si="36"/>
        <v>28348.636155563392</v>
      </c>
      <c r="S598" s="386"/>
      <c r="T598" s="37"/>
      <c r="X598" s="39" t="str">
        <f t="shared" si="38"/>
        <v/>
      </c>
      <c r="Y598" s="42" t="str">
        <f t="shared" si="39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7"/>
        <v/>
      </c>
      <c r="M599" s="78"/>
      <c r="N599" s="78"/>
      <c r="O599" s="78"/>
      <c r="P599" s="78"/>
      <c r="Q599" s="78"/>
      <c r="R599" s="36">
        <f t="shared" si="36"/>
        <v>28348.636155563392</v>
      </c>
      <c r="S599" s="386"/>
      <c r="T599" s="37"/>
      <c r="X599" s="39" t="str">
        <f t="shared" si="38"/>
        <v/>
      </c>
      <c r="Y599" s="42" t="str">
        <f t="shared" si="39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7"/>
        <v/>
      </c>
      <c r="M600" s="78"/>
      <c r="N600" s="78"/>
      <c r="O600" s="78"/>
      <c r="P600" s="78"/>
      <c r="Q600" s="78"/>
      <c r="R600" s="36">
        <f t="shared" si="36"/>
        <v>28348.636155563392</v>
      </c>
      <c r="S600" s="386"/>
      <c r="T600" s="37"/>
      <c r="X600" s="39" t="str">
        <f t="shared" si="38"/>
        <v/>
      </c>
      <c r="Y600" s="42" t="str">
        <f t="shared" si="39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7"/>
        <v/>
      </c>
      <c r="M601" s="78"/>
      <c r="N601" s="78"/>
      <c r="O601" s="78"/>
      <c r="P601" s="78"/>
      <c r="Q601" s="78"/>
      <c r="R601" s="36">
        <f t="shared" si="36"/>
        <v>28348.636155563392</v>
      </c>
      <c r="S601" s="386"/>
      <c r="T601" s="37"/>
      <c r="X601" s="39" t="str">
        <f t="shared" si="38"/>
        <v/>
      </c>
      <c r="Y601" s="42" t="str">
        <f t="shared" si="39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7"/>
        <v/>
      </c>
      <c r="M602" s="78"/>
      <c r="N602" s="78"/>
      <c r="O602" s="78"/>
      <c r="P602" s="78"/>
      <c r="Q602" s="78"/>
      <c r="R602" s="36">
        <f t="shared" si="36"/>
        <v>28348.636155563392</v>
      </c>
      <c r="S602" s="386"/>
      <c r="T602" s="37"/>
      <c r="X602" s="39" t="str">
        <f t="shared" si="38"/>
        <v/>
      </c>
      <c r="Y602" s="42" t="str">
        <f t="shared" si="39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7"/>
        <v/>
      </c>
      <c r="M603" s="78"/>
      <c r="N603" s="78"/>
      <c r="O603" s="78"/>
      <c r="P603" s="78"/>
      <c r="Q603" s="78"/>
      <c r="R603" s="36">
        <f t="shared" si="36"/>
        <v>28348.636155563392</v>
      </c>
      <c r="S603" s="386"/>
      <c r="T603" s="37"/>
      <c r="X603" s="39" t="str">
        <f t="shared" si="38"/>
        <v/>
      </c>
      <c r="Y603" s="42" t="str">
        <f t="shared" si="39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7"/>
        <v/>
      </c>
      <c r="M604" s="78"/>
      <c r="N604" s="78"/>
      <c r="O604" s="78"/>
      <c r="P604" s="78"/>
      <c r="Q604" s="78"/>
      <c r="R604" s="36">
        <f t="shared" si="36"/>
        <v>28348.636155563392</v>
      </c>
      <c r="S604" s="386"/>
      <c r="T604" s="37"/>
      <c r="X604" s="39" t="str">
        <f t="shared" si="38"/>
        <v/>
      </c>
      <c r="Y604" s="42" t="str">
        <f t="shared" si="39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7"/>
        <v/>
      </c>
      <c r="M605" s="78"/>
      <c r="N605" s="78"/>
      <c r="O605" s="78"/>
      <c r="P605" s="78"/>
      <c r="Q605" s="78"/>
      <c r="R605" s="36">
        <f t="shared" si="36"/>
        <v>28348.636155563392</v>
      </c>
      <c r="S605" s="386"/>
      <c r="T605" s="37"/>
      <c r="X605" s="39" t="str">
        <f t="shared" si="38"/>
        <v/>
      </c>
      <c r="Y605" s="42" t="str">
        <f t="shared" si="39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7"/>
        <v/>
      </c>
      <c r="M606" s="78"/>
      <c r="N606" s="78"/>
      <c r="O606" s="78"/>
      <c r="P606" s="78"/>
      <c r="Q606" s="78"/>
      <c r="R606" s="36">
        <f t="shared" si="36"/>
        <v>28348.636155563392</v>
      </c>
      <c r="S606" s="386"/>
      <c r="T606" s="37"/>
      <c r="X606" s="39" t="str">
        <f t="shared" si="38"/>
        <v/>
      </c>
      <c r="Y606" s="42" t="str">
        <f t="shared" si="39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7"/>
        <v/>
      </c>
      <c r="M607" s="78"/>
      <c r="N607" s="78"/>
      <c r="O607" s="78"/>
      <c r="P607" s="78"/>
      <c r="Q607" s="78"/>
      <c r="R607" s="36">
        <f t="shared" si="36"/>
        <v>28348.636155563392</v>
      </c>
      <c r="S607" s="386"/>
      <c r="T607" s="37"/>
      <c r="X607" s="39" t="str">
        <f t="shared" si="38"/>
        <v/>
      </c>
      <c r="Y607" s="42" t="str">
        <f t="shared" si="39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7"/>
        <v/>
      </c>
      <c r="M608" s="78"/>
      <c r="N608" s="78"/>
      <c r="O608" s="78"/>
      <c r="P608" s="78"/>
      <c r="Q608" s="78"/>
      <c r="R608" s="36">
        <f t="shared" si="36"/>
        <v>28348.636155563392</v>
      </c>
      <c r="S608" s="386"/>
      <c r="T608" s="37"/>
      <c r="X608" s="39" t="str">
        <f t="shared" si="38"/>
        <v/>
      </c>
      <c r="Y608" s="42" t="str">
        <f t="shared" si="39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7"/>
        <v/>
      </c>
      <c r="M609" s="78"/>
      <c r="N609" s="78"/>
      <c r="O609" s="78"/>
      <c r="P609" s="78"/>
      <c r="Q609" s="78"/>
      <c r="R609" s="36">
        <f t="shared" si="36"/>
        <v>28348.636155563392</v>
      </c>
      <c r="S609" s="386"/>
      <c r="T609" s="37"/>
      <c r="X609" s="39" t="str">
        <f t="shared" si="38"/>
        <v/>
      </c>
      <c r="Y609" s="42" t="str">
        <f t="shared" si="39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7"/>
        <v/>
      </c>
      <c r="M610" s="78"/>
      <c r="N610" s="78"/>
      <c r="O610" s="78"/>
      <c r="P610" s="78"/>
      <c r="Q610" s="78"/>
      <c r="R610" s="36">
        <f t="shared" ref="R610:R673" si="40">R609*((J610/100)+1)</f>
        <v>28348.636155563392</v>
      </c>
      <c r="S610" s="386"/>
      <c r="T610" s="37"/>
      <c r="X610" s="39" t="str">
        <f t="shared" si="38"/>
        <v/>
      </c>
      <c r="Y610" s="42" t="str">
        <f t="shared" si="39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7"/>
        <v/>
      </c>
      <c r="M611" s="78"/>
      <c r="N611" s="78"/>
      <c r="O611" s="78"/>
      <c r="P611" s="78"/>
      <c r="Q611" s="78"/>
      <c r="R611" s="36">
        <f t="shared" si="40"/>
        <v>28348.636155563392</v>
      </c>
      <c r="S611" s="386"/>
      <c r="T611" s="37"/>
      <c r="X611" s="39" t="str">
        <f t="shared" si="38"/>
        <v/>
      </c>
      <c r="Y611" s="42" t="str">
        <f t="shared" si="39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7"/>
        <v/>
      </c>
      <c r="M612" s="78"/>
      <c r="N612" s="78"/>
      <c r="O612" s="78"/>
      <c r="P612" s="78"/>
      <c r="Q612" s="78"/>
      <c r="R612" s="36">
        <f t="shared" si="40"/>
        <v>28348.636155563392</v>
      </c>
      <c r="S612" s="386"/>
      <c r="T612" s="37"/>
      <c r="X612" s="39" t="str">
        <f t="shared" si="38"/>
        <v/>
      </c>
      <c r="Y612" s="42" t="str">
        <f t="shared" si="39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7"/>
        <v/>
      </c>
      <c r="M613" s="78"/>
      <c r="N613" s="78"/>
      <c r="O613" s="78"/>
      <c r="P613" s="78"/>
      <c r="Q613" s="78"/>
      <c r="R613" s="36">
        <f t="shared" si="40"/>
        <v>28348.636155563392</v>
      </c>
      <c r="S613" s="386"/>
      <c r="T613" s="37"/>
      <c r="X613" s="39" t="str">
        <f t="shared" si="38"/>
        <v/>
      </c>
      <c r="Y613" s="42" t="str">
        <f t="shared" si="39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7"/>
        <v/>
      </c>
      <c r="M614" s="78"/>
      <c r="N614" s="78"/>
      <c r="O614" s="78"/>
      <c r="P614" s="78"/>
      <c r="Q614" s="78"/>
      <c r="R614" s="36">
        <f t="shared" si="40"/>
        <v>28348.636155563392</v>
      </c>
      <c r="S614" s="386"/>
      <c r="T614" s="37"/>
      <c r="X614" s="39" t="str">
        <f t="shared" si="38"/>
        <v/>
      </c>
      <c r="Y614" s="42" t="str">
        <f t="shared" si="39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7"/>
        <v/>
      </c>
      <c r="M615" s="78"/>
      <c r="N615" s="78"/>
      <c r="O615" s="78"/>
      <c r="P615" s="78"/>
      <c r="Q615" s="78"/>
      <c r="R615" s="36">
        <f t="shared" si="40"/>
        <v>28348.636155563392</v>
      </c>
      <c r="S615" s="386"/>
      <c r="T615" s="37"/>
      <c r="X615" s="39" t="str">
        <f t="shared" si="38"/>
        <v/>
      </c>
      <c r="Y615" s="42" t="str">
        <f t="shared" si="39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7"/>
        <v/>
      </c>
      <c r="M616" s="78"/>
      <c r="N616" s="78"/>
      <c r="O616" s="78"/>
      <c r="P616" s="78"/>
      <c r="Q616" s="78"/>
      <c r="R616" s="36">
        <f t="shared" si="40"/>
        <v>28348.636155563392</v>
      </c>
      <c r="S616" s="386"/>
      <c r="T616" s="37"/>
      <c r="X616" s="39" t="str">
        <f t="shared" si="38"/>
        <v/>
      </c>
      <c r="Y616" s="42" t="str">
        <f t="shared" si="39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7"/>
        <v/>
      </c>
      <c r="M617" s="78"/>
      <c r="N617" s="78"/>
      <c r="O617" s="78"/>
      <c r="P617" s="78"/>
      <c r="Q617" s="78"/>
      <c r="R617" s="36">
        <f t="shared" si="40"/>
        <v>28348.636155563392</v>
      </c>
      <c r="S617" s="386"/>
      <c r="T617" s="37"/>
      <c r="X617" s="39" t="str">
        <f t="shared" si="38"/>
        <v/>
      </c>
      <c r="Y617" s="42" t="str">
        <f t="shared" si="39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7"/>
        <v/>
      </c>
      <c r="M618" s="78"/>
      <c r="N618" s="78"/>
      <c r="O618" s="78"/>
      <c r="P618" s="78"/>
      <c r="Q618" s="78"/>
      <c r="R618" s="36">
        <f t="shared" si="40"/>
        <v>28348.636155563392</v>
      </c>
      <c r="S618" s="386"/>
      <c r="T618" s="37"/>
      <c r="X618" s="39" t="str">
        <f t="shared" si="38"/>
        <v/>
      </c>
      <c r="Y618" s="42" t="str">
        <f t="shared" si="39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7"/>
        <v/>
      </c>
      <c r="M619" s="78"/>
      <c r="N619" s="78"/>
      <c r="O619" s="78"/>
      <c r="P619" s="78"/>
      <c r="Q619" s="78"/>
      <c r="R619" s="36">
        <f t="shared" si="40"/>
        <v>28348.636155563392</v>
      </c>
      <c r="S619" s="386"/>
      <c r="T619" s="37"/>
      <c r="X619" s="39" t="str">
        <f t="shared" si="38"/>
        <v/>
      </c>
      <c r="Y619" s="42" t="str">
        <f t="shared" si="39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7"/>
        <v/>
      </c>
      <c r="M620" s="78"/>
      <c r="N620" s="78"/>
      <c r="O620" s="78"/>
      <c r="P620" s="78"/>
      <c r="Q620" s="78"/>
      <c r="R620" s="36">
        <f t="shared" si="40"/>
        <v>28348.636155563392</v>
      </c>
      <c r="S620" s="386"/>
      <c r="T620" s="37"/>
      <c r="X620" s="39" t="str">
        <f t="shared" si="38"/>
        <v/>
      </c>
      <c r="Y620" s="42" t="str">
        <f t="shared" si="39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41">IF(B621="Compra",F621*G621,"")</f>
        <v/>
      </c>
      <c r="M621" s="78"/>
      <c r="N621" s="78"/>
      <c r="O621" s="78"/>
      <c r="P621" s="78"/>
      <c r="Q621" s="78"/>
      <c r="R621" s="36">
        <f t="shared" si="40"/>
        <v>28348.636155563392</v>
      </c>
      <c r="S621" s="386"/>
      <c r="T621" s="37"/>
      <c r="X621" s="39" t="str">
        <f t="shared" si="38"/>
        <v/>
      </c>
      <c r="Y621" s="42" t="str">
        <f t="shared" si="39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41"/>
        <v/>
      </c>
      <c r="M622" s="78"/>
      <c r="N622" s="78"/>
      <c r="O622" s="78"/>
      <c r="P622" s="78"/>
      <c r="Q622" s="78"/>
      <c r="R622" s="36">
        <f t="shared" si="40"/>
        <v>28348.636155563392</v>
      </c>
      <c r="S622" s="386"/>
      <c r="T622" s="37"/>
      <c r="X622" s="39" t="str">
        <f t="shared" si="38"/>
        <v/>
      </c>
      <c r="Y622" s="42" t="str">
        <f t="shared" si="39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41"/>
        <v/>
      </c>
      <c r="M623" s="78"/>
      <c r="N623" s="78"/>
      <c r="O623" s="78"/>
      <c r="P623" s="78"/>
      <c r="Q623" s="78"/>
      <c r="R623" s="36">
        <f t="shared" si="40"/>
        <v>28348.636155563392</v>
      </c>
      <c r="S623" s="386"/>
      <c r="T623" s="37"/>
      <c r="X623" s="39" t="str">
        <f t="shared" si="38"/>
        <v/>
      </c>
      <c r="Y623" s="42" t="str">
        <f t="shared" si="39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41"/>
        <v/>
      </c>
      <c r="M624" s="78"/>
      <c r="N624" s="78"/>
      <c r="O624" s="78"/>
      <c r="P624" s="78"/>
      <c r="Q624" s="78"/>
      <c r="R624" s="36">
        <f t="shared" si="40"/>
        <v>28348.636155563392</v>
      </c>
      <c r="S624" s="386"/>
      <c r="T624" s="37"/>
      <c r="X624" s="39" t="str">
        <f t="shared" si="38"/>
        <v/>
      </c>
      <c r="Y624" s="42" t="str">
        <f t="shared" si="39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41"/>
        <v/>
      </c>
      <c r="M625" s="78"/>
      <c r="N625" s="78"/>
      <c r="O625" s="78"/>
      <c r="P625" s="78"/>
      <c r="Q625" s="78"/>
      <c r="R625" s="36">
        <f t="shared" si="40"/>
        <v>28348.636155563392</v>
      </c>
      <c r="S625" s="386"/>
      <c r="T625" s="37"/>
      <c r="X625" s="39" t="str">
        <f t="shared" si="38"/>
        <v/>
      </c>
      <c r="Y625" s="42" t="str">
        <f t="shared" si="39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41"/>
        <v/>
      </c>
      <c r="M626" s="78"/>
      <c r="N626" s="78"/>
      <c r="O626" s="78"/>
      <c r="P626" s="78"/>
      <c r="Q626" s="78"/>
      <c r="R626" s="36">
        <f t="shared" si="40"/>
        <v>28348.636155563392</v>
      </c>
      <c r="S626" s="386"/>
      <c r="T626" s="37"/>
      <c r="X626" s="39" t="str">
        <f t="shared" si="38"/>
        <v/>
      </c>
      <c r="Y626" s="42" t="str">
        <f t="shared" si="39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41"/>
        <v/>
      </c>
      <c r="M627" s="78"/>
      <c r="N627" s="78"/>
      <c r="O627" s="78"/>
      <c r="P627" s="78"/>
      <c r="Q627" s="78"/>
      <c r="R627" s="36">
        <f t="shared" si="40"/>
        <v>28348.636155563392</v>
      </c>
      <c r="S627" s="386"/>
      <c r="T627" s="37"/>
      <c r="X627" s="39" t="str">
        <f t="shared" si="38"/>
        <v/>
      </c>
      <c r="Y627" s="42" t="str">
        <f t="shared" si="39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41"/>
        <v/>
      </c>
      <c r="M628" s="78"/>
      <c r="N628" s="78"/>
      <c r="O628" s="78"/>
      <c r="P628" s="78"/>
      <c r="Q628" s="78"/>
      <c r="R628" s="36">
        <f t="shared" si="40"/>
        <v>28348.636155563392</v>
      </c>
      <c r="S628" s="386"/>
      <c r="T628" s="37"/>
      <c r="X628" s="39" t="str">
        <f t="shared" si="38"/>
        <v/>
      </c>
      <c r="Y628" s="42" t="str">
        <f t="shared" si="39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41"/>
        <v/>
      </c>
      <c r="M629" s="78"/>
      <c r="N629" s="78"/>
      <c r="O629" s="78"/>
      <c r="P629" s="78"/>
      <c r="Q629" s="78"/>
      <c r="R629" s="36">
        <f t="shared" si="40"/>
        <v>28348.636155563392</v>
      </c>
      <c r="S629" s="386"/>
      <c r="T629" s="37"/>
      <c r="X629" s="39" t="str">
        <f t="shared" si="38"/>
        <v/>
      </c>
      <c r="Y629" s="42" t="str">
        <f t="shared" si="39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41"/>
        <v/>
      </c>
      <c r="M630" s="78"/>
      <c r="N630" s="78"/>
      <c r="O630" s="78"/>
      <c r="P630" s="78"/>
      <c r="Q630" s="78"/>
      <c r="R630" s="36">
        <f t="shared" si="40"/>
        <v>28348.636155563392</v>
      </c>
      <c r="S630" s="386"/>
      <c r="T630" s="37"/>
      <c r="X630" s="39" t="str">
        <f t="shared" ref="X630:X693" si="42">IF(I745&lt;&gt;0,I745,"")</f>
        <v/>
      </c>
      <c r="Y630" s="42" t="str">
        <f t="shared" ref="Y630:Y693" si="43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41"/>
        <v/>
      </c>
      <c r="M631" s="78"/>
      <c r="N631" s="78"/>
      <c r="O631" s="78"/>
      <c r="P631" s="78"/>
      <c r="Q631" s="78"/>
      <c r="R631" s="36">
        <f t="shared" si="40"/>
        <v>28348.636155563392</v>
      </c>
      <c r="S631" s="386"/>
      <c r="T631" s="37"/>
      <c r="X631" s="39" t="str">
        <f t="shared" si="42"/>
        <v/>
      </c>
      <c r="Y631" s="42" t="str">
        <f t="shared" si="43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41"/>
        <v/>
      </c>
      <c r="M632" s="78"/>
      <c r="N632" s="78"/>
      <c r="O632" s="78"/>
      <c r="P632" s="78"/>
      <c r="Q632" s="78"/>
      <c r="R632" s="36">
        <f t="shared" si="40"/>
        <v>28348.636155563392</v>
      </c>
      <c r="S632" s="386"/>
      <c r="T632" s="37"/>
      <c r="X632" s="39" t="str">
        <f t="shared" si="42"/>
        <v/>
      </c>
      <c r="Y632" s="42" t="str">
        <f t="shared" si="43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40"/>
        <v>28348.636155563392</v>
      </c>
      <c r="S633" s="386"/>
      <c r="T633" s="37"/>
      <c r="X633" s="39" t="str">
        <f t="shared" si="42"/>
        <v/>
      </c>
      <c r="Y633" s="42" t="str">
        <f t="shared" si="43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40"/>
        <v>28348.636155563392</v>
      </c>
      <c r="S634" s="386"/>
      <c r="T634" s="37"/>
      <c r="X634" s="39" t="str">
        <f t="shared" si="42"/>
        <v/>
      </c>
      <c r="Y634" s="42" t="str">
        <f t="shared" si="43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40"/>
        <v>28348.636155563392</v>
      </c>
      <c r="S635" s="386"/>
      <c r="T635" s="37"/>
      <c r="X635" s="39" t="str">
        <f t="shared" si="42"/>
        <v/>
      </c>
      <c r="Y635" s="42" t="str">
        <f t="shared" si="43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40"/>
        <v>28348.636155563392</v>
      </c>
      <c r="S636" s="386"/>
      <c r="T636" s="37"/>
      <c r="X636" s="39" t="str">
        <f t="shared" si="42"/>
        <v/>
      </c>
      <c r="Y636" s="42" t="str">
        <f t="shared" si="43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40"/>
        <v>28348.636155563392</v>
      </c>
      <c r="S637" s="386"/>
      <c r="T637" s="37"/>
      <c r="X637" s="39" t="str">
        <f t="shared" si="42"/>
        <v/>
      </c>
      <c r="Y637" s="42" t="str">
        <f t="shared" si="43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40"/>
        <v>28348.636155563392</v>
      </c>
      <c r="S638" s="386"/>
      <c r="T638" s="37"/>
      <c r="X638" s="39" t="str">
        <f t="shared" si="42"/>
        <v/>
      </c>
      <c r="Y638" s="42" t="str">
        <f t="shared" si="43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40"/>
        <v>28348.636155563392</v>
      </c>
      <c r="S639" s="386"/>
      <c r="T639" s="37"/>
      <c r="X639" s="39" t="str">
        <f t="shared" si="42"/>
        <v/>
      </c>
      <c r="Y639" s="42" t="str">
        <f t="shared" si="43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40"/>
        <v>28348.636155563392</v>
      </c>
      <c r="S640" s="386"/>
      <c r="T640" s="37"/>
      <c r="X640" s="39" t="str">
        <f t="shared" si="42"/>
        <v/>
      </c>
      <c r="Y640" s="42" t="str">
        <f t="shared" si="43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40"/>
        <v>28348.636155563392</v>
      </c>
      <c r="S641" s="386"/>
      <c r="T641" s="37"/>
      <c r="X641" s="39" t="str">
        <f t="shared" si="42"/>
        <v/>
      </c>
      <c r="Y641" s="42" t="str">
        <f t="shared" si="43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40"/>
        <v>28348.636155563392</v>
      </c>
      <c r="S642" s="386"/>
      <c r="T642" s="37"/>
      <c r="X642" s="39" t="str">
        <f t="shared" si="42"/>
        <v/>
      </c>
      <c r="Y642" s="42" t="str">
        <f t="shared" si="43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40"/>
        <v>28348.636155563392</v>
      </c>
      <c r="S643" s="386"/>
      <c r="T643" s="37"/>
      <c r="X643" s="39" t="str">
        <f t="shared" si="42"/>
        <v/>
      </c>
      <c r="Y643" s="42" t="str">
        <f t="shared" si="43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40"/>
        <v>28348.636155563392</v>
      </c>
      <c r="S644" s="386"/>
      <c r="T644" s="37"/>
      <c r="X644" s="39" t="str">
        <f t="shared" si="42"/>
        <v/>
      </c>
      <c r="Y644" s="42" t="str">
        <f t="shared" si="43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40"/>
        <v>28348.636155563392</v>
      </c>
      <c r="S645" s="386"/>
      <c r="T645" s="37"/>
      <c r="X645" s="39" t="str">
        <f t="shared" si="42"/>
        <v/>
      </c>
      <c r="Y645" s="42" t="str">
        <f t="shared" si="43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40"/>
        <v>28348.636155563392</v>
      </c>
      <c r="S646" s="386"/>
      <c r="T646" s="37"/>
      <c r="X646" s="39" t="str">
        <f t="shared" si="42"/>
        <v/>
      </c>
      <c r="Y646" s="42" t="str">
        <f t="shared" si="43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40"/>
        <v>28348.636155563392</v>
      </c>
      <c r="S647" s="386"/>
      <c r="T647" s="37"/>
      <c r="X647" s="39" t="str">
        <f t="shared" si="42"/>
        <v/>
      </c>
      <c r="Y647" s="42" t="str">
        <f t="shared" si="43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40"/>
        <v>28348.636155563392</v>
      </c>
      <c r="S648" s="386"/>
      <c r="T648" s="37"/>
      <c r="X648" s="39" t="str">
        <f t="shared" si="42"/>
        <v/>
      </c>
      <c r="Y648" s="42" t="str">
        <f t="shared" si="43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40"/>
        <v>28348.636155563392</v>
      </c>
      <c r="S649" s="386"/>
      <c r="T649" s="37"/>
      <c r="X649" s="39" t="str">
        <f t="shared" si="42"/>
        <v/>
      </c>
      <c r="Y649" s="42" t="str">
        <f t="shared" si="43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40"/>
        <v>28348.636155563392</v>
      </c>
      <c r="S650" s="386"/>
      <c r="T650" s="37"/>
      <c r="X650" s="39" t="str">
        <f t="shared" si="42"/>
        <v/>
      </c>
      <c r="Y650" s="42" t="str">
        <f t="shared" si="43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40"/>
        <v>28348.636155563392</v>
      </c>
      <c r="S651" s="386"/>
      <c r="T651" s="37"/>
      <c r="X651" s="39" t="str">
        <f t="shared" si="42"/>
        <v/>
      </c>
      <c r="Y651" s="42" t="str">
        <f t="shared" si="43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40"/>
        <v>28348.636155563392</v>
      </c>
      <c r="S652" s="386"/>
      <c r="T652" s="37"/>
      <c r="X652" s="39" t="str">
        <f t="shared" si="42"/>
        <v/>
      </c>
      <c r="Y652" s="42" t="str">
        <f t="shared" si="43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40"/>
        <v>28348.636155563392</v>
      </c>
      <c r="S653" s="386"/>
      <c r="T653" s="37"/>
      <c r="X653" s="39" t="str">
        <f t="shared" si="42"/>
        <v/>
      </c>
      <c r="Y653" s="42" t="str">
        <f t="shared" si="43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40"/>
        <v>28348.636155563392</v>
      </c>
      <c r="S654" s="386"/>
      <c r="T654" s="37"/>
      <c r="X654" s="39" t="str">
        <f t="shared" si="42"/>
        <v/>
      </c>
      <c r="Y654" s="42" t="str">
        <f t="shared" si="43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40"/>
        <v>28348.636155563392</v>
      </c>
      <c r="S655" s="386"/>
      <c r="T655" s="37"/>
      <c r="X655" s="39" t="str">
        <f t="shared" si="42"/>
        <v/>
      </c>
      <c r="Y655" s="42" t="str">
        <f t="shared" si="43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40"/>
        <v>28348.636155563392</v>
      </c>
      <c r="S656" s="386"/>
      <c r="T656" s="37"/>
      <c r="X656" s="39" t="str">
        <f t="shared" si="42"/>
        <v/>
      </c>
      <c r="Y656" s="42" t="str">
        <f t="shared" si="43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40"/>
        <v>28348.636155563392</v>
      </c>
      <c r="S657" s="386"/>
      <c r="T657" s="37"/>
      <c r="X657" s="39" t="str">
        <f t="shared" si="42"/>
        <v/>
      </c>
      <c r="Y657" s="42" t="str">
        <f t="shared" si="43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40"/>
        <v>28348.636155563392</v>
      </c>
      <c r="S658" s="386"/>
      <c r="T658" s="37"/>
      <c r="X658" s="39" t="str">
        <f t="shared" si="42"/>
        <v/>
      </c>
      <c r="Y658" s="42" t="str">
        <f t="shared" si="43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40"/>
        <v>28348.636155563392</v>
      </c>
      <c r="S659" s="386"/>
      <c r="T659" s="37"/>
      <c r="X659" s="39" t="str">
        <f t="shared" si="42"/>
        <v/>
      </c>
      <c r="Y659" s="42" t="str">
        <f t="shared" si="43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40"/>
        <v>28348.636155563392</v>
      </c>
      <c r="S660" s="386"/>
      <c r="T660" s="37"/>
      <c r="X660" s="39" t="str">
        <f t="shared" si="42"/>
        <v/>
      </c>
      <c r="Y660" s="42" t="str">
        <f t="shared" si="43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40"/>
        <v>28348.636155563392</v>
      </c>
      <c r="S661" s="386"/>
      <c r="T661" s="37"/>
      <c r="X661" s="39" t="str">
        <f t="shared" si="42"/>
        <v/>
      </c>
      <c r="Y661" s="42" t="str">
        <f t="shared" si="43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40"/>
        <v>28348.636155563392</v>
      </c>
      <c r="S662" s="386"/>
      <c r="T662" s="37"/>
      <c r="X662" s="39" t="str">
        <f t="shared" si="42"/>
        <v/>
      </c>
      <c r="Y662" s="42" t="str">
        <f t="shared" si="43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40"/>
        <v>28348.636155563392</v>
      </c>
      <c r="S663" s="386"/>
      <c r="T663" s="37"/>
      <c r="X663" s="39" t="str">
        <f t="shared" si="42"/>
        <v/>
      </c>
      <c r="Y663" s="42" t="str">
        <f t="shared" si="43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40"/>
        <v>28348.636155563392</v>
      </c>
      <c r="S664" s="386"/>
      <c r="T664" s="37"/>
      <c r="X664" s="39" t="str">
        <f t="shared" si="42"/>
        <v/>
      </c>
      <c r="Y664" s="42" t="str">
        <f t="shared" si="43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40"/>
        <v>28348.636155563392</v>
      </c>
      <c r="S665" s="386"/>
      <c r="T665" s="37"/>
      <c r="X665" s="39" t="str">
        <f t="shared" si="42"/>
        <v/>
      </c>
      <c r="Y665" s="42" t="str">
        <f t="shared" si="43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40"/>
        <v>28348.636155563392</v>
      </c>
      <c r="S666" s="386"/>
      <c r="T666" s="37"/>
      <c r="X666" s="39" t="str">
        <f t="shared" si="42"/>
        <v/>
      </c>
      <c r="Y666" s="42" t="str">
        <f t="shared" si="43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40"/>
        <v>28348.636155563392</v>
      </c>
      <c r="S667" s="386"/>
      <c r="T667" s="37"/>
      <c r="X667" s="39" t="str">
        <f t="shared" si="42"/>
        <v/>
      </c>
      <c r="Y667" s="42" t="str">
        <f t="shared" si="43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40"/>
        <v>28348.636155563392</v>
      </c>
      <c r="S668" s="386"/>
      <c r="T668" s="37"/>
      <c r="X668" s="39" t="str">
        <f t="shared" si="42"/>
        <v/>
      </c>
      <c r="Y668" s="42" t="str">
        <f t="shared" si="43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40"/>
        <v>28348.636155563392</v>
      </c>
      <c r="S669" s="386"/>
      <c r="T669" s="37"/>
      <c r="X669" s="39" t="str">
        <f t="shared" si="42"/>
        <v/>
      </c>
      <c r="Y669" s="42" t="str">
        <f t="shared" si="43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40"/>
        <v>28348.636155563392</v>
      </c>
      <c r="S670" s="386"/>
      <c r="T670" s="37"/>
      <c r="X670" s="39" t="str">
        <f t="shared" si="42"/>
        <v/>
      </c>
      <c r="Y670" s="42" t="str">
        <f t="shared" si="43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40"/>
        <v>28348.636155563392</v>
      </c>
      <c r="S671" s="386"/>
      <c r="T671" s="37"/>
      <c r="X671" s="39" t="str">
        <f t="shared" si="42"/>
        <v/>
      </c>
      <c r="Y671" s="42" t="str">
        <f t="shared" si="43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40"/>
        <v>28348.636155563392</v>
      </c>
      <c r="S672" s="386"/>
      <c r="T672" s="37"/>
      <c r="X672" s="39" t="str">
        <f t="shared" si="42"/>
        <v/>
      </c>
      <c r="Y672" s="42" t="str">
        <f t="shared" si="43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40"/>
        <v>28348.636155563392</v>
      </c>
      <c r="S673" s="386"/>
      <c r="T673" s="37"/>
      <c r="X673" s="39" t="str">
        <f t="shared" si="42"/>
        <v/>
      </c>
      <c r="Y673" s="42" t="str">
        <f t="shared" si="43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4">R673*((J674/100)+1)</f>
        <v>28348.636155563392</v>
      </c>
      <c r="S674" s="386"/>
      <c r="T674" s="37"/>
      <c r="X674" s="39" t="str">
        <f t="shared" si="42"/>
        <v/>
      </c>
      <c r="Y674" s="42" t="str">
        <f t="shared" si="43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4"/>
        <v>28348.636155563392</v>
      </c>
      <c r="S675" s="386"/>
      <c r="T675" s="37"/>
      <c r="X675" s="39" t="str">
        <f t="shared" si="42"/>
        <v/>
      </c>
      <c r="Y675" s="42" t="str">
        <f t="shared" si="43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4"/>
        <v>28348.636155563392</v>
      </c>
      <c r="S676" s="386"/>
      <c r="T676" s="37"/>
      <c r="X676" s="39" t="str">
        <f t="shared" si="42"/>
        <v/>
      </c>
      <c r="Y676" s="42" t="str">
        <f t="shared" si="43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4"/>
        <v>28348.636155563392</v>
      </c>
      <c r="S677" s="386"/>
      <c r="T677" s="37"/>
      <c r="X677" s="39" t="str">
        <f t="shared" si="42"/>
        <v/>
      </c>
      <c r="Y677" s="42" t="str">
        <f t="shared" si="43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4"/>
        <v>28348.636155563392</v>
      </c>
      <c r="S678" s="386"/>
      <c r="T678" s="37"/>
      <c r="X678" s="39" t="str">
        <f t="shared" si="42"/>
        <v/>
      </c>
      <c r="Y678" s="42" t="str">
        <f t="shared" si="43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4"/>
        <v>28348.636155563392</v>
      </c>
      <c r="S679" s="386"/>
      <c r="T679" s="37"/>
      <c r="X679" s="39" t="str">
        <f t="shared" si="42"/>
        <v/>
      </c>
      <c r="Y679" s="42" t="str">
        <f t="shared" si="43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4"/>
        <v>28348.636155563392</v>
      </c>
      <c r="S680" s="386"/>
      <c r="T680" s="37"/>
      <c r="X680" s="39" t="str">
        <f t="shared" si="42"/>
        <v/>
      </c>
      <c r="Y680" s="42" t="str">
        <f t="shared" si="43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4"/>
        <v>28348.636155563392</v>
      </c>
      <c r="S681" s="386"/>
      <c r="T681" s="37"/>
      <c r="X681" s="39" t="str">
        <f t="shared" si="42"/>
        <v/>
      </c>
      <c r="Y681" s="42" t="str">
        <f t="shared" si="43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4"/>
        <v>28348.636155563392</v>
      </c>
      <c r="S682" s="386"/>
      <c r="T682" s="37"/>
      <c r="X682" s="39" t="str">
        <f t="shared" si="42"/>
        <v/>
      </c>
      <c r="Y682" s="42" t="str">
        <f t="shared" si="43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4"/>
        <v>28348.636155563392</v>
      </c>
      <c r="S683" s="386"/>
      <c r="T683" s="37"/>
      <c r="X683" s="39" t="str">
        <f t="shared" si="42"/>
        <v/>
      </c>
      <c r="Y683" s="42" t="str">
        <f t="shared" si="43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4"/>
        <v>28348.636155563392</v>
      </c>
      <c r="S684" s="386"/>
      <c r="T684" s="37"/>
      <c r="X684" s="39" t="str">
        <f t="shared" si="42"/>
        <v/>
      </c>
      <c r="Y684" s="42" t="str">
        <f t="shared" si="43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4"/>
        <v>28348.636155563392</v>
      </c>
      <c r="S685" s="386"/>
      <c r="T685" s="37"/>
      <c r="X685" s="39" t="str">
        <f t="shared" si="42"/>
        <v/>
      </c>
      <c r="Y685" s="42" t="str">
        <f t="shared" si="43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4"/>
        <v>28348.636155563392</v>
      </c>
      <c r="S686" s="386"/>
      <c r="T686" s="37"/>
      <c r="X686" s="39" t="str">
        <f t="shared" si="42"/>
        <v/>
      </c>
      <c r="Y686" s="42" t="str">
        <f t="shared" si="43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4"/>
        <v>28348.636155563392</v>
      </c>
      <c r="S687" s="386"/>
      <c r="T687" s="78"/>
      <c r="X687" s="39" t="str">
        <f t="shared" si="42"/>
        <v/>
      </c>
      <c r="Y687" s="42" t="str">
        <f t="shared" si="43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4"/>
        <v>28348.636155563392</v>
      </c>
      <c r="S688" s="386"/>
      <c r="T688" s="78"/>
      <c r="X688" s="39" t="str">
        <f t="shared" si="42"/>
        <v/>
      </c>
      <c r="Y688" s="42" t="str">
        <f t="shared" si="43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4"/>
        <v>28348.636155563392</v>
      </c>
      <c r="S689" s="386"/>
      <c r="T689" s="78"/>
      <c r="X689" s="39" t="str">
        <f t="shared" si="42"/>
        <v/>
      </c>
      <c r="Y689" s="42" t="str">
        <f t="shared" si="43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4"/>
        <v>28348.636155563392</v>
      </c>
      <c r="S690" s="386"/>
      <c r="T690" s="78"/>
      <c r="X690" s="39" t="str">
        <f t="shared" si="42"/>
        <v/>
      </c>
      <c r="Y690" s="42" t="str">
        <f t="shared" si="43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4"/>
        <v>28348.636155563392</v>
      </c>
      <c r="S691" s="386"/>
      <c r="T691" s="78"/>
      <c r="X691" s="39" t="str">
        <f t="shared" si="42"/>
        <v/>
      </c>
      <c r="Y691" s="42" t="str">
        <f t="shared" si="43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4"/>
        <v>28348.636155563392</v>
      </c>
      <c r="S692" s="386"/>
      <c r="T692" s="78"/>
      <c r="X692" s="39" t="str">
        <f t="shared" si="42"/>
        <v/>
      </c>
      <c r="Y692" s="42" t="str">
        <f t="shared" si="43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4"/>
        <v>28348.636155563392</v>
      </c>
      <c r="S693" s="386"/>
      <c r="T693" s="78"/>
      <c r="X693" s="39" t="str">
        <f t="shared" si="42"/>
        <v/>
      </c>
      <c r="Y693" s="42" t="str">
        <f t="shared" si="43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4"/>
        <v>28348.636155563392</v>
      </c>
      <c r="S694" s="386"/>
      <c r="T694" s="78"/>
      <c r="X694" s="39" t="str">
        <f t="shared" ref="X694:X757" si="45">IF(I809&lt;&gt;0,I809,"")</f>
        <v/>
      </c>
      <c r="Y694" s="42" t="str">
        <f t="shared" ref="Y694:Y757" si="46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4"/>
        <v>28348.636155563392</v>
      </c>
      <c r="S695" s="386"/>
      <c r="T695" s="78"/>
      <c r="X695" s="39" t="str">
        <f t="shared" si="45"/>
        <v/>
      </c>
      <c r="Y695" s="42" t="str">
        <f t="shared" si="46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4"/>
        <v>28348.636155563392</v>
      </c>
      <c r="S696" s="386"/>
      <c r="T696" s="78"/>
      <c r="X696" s="39" t="str">
        <f t="shared" si="45"/>
        <v/>
      </c>
      <c r="Y696" s="42" t="str">
        <f t="shared" si="46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4"/>
        <v>28348.636155563392</v>
      </c>
      <c r="S697" s="386"/>
      <c r="T697" s="78"/>
      <c r="X697" s="39" t="str">
        <f t="shared" si="45"/>
        <v/>
      </c>
      <c r="Y697" s="42" t="str">
        <f t="shared" si="46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4"/>
        <v>28348.636155563392</v>
      </c>
      <c r="S698" s="386"/>
      <c r="T698" s="78"/>
      <c r="X698" s="39" t="str">
        <f t="shared" si="45"/>
        <v/>
      </c>
      <c r="Y698" s="42" t="str">
        <f t="shared" si="46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4"/>
        <v>28348.636155563392</v>
      </c>
      <c r="S699" s="386"/>
      <c r="T699" s="78"/>
      <c r="X699" s="39" t="str">
        <f t="shared" si="45"/>
        <v/>
      </c>
      <c r="Y699" s="42" t="str">
        <f t="shared" si="46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4"/>
        <v>28348.636155563392</v>
      </c>
      <c r="S700" s="386"/>
      <c r="T700" s="78"/>
      <c r="X700" s="39" t="str">
        <f t="shared" si="45"/>
        <v/>
      </c>
      <c r="Y700" s="42" t="str">
        <f t="shared" si="46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4"/>
        <v>28348.636155563392</v>
      </c>
      <c r="S701" s="386"/>
      <c r="T701" s="78"/>
      <c r="X701" s="39" t="str">
        <f t="shared" si="45"/>
        <v/>
      </c>
      <c r="Y701" s="42" t="str">
        <f t="shared" si="46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4"/>
        <v>28348.636155563392</v>
      </c>
      <c r="S702" s="386"/>
      <c r="T702" s="78"/>
      <c r="X702" s="39" t="str">
        <f t="shared" si="45"/>
        <v/>
      </c>
      <c r="Y702" s="42" t="str">
        <f t="shared" si="46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4"/>
        <v>28348.636155563392</v>
      </c>
      <c r="S703" s="386"/>
      <c r="T703" s="78"/>
      <c r="X703" s="39" t="str">
        <f t="shared" si="45"/>
        <v/>
      </c>
      <c r="Y703" s="42" t="str">
        <f t="shared" si="46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4"/>
        <v>28348.636155563392</v>
      </c>
      <c r="S704" s="386"/>
      <c r="T704" s="78"/>
      <c r="X704" s="39" t="str">
        <f t="shared" si="45"/>
        <v/>
      </c>
      <c r="Y704" s="42" t="str">
        <f t="shared" si="46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4"/>
        <v>28348.636155563392</v>
      </c>
      <c r="S705" s="386"/>
      <c r="T705" s="78"/>
      <c r="X705" s="39" t="str">
        <f t="shared" si="45"/>
        <v/>
      </c>
      <c r="Y705" s="42" t="str">
        <f t="shared" si="46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4"/>
        <v>28348.636155563392</v>
      </c>
      <c r="S706" s="386"/>
      <c r="T706" s="78"/>
      <c r="X706" s="39" t="str">
        <f t="shared" si="45"/>
        <v/>
      </c>
      <c r="Y706" s="42" t="str">
        <f t="shared" si="46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4"/>
        <v>28348.636155563392</v>
      </c>
      <c r="S707" s="386"/>
      <c r="T707" s="78"/>
      <c r="X707" s="39" t="str">
        <f t="shared" si="45"/>
        <v/>
      </c>
      <c r="Y707" s="42" t="str">
        <f t="shared" si="46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4"/>
        <v>28348.636155563392</v>
      </c>
      <c r="S708" s="386"/>
      <c r="T708" s="78"/>
      <c r="X708" s="39" t="str">
        <f t="shared" si="45"/>
        <v/>
      </c>
      <c r="Y708" s="42" t="str">
        <f t="shared" si="46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4"/>
        <v>28348.636155563392</v>
      </c>
      <c r="S709" s="386"/>
      <c r="T709" s="78"/>
      <c r="X709" s="39" t="str">
        <f t="shared" si="45"/>
        <v/>
      </c>
      <c r="Y709" s="42" t="str">
        <f t="shared" si="46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4"/>
        <v>28348.636155563392</v>
      </c>
      <c r="S710" s="386"/>
      <c r="T710" s="78"/>
      <c r="X710" s="39" t="str">
        <f t="shared" si="45"/>
        <v/>
      </c>
      <c r="Y710" s="42" t="str">
        <f t="shared" si="46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4"/>
        <v>28348.636155563392</v>
      </c>
      <c r="S711" s="386"/>
      <c r="T711" s="78"/>
      <c r="X711" s="39" t="str">
        <f t="shared" si="45"/>
        <v/>
      </c>
      <c r="Y711" s="42" t="str">
        <f t="shared" si="46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4"/>
        <v>28348.636155563392</v>
      </c>
      <c r="S712" s="386"/>
      <c r="T712" s="78"/>
      <c r="X712" s="39" t="str">
        <f t="shared" si="45"/>
        <v/>
      </c>
      <c r="Y712" s="42" t="str">
        <f t="shared" si="46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4"/>
        <v>28348.636155563392</v>
      </c>
      <c r="S713" s="386"/>
      <c r="T713" s="78"/>
      <c r="X713" s="39" t="str">
        <f t="shared" si="45"/>
        <v/>
      </c>
      <c r="Y713" s="42" t="str">
        <f t="shared" si="46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4"/>
        <v>28348.636155563392</v>
      </c>
      <c r="S714" s="386"/>
      <c r="T714" s="78"/>
      <c r="X714" s="39" t="str">
        <f t="shared" si="45"/>
        <v/>
      </c>
      <c r="Y714" s="42" t="str">
        <f t="shared" si="46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4"/>
        <v>28348.636155563392</v>
      </c>
      <c r="S715" s="386"/>
      <c r="T715" s="78"/>
      <c r="X715" s="39" t="str">
        <f t="shared" si="45"/>
        <v/>
      </c>
      <c r="Y715" s="42" t="str">
        <f t="shared" si="46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4"/>
        <v>28348.636155563392</v>
      </c>
      <c r="S716" s="386"/>
      <c r="T716" s="78"/>
      <c r="X716" s="39" t="str">
        <f t="shared" si="45"/>
        <v/>
      </c>
      <c r="Y716" s="42" t="str">
        <f t="shared" si="46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4"/>
        <v>28348.636155563392</v>
      </c>
      <c r="S717" s="386"/>
      <c r="T717" s="78"/>
      <c r="X717" s="39" t="str">
        <f t="shared" si="45"/>
        <v/>
      </c>
      <c r="Y717" s="42" t="str">
        <f t="shared" si="46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4"/>
        <v>28348.636155563392</v>
      </c>
      <c r="S718" s="386"/>
      <c r="T718" s="78"/>
      <c r="X718" s="39" t="str">
        <f t="shared" si="45"/>
        <v/>
      </c>
      <c r="Y718" s="42" t="str">
        <f t="shared" si="46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4"/>
        <v>28348.636155563392</v>
      </c>
      <c r="S719" s="386"/>
      <c r="T719" s="78"/>
      <c r="X719" s="39" t="str">
        <f t="shared" si="45"/>
        <v/>
      </c>
      <c r="Y719" s="42" t="str">
        <f t="shared" si="46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4"/>
        <v>28348.636155563392</v>
      </c>
      <c r="S720" s="386"/>
      <c r="T720" s="78"/>
      <c r="X720" s="39" t="str">
        <f t="shared" si="45"/>
        <v/>
      </c>
      <c r="Y720" s="42" t="str">
        <f t="shared" si="46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4"/>
        <v>28348.636155563392</v>
      </c>
      <c r="S721" s="386"/>
      <c r="T721" s="78"/>
      <c r="X721" s="39" t="str">
        <f t="shared" si="45"/>
        <v/>
      </c>
      <c r="Y721" s="42" t="str">
        <f t="shared" si="46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4"/>
        <v>28348.636155563392</v>
      </c>
      <c r="S722" s="386"/>
      <c r="T722" s="78"/>
      <c r="X722" s="39" t="str">
        <f t="shared" si="45"/>
        <v/>
      </c>
      <c r="Y722" s="42" t="str">
        <f t="shared" si="46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4"/>
        <v>28348.636155563392</v>
      </c>
      <c r="S723" s="386"/>
      <c r="T723" s="78"/>
      <c r="X723" s="39" t="str">
        <f t="shared" si="45"/>
        <v/>
      </c>
      <c r="Y723" s="42" t="str">
        <f t="shared" si="46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4"/>
        <v>28348.636155563392</v>
      </c>
      <c r="S724" s="386"/>
      <c r="T724" s="78"/>
      <c r="X724" s="39" t="str">
        <f t="shared" si="45"/>
        <v/>
      </c>
      <c r="Y724" s="42" t="str">
        <f t="shared" si="46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4"/>
        <v>28348.636155563392</v>
      </c>
      <c r="S725" s="386"/>
      <c r="T725" s="78"/>
      <c r="X725" s="39" t="str">
        <f t="shared" si="45"/>
        <v/>
      </c>
      <c r="Y725" s="42" t="str">
        <f t="shared" si="46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4"/>
        <v>28348.636155563392</v>
      </c>
      <c r="S726" s="386"/>
      <c r="T726" s="78"/>
      <c r="X726" s="39" t="str">
        <f t="shared" si="45"/>
        <v/>
      </c>
      <c r="Y726" s="42" t="str">
        <f t="shared" si="46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4"/>
        <v>28348.636155563392</v>
      </c>
      <c r="S727" s="386"/>
      <c r="T727" s="78"/>
      <c r="X727" s="39" t="str">
        <f t="shared" si="45"/>
        <v/>
      </c>
      <c r="Y727" s="42" t="str">
        <f t="shared" si="46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4"/>
        <v>28348.636155563392</v>
      </c>
      <c r="S728" s="386"/>
      <c r="T728" s="78"/>
      <c r="X728" s="39" t="str">
        <f t="shared" si="45"/>
        <v/>
      </c>
      <c r="Y728" s="42" t="str">
        <f t="shared" si="46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4"/>
        <v>28348.636155563392</v>
      </c>
      <c r="S729" s="386"/>
      <c r="T729" s="78"/>
      <c r="X729" s="39" t="str">
        <f t="shared" si="45"/>
        <v/>
      </c>
      <c r="Y729" s="42" t="str">
        <f t="shared" si="46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4"/>
        <v>28348.636155563392</v>
      </c>
      <c r="S730" s="386"/>
      <c r="T730" s="78"/>
      <c r="X730" s="39" t="str">
        <f t="shared" si="45"/>
        <v/>
      </c>
      <c r="Y730" s="42" t="str">
        <f t="shared" si="46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4"/>
        <v>28348.636155563392</v>
      </c>
      <c r="S731" s="386"/>
      <c r="T731" s="78"/>
      <c r="X731" s="39" t="str">
        <f t="shared" si="45"/>
        <v/>
      </c>
      <c r="Y731" s="42" t="str">
        <f t="shared" si="46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4"/>
        <v>28348.636155563392</v>
      </c>
      <c r="S732" s="386"/>
      <c r="T732" s="78"/>
      <c r="X732" s="39" t="str">
        <f t="shared" si="45"/>
        <v/>
      </c>
      <c r="Y732" s="42" t="str">
        <f t="shared" si="46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4"/>
        <v>28348.636155563392</v>
      </c>
      <c r="S733" s="386"/>
      <c r="T733" s="78"/>
      <c r="X733" s="39" t="str">
        <f t="shared" si="45"/>
        <v/>
      </c>
      <c r="Y733" s="42" t="str">
        <f t="shared" si="46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4"/>
        <v>28348.636155563392</v>
      </c>
      <c r="S734" s="386"/>
      <c r="T734" s="78"/>
      <c r="X734" s="39" t="str">
        <f t="shared" si="45"/>
        <v/>
      </c>
      <c r="Y734" s="42" t="str">
        <f t="shared" si="46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4"/>
        <v>28348.636155563392</v>
      </c>
      <c r="S735" s="386"/>
      <c r="T735" s="78"/>
      <c r="X735" s="39" t="str">
        <f t="shared" si="45"/>
        <v/>
      </c>
      <c r="Y735" s="42" t="str">
        <f t="shared" si="46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4"/>
        <v>28348.636155563392</v>
      </c>
      <c r="S736" s="386"/>
      <c r="T736" s="78"/>
      <c r="X736" s="39" t="str">
        <f t="shared" si="45"/>
        <v/>
      </c>
      <c r="Y736" s="42" t="str">
        <f t="shared" si="46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4"/>
        <v>28348.636155563392</v>
      </c>
      <c r="S737" s="386"/>
      <c r="T737" s="78"/>
      <c r="X737" s="39" t="str">
        <f t="shared" si="45"/>
        <v/>
      </c>
      <c r="Y737" s="42" t="str">
        <f t="shared" si="46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7">R737*((J738/100)+1)</f>
        <v>28348.636155563392</v>
      </c>
      <c r="S738" s="386"/>
      <c r="T738" s="78"/>
      <c r="X738" s="39" t="str">
        <f t="shared" si="45"/>
        <v/>
      </c>
      <c r="Y738" s="42" t="str">
        <f t="shared" si="46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7"/>
        <v>28348.636155563392</v>
      </c>
      <c r="S739" s="386"/>
      <c r="T739" s="78"/>
      <c r="X739" s="39" t="str">
        <f t="shared" si="45"/>
        <v/>
      </c>
      <c r="Y739" s="42" t="str">
        <f t="shared" si="46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7"/>
        <v>28348.636155563392</v>
      </c>
      <c r="S740" s="386"/>
      <c r="T740" s="78"/>
      <c r="X740" s="39" t="str">
        <f t="shared" si="45"/>
        <v/>
      </c>
      <c r="Y740" s="42" t="str">
        <f t="shared" si="46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7"/>
        <v>28348.636155563392</v>
      </c>
      <c r="S741" s="386"/>
      <c r="T741" s="78"/>
      <c r="X741" s="39" t="str">
        <f t="shared" si="45"/>
        <v/>
      </c>
      <c r="Y741" s="42" t="str">
        <f t="shared" si="46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7"/>
        <v>28348.636155563392</v>
      </c>
      <c r="S742" s="386"/>
      <c r="T742" s="78"/>
      <c r="X742" s="39" t="str">
        <f t="shared" si="45"/>
        <v/>
      </c>
      <c r="Y742" s="42" t="str">
        <f t="shared" si="46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7"/>
        <v>28348.636155563392</v>
      </c>
      <c r="S743" s="386"/>
      <c r="T743" s="78"/>
      <c r="X743" s="39" t="str">
        <f t="shared" si="45"/>
        <v/>
      </c>
      <c r="Y743" s="42" t="str">
        <f t="shared" si="46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7"/>
        <v>28348.636155563392</v>
      </c>
      <c r="S744" s="386"/>
      <c r="T744" s="78"/>
      <c r="X744" s="39" t="str">
        <f t="shared" si="45"/>
        <v/>
      </c>
      <c r="Y744" s="42" t="str">
        <f t="shared" si="46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7"/>
        <v>28348.636155563392</v>
      </c>
      <c r="S745" s="386"/>
      <c r="T745" s="78"/>
      <c r="X745" s="39" t="str">
        <f t="shared" si="45"/>
        <v/>
      </c>
      <c r="Y745" s="42" t="str">
        <f t="shared" si="46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7"/>
        <v>28348.636155563392</v>
      </c>
      <c r="S746" s="386"/>
      <c r="T746" s="78"/>
      <c r="X746" s="39" t="str">
        <f t="shared" si="45"/>
        <v/>
      </c>
      <c r="Y746" s="42" t="str">
        <f t="shared" si="46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7"/>
        <v>28348.636155563392</v>
      </c>
      <c r="S747" s="386"/>
      <c r="T747" s="78"/>
      <c r="X747" s="39" t="str">
        <f t="shared" si="45"/>
        <v/>
      </c>
      <c r="Y747" s="42" t="str">
        <f t="shared" si="46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7"/>
        <v>28348.636155563392</v>
      </c>
      <c r="S748" s="386"/>
      <c r="T748" s="78"/>
      <c r="X748" s="39" t="str">
        <f t="shared" si="45"/>
        <v/>
      </c>
      <c r="Y748" s="42" t="str">
        <f t="shared" si="46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7"/>
        <v>28348.636155563392</v>
      </c>
      <c r="S749" s="386"/>
      <c r="T749" s="78"/>
      <c r="X749" s="39" t="str">
        <f t="shared" si="45"/>
        <v/>
      </c>
      <c r="Y749" s="42" t="str">
        <f t="shared" si="46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7"/>
        <v>28348.636155563392</v>
      </c>
      <c r="S750" s="386"/>
      <c r="T750" s="78"/>
      <c r="X750" s="39" t="str">
        <f t="shared" si="45"/>
        <v/>
      </c>
      <c r="Y750" s="42" t="str">
        <f t="shared" si="46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7"/>
        <v>28348.636155563392</v>
      </c>
      <c r="S751" s="386"/>
      <c r="T751" s="78"/>
      <c r="X751" s="39" t="str">
        <f t="shared" si="45"/>
        <v/>
      </c>
      <c r="Y751" s="42" t="str">
        <f t="shared" si="46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7"/>
        <v>28348.636155563392</v>
      </c>
      <c r="S752" s="386"/>
      <c r="T752" s="78"/>
      <c r="X752" s="39" t="str">
        <f t="shared" si="45"/>
        <v/>
      </c>
      <c r="Y752" s="42" t="str">
        <f t="shared" si="46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7"/>
        <v>28348.636155563392</v>
      </c>
      <c r="S753" s="386"/>
      <c r="T753" s="78"/>
      <c r="X753" s="39" t="str">
        <f t="shared" si="45"/>
        <v/>
      </c>
      <c r="Y753" s="42" t="str">
        <f t="shared" si="46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7"/>
        <v>28348.636155563392</v>
      </c>
      <c r="S754" s="386"/>
      <c r="T754" s="78"/>
      <c r="X754" s="39" t="str">
        <f t="shared" si="45"/>
        <v/>
      </c>
      <c r="Y754" s="42" t="str">
        <f t="shared" si="46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7"/>
        <v>28348.636155563392</v>
      </c>
      <c r="S755" s="386"/>
      <c r="T755" s="78"/>
      <c r="X755" s="39" t="str">
        <f t="shared" si="45"/>
        <v/>
      </c>
      <c r="Y755" s="42" t="str">
        <f t="shared" si="46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7"/>
        <v>28348.636155563392</v>
      </c>
      <c r="S756" s="386"/>
      <c r="T756" s="78"/>
      <c r="X756" s="39" t="str">
        <f t="shared" si="45"/>
        <v/>
      </c>
      <c r="Y756" s="42" t="str">
        <f t="shared" si="46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7"/>
        <v>28348.636155563392</v>
      </c>
      <c r="S757" s="386"/>
      <c r="T757" s="78"/>
      <c r="X757" s="39" t="str">
        <f t="shared" si="45"/>
        <v/>
      </c>
      <c r="Y757" s="42" t="str">
        <f t="shared" si="46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7"/>
        <v>28348.636155563392</v>
      </c>
      <c r="S758" s="386"/>
      <c r="T758" s="78"/>
      <c r="X758" s="39" t="str">
        <f t="shared" ref="X758:X821" si="48">IF(I873&lt;&gt;0,I873,"")</f>
        <v/>
      </c>
      <c r="Y758" s="42" t="str">
        <f t="shared" ref="Y758:Y821" si="49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7"/>
        <v>28348.636155563392</v>
      </c>
      <c r="S759" s="386"/>
      <c r="T759" s="78"/>
      <c r="X759" s="39" t="str">
        <f t="shared" si="48"/>
        <v/>
      </c>
      <c r="Y759" s="42" t="str">
        <f t="shared" si="49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7"/>
        <v>28348.636155563392</v>
      </c>
      <c r="S760" s="386"/>
      <c r="T760" s="78"/>
      <c r="X760" s="39" t="str">
        <f t="shared" si="48"/>
        <v/>
      </c>
      <c r="Y760" s="42" t="str">
        <f t="shared" si="49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7"/>
        <v>28348.636155563392</v>
      </c>
      <c r="S761" s="386"/>
      <c r="T761" s="78"/>
      <c r="X761" s="39" t="str">
        <f t="shared" si="48"/>
        <v/>
      </c>
      <c r="Y761" s="42" t="str">
        <f t="shared" si="49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7"/>
        <v>28348.636155563392</v>
      </c>
      <c r="S762" s="386"/>
      <c r="T762" s="78"/>
      <c r="X762" s="39" t="str">
        <f t="shared" si="48"/>
        <v/>
      </c>
      <c r="Y762" s="42" t="str">
        <f t="shared" si="49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7"/>
        <v>28348.636155563392</v>
      </c>
      <c r="S763" s="386"/>
      <c r="T763" s="78"/>
      <c r="X763" s="39" t="str">
        <f t="shared" si="48"/>
        <v/>
      </c>
      <c r="Y763" s="42" t="str">
        <f t="shared" si="49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7"/>
        <v>28348.636155563392</v>
      </c>
      <c r="S764" s="386"/>
      <c r="T764" s="78"/>
      <c r="X764" s="39" t="str">
        <f t="shared" si="48"/>
        <v/>
      </c>
      <c r="Y764" s="42" t="str">
        <f t="shared" si="49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7"/>
        <v>28348.636155563392</v>
      </c>
      <c r="S765" s="386"/>
      <c r="T765" s="78"/>
      <c r="X765" s="39" t="str">
        <f t="shared" si="48"/>
        <v/>
      </c>
      <c r="Y765" s="42" t="str">
        <f t="shared" si="49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7"/>
        <v>28348.636155563392</v>
      </c>
      <c r="S766" s="386"/>
      <c r="T766" s="78"/>
      <c r="X766" s="39" t="str">
        <f t="shared" si="48"/>
        <v/>
      </c>
      <c r="Y766" s="42" t="str">
        <f t="shared" si="49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7"/>
        <v>28348.636155563392</v>
      </c>
      <c r="S767" s="386"/>
      <c r="T767" s="78"/>
      <c r="X767" s="39" t="str">
        <f t="shared" si="48"/>
        <v/>
      </c>
      <c r="Y767" s="42" t="str">
        <f t="shared" si="49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7"/>
        <v>28348.636155563392</v>
      </c>
      <c r="S768" s="386"/>
      <c r="T768" s="78"/>
      <c r="X768" s="39" t="str">
        <f t="shared" si="48"/>
        <v/>
      </c>
      <c r="Y768" s="42" t="str">
        <f t="shared" si="49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7"/>
        <v>28348.636155563392</v>
      </c>
      <c r="S769" s="386"/>
      <c r="T769" s="78"/>
      <c r="X769" s="39" t="str">
        <f t="shared" si="48"/>
        <v/>
      </c>
      <c r="Y769" s="42" t="str">
        <f t="shared" si="49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7"/>
        <v>28348.636155563392</v>
      </c>
      <c r="S770" s="386"/>
      <c r="T770" s="78"/>
      <c r="X770" s="39" t="str">
        <f t="shared" si="48"/>
        <v/>
      </c>
      <c r="Y770" s="42" t="str">
        <f t="shared" si="49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7"/>
        <v>28348.636155563392</v>
      </c>
      <c r="S771" s="386"/>
      <c r="T771" s="78"/>
      <c r="X771" s="39" t="str">
        <f t="shared" si="48"/>
        <v/>
      </c>
      <c r="Y771" s="42" t="str">
        <f t="shared" si="49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7"/>
        <v>28348.636155563392</v>
      </c>
      <c r="S772" s="386"/>
      <c r="T772" s="78"/>
      <c r="X772" s="39" t="str">
        <f t="shared" si="48"/>
        <v/>
      </c>
      <c r="Y772" s="42" t="str">
        <f t="shared" si="49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7"/>
        <v>28348.636155563392</v>
      </c>
      <c r="S773" s="386"/>
      <c r="T773" s="78"/>
      <c r="X773" s="39" t="str">
        <f t="shared" si="48"/>
        <v/>
      </c>
      <c r="Y773" s="42" t="str">
        <f t="shared" si="49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7"/>
        <v>28348.636155563392</v>
      </c>
      <c r="S774" s="386"/>
      <c r="T774" s="78"/>
      <c r="X774" s="39" t="str">
        <f t="shared" si="48"/>
        <v/>
      </c>
      <c r="Y774" s="42" t="str">
        <f t="shared" si="49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7"/>
        <v>28348.636155563392</v>
      </c>
      <c r="S775" s="386"/>
      <c r="T775" s="78"/>
      <c r="X775" s="39" t="str">
        <f t="shared" si="48"/>
        <v/>
      </c>
      <c r="Y775" s="42" t="str">
        <f t="shared" si="49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7"/>
        <v>28348.636155563392</v>
      </c>
      <c r="S776" s="386"/>
      <c r="T776" s="78"/>
      <c r="X776" s="39" t="str">
        <f t="shared" si="48"/>
        <v/>
      </c>
      <c r="Y776" s="42" t="str">
        <f t="shared" si="49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7"/>
        <v>28348.636155563392</v>
      </c>
      <c r="S777" s="386"/>
      <c r="T777" s="78"/>
      <c r="X777" s="39" t="str">
        <f t="shared" si="48"/>
        <v/>
      </c>
      <c r="Y777" s="42" t="str">
        <f t="shared" si="49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7"/>
        <v>28348.636155563392</v>
      </c>
      <c r="S778" s="386"/>
      <c r="T778" s="78"/>
      <c r="X778" s="39" t="str">
        <f t="shared" si="48"/>
        <v/>
      </c>
      <c r="Y778" s="42" t="str">
        <f t="shared" si="49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7"/>
        <v>28348.636155563392</v>
      </c>
      <c r="S779" s="386"/>
      <c r="T779" s="78"/>
      <c r="X779" s="39" t="str">
        <f t="shared" si="48"/>
        <v/>
      </c>
      <c r="Y779" s="42" t="str">
        <f t="shared" si="49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7"/>
        <v>28348.636155563392</v>
      </c>
      <c r="S780" s="386"/>
      <c r="T780" s="78"/>
      <c r="X780" s="39" t="str">
        <f t="shared" si="48"/>
        <v/>
      </c>
      <c r="Y780" s="42" t="str">
        <f t="shared" si="49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7"/>
        <v>28348.636155563392</v>
      </c>
      <c r="S781" s="386"/>
      <c r="T781" s="78"/>
      <c r="X781" s="39" t="str">
        <f t="shared" si="48"/>
        <v/>
      </c>
      <c r="Y781" s="42" t="str">
        <f t="shared" si="49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7"/>
        <v>28348.636155563392</v>
      </c>
      <c r="S782" s="386"/>
      <c r="T782" s="78"/>
      <c r="X782" s="39" t="str">
        <f t="shared" si="48"/>
        <v/>
      </c>
      <c r="Y782" s="42" t="str">
        <f t="shared" si="49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7"/>
        <v>28348.636155563392</v>
      </c>
      <c r="S783" s="386"/>
      <c r="T783" s="78"/>
      <c r="X783" s="39" t="str">
        <f t="shared" si="48"/>
        <v/>
      </c>
      <c r="Y783" s="42" t="str">
        <f t="shared" si="49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7"/>
        <v>28348.636155563392</v>
      </c>
      <c r="S784" s="386"/>
      <c r="T784" s="78"/>
      <c r="X784" s="39" t="str">
        <f t="shared" si="48"/>
        <v/>
      </c>
      <c r="Y784" s="42" t="str">
        <f t="shared" si="49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7"/>
        <v>28348.636155563392</v>
      </c>
      <c r="S785" s="386"/>
      <c r="T785" s="78"/>
      <c r="X785" s="39" t="str">
        <f t="shared" si="48"/>
        <v/>
      </c>
      <c r="Y785" s="42" t="str">
        <f t="shared" si="49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7"/>
        <v>28348.636155563392</v>
      </c>
      <c r="S786" s="386"/>
      <c r="T786" s="78"/>
      <c r="X786" s="39" t="str">
        <f t="shared" si="48"/>
        <v/>
      </c>
      <c r="Y786" s="42" t="str">
        <f t="shared" si="49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7"/>
        <v>28348.636155563392</v>
      </c>
      <c r="S787" s="386"/>
      <c r="T787" s="78"/>
      <c r="X787" s="39" t="str">
        <f t="shared" si="48"/>
        <v/>
      </c>
      <c r="Y787" s="42" t="str">
        <f t="shared" si="49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7"/>
        <v>28348.636155563392</v>
      </c>
      <c r="S788" s="386"/>
      <c r="T788" s="78"/>
      <c r="X788" s="39" t="str">
        <f t="shared" si="48"/>
        <v/>
      </c>
      <c r="Y788" s="42" t="str">
        <f t="shared" si="49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7"/>
        <v>28348.636155563392</v>
      </c>
      <c r="S789" s="386"/>
      <c r="T789" s="78"/>
      <c r="X789" s="39" t="str">
        <f t="shared" si="48"/>
        <v/>
      </c>
      <c r="Y789" s="42" t="str">
        <f t="shared" si="49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7"/>
        <v>28348.636155563392</v>
      </c>
      <c r="S790" s="386"/>
      <c r="T790" s="78"/>
      <c r="X790" s="39" t="str">
        <f t="shared" si="48"/>
        <v/>
      </c>
      <c r="Y790" s="42" t="str">
        <f t="shared" si="49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7"/>
        <v>28348.636155563392</v>
      </c>
      <c r="S791" s="386"/>
      <c r="T791" s="78"/>
      <c r="X791" s="39" t="str">
        <f t="shared" si="48"/>
        <v/>
      </c>
      <c r="Y791" s="42" t="str">
        <f t="shared" si="49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7"/>
        <v>28348.636155563392</v>
      </c>
      <c r="S792" s="386"/>
      <c r="T792" s="78"/>
      <c r="X792" s="39" t="str">
        <f t="shared" si="48"/>
        <v/>
      </c>
      <c r="Y792" s="42" t="str">
        <f t="shared" si="49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7"/>
        <v>28348.636155563392</v>
      </c>
      <c r="S793" s="386"/>
      <c r="T793" s="78"/>
      <c r="X793" s="39" t="str">
        <f t="shared" si="48"/>
        <v/>
      </c>
      <c r="Y793" s="42" t="str">
        <f t="shared" si="49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7"/>
        <v>28348.636155563392</v>
      </c>
      <c r="S794" s="386"/>
      <c r="T794" s="78"/>
      <c r="X794" s="39" t="str">
        <f t="shared" si="48"/>
        <v/>
      </c>
      <c r="Y794" s="42" t="str">
        <f t="shared" si="49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7"/>
        <v>28348.636155563392</v>
      </c>
      <c r="S795" s="386"/>
      <c r="T795" s="78"/>
      <c r="X795" s="39" t="str">
        <f t="shared" si="48"/>
        <v/>
      </c>
      <c r="Y795" s="42" t="str">
        <f t="shared" si="49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7"/>
        <v>28348.636155563392</v>
      </c>
      <c r="S796" s="386"/>
      <c r="T796" s="78"/>
      <c r="X796" s="39" t="str">
        <f t="shared" si="48"/>
        <v/>
      </c>
      <c r="Y796" s="42" t="str">
        <f t="shared" si="49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7"/>
        <v>28348.636155563392</v>
      </c>
      <c r="S797" s="386"/>
      <c r="T797" s="78"/>
      <c r="X797" s="39" t="str">
        <f t="shared" si="48"/>
        <v/>
      </c>
      <c r="Y797" s="42" t="str">
        <f t="shared" si="49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7"/>
        <v>28348.636155563392</v>
      </c>
      <c r="S798" s="386"/>
      <c r="T798" s="78"/>
      <c r="X798" s="39" t="str">
        <f t="shared" si="48"/>
        <v/>
      </c>
      <c r="Y798" s="42" t="str">
        <f t="shared" si="49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7"/>
        <v>28348.636155563392</v>
      </c>
      <c r="S799" s="386"/>
      <c r="T799" s="78"/>
      <c r="X799" s="39" t="str">
        <f t="shared" si="48"/>
        <v/>
      </c>
      <c r="Y799" s="42" t="str">
        <f t="shared" si="49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7"/>
        <v>28348.636155563392</v>
      </c>
      <c r="S800" s="386"/>
      <c r="T800" s="78"/>
      <c r="X800" s="39" t="str">
        <f t="shared" si="48"/>
        <v/>
      </c>
      <c r="Y800" s="42" t="str">
        <f t="shared" si="49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7"/>
        <v>28348.636155563392</v>
      </c>
      <c r="S801" s="386"/>
      <c r="T801" s="78"/>
      <c r="X801" s="39" t="str">
        <f t="shared" si="48"/>
        <v/>
      </c>
      <c r="Y801" s="42" t="str">
        <f t="shared" si="49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50">R801*((J802/100)+1)</f>
        <v>28348.636155563392</v>
      </c>
      <c r="S802" s="386"/>
      <c r="T802" s="78"/>
      <c r="X802" s="39" t="str">
        <f t="shared" si="48"/>
        <v/>
      </c>
      <c r="Y802" s="42" t="str">
        <f t="shared" si="49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50"/>
        <v>28348.636155563392</v>
      </c>
      <c r="S803" s="386"/>
      <c r="T803" s="78"/>
      <c r="X803" s="39" t="str">
        <f t="shared" si="48"/>
        <v/>
      </c>
      <c r="Y803" s="42" t="str">
        <f t="shared" si="49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50"/>
        <v>28348.636155563392</v>
      </c>
      <c r="S804" s="386"/>
      <c r="T804" s="78"/>
      <c r="X804" s="39" t="str">
        <f t="shared" si="48"/>
        <v/>
      </c>
      <c r="Y804" s="42" t="str">
        <f t="shared" si="49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50"/>
        <v>28348.636155563392</v>
      </c>
      <c r="S805" s="386"/>
      <c r="T805" s="78"/>
      <c r="X805" s="39" t="str">
        <f t="shared" si="48"/>
        <v/>
      </c>
      <c r="Y805" s="42" t="str">
        <f t="shared" si="49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50"/>
        <v>28348.636155563392</v>
      </c>
      <c r="S806" s="386"/>
      <c r="T806" s="78"/>
      <c r="X806" s="39" t="str">
        <f t="shared" si="48"/>
        <v/>
      </c>
      <c r="Y806" s="42" t="str">
        <f t="shared" si="49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50"/>
        <v>28348.636155563392</v>
      </c>
      <c r="S807" s="386"/>
      <c r="T807" s="78"/>
      <c r="X807" s="39" t="str">
        <f t="shared" si="48"/>
        <v/>
      </c>
      <c r="Y807" s="42" t="str">
        <f t="shared" si="49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50"/>
        <v>28348.636155563392</v>
      </c>
      <c r="S808" s="386"/>
      <c r="T808" s="78"/>
      <c r="X808" s="39" t="str">
        <f t="shared" si="48"/>
        <v/>
      </c>
      <c r="Y808" s="42" t="str">
        <f t="shared" si="49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50"/>
        <v>28348.636155563392</v>
      </c>
      <c r="S809" s="386"/>
      <c r="T809" s="78"/>
      <c r="X809" s="39" t="str">
        <f t="shared" si="48"/>
        <v/>
      </c>
      <c r="Y809" s="42" t="str">
        <f t="shared" si="49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50"/>
        <v>28348.636155563392</v>
      </c>
      <c r="S810" s="386"/>
      <c r="T810" s="78"/>
      <c r="X810" s="39" t="str">
        <f t="shared" si="48"/>
        <v/>
      </c>
      <c r="Y810" s="42" t="str">
        <f t="shared" si="49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50"/>
        <v>28348.636155563392</v>
      </c>
      <c r="S811" s="386"/>
      <c r="T811" s="78"/>
      <c r="X811" s="39" t="str">
        <f t="shared" si="48"/>
        <v/>
      </c>
      <c r="Y811" s="42" t="str">
        <f t="shared" si="49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50"/>
        <v>28348.636155563392</v>
      </c>
      <c r="S812" s="386"/>
      <c r="T812" s="78"/>
      <c r="X812" s="39" t="str">
        <f t="shared" si="48"/>
        <v/>
      </c>
      <c r="Y812" s="42" t="str">
        <f t="shared" si="49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50"/>
        <v>28348.636155563392</v>
      </c>
      <c r="S813" s="386"/>
      <c r="T813" s="78"/>
      <c r="X813" s="39" t="str">
        <f t="shared" si="48"/>
        <v/>
      </c>
      <c r="Y813" s="42" t="str">
        <f t="shared" si="49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50"/>
        <v>28348.636155563392</v>
      </c>
      <c r="S814" s="386"/>
      <c r="T814" s="78"/>
      <c r="X814" s="39" t="str">
        <f t="shared" si="48"/>
        <v/>
      </c>
      <c r="Y814" s="42" t="str">
        <f t="shared" si="49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50"/>
        <v>28348.636155563392</v>
      </c>
      <c r="S815" s="386"/>
      <c r="T815" s="78"/>
      <c r="X815" s="39" t="str">
        <f t="shared" si="48"/>
        <v/>
      </c>
      <c r="Y815" s="42" t="str">
        <f t="shared" si="49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50"/>
        <v>28348.636155563392</v>
      </c>
      <c r="S816" s="386"/>
      <c r="T816" s="78"/>
      <c r="X816" s="39" t="str">
        <f t="shared" si="48"/>
        <v/>
      </c>
      <c r="Y816" s="42" t="str">
        <f t="shared" si="49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50"/>
        <v>28348.636155563392</v>
      </c>
      <c r="S817" s="386"/>
      <c r="T817" s="78"/>
      <c r="X817" s="39" t="str">
        <f t="shared" si="48"/>
        <v/>
      </c>
      <c r="Y817" s="42" t="str">
        <f t="shared" si="49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50"/>
        <v>28348.636155563392</v>
      </c>
      <c r="S818" s="386"/>
      <c r="T818" s="78"/>
      <c r="X818" s="39" t="str">
        <f t="shared" si="48"/>
        <v/>
      </c>
      <c r="Y818" s="42" t="str">
        <f t="shared" si="49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50"/>
        <v>28348.636155563392</v>
      </c>
      <c r="S819" s="386"/>
      <c r="T819" s="78"/>
      <c r="X819" s="39" t="str">
        <f t="shared" si="48"/>
        <v/>
      </c>
      <c r="Y819" s="42" t="str">
        <f t="shared" si="49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50"/>
        <v>28348.636155563392</v>
      </c>
      <c r="S820" s="386"/>
      <c r="T820" s="78"/>
      <c r="X820" s="39" t="str">
        <f t="shared" si="48"/>
        <v/>
      </c>
      <c r="Y820" s="42" t="str">
        <f t="shared" si="49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50"/>
        <v>28348.636155563392</v>
      </c>
      <c r="S821" s="386"/>
      <c r="T821" s="78"/>
      <c r="X821" s="39" t="str">
        <f t="shared" si="48"/>
        <v/>
      </c>
      <c r="Y821" s="42" t="str">
        <f t="shared" si="49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50"/>
        <v>28348.636155563392</v>
      </c>
      <c r="S822" s="386"/>
      <c r="T822" s="78"/>
      <c r="X822" s="39" t="str">
        <f t="shared" ref="X822:X885" si="51">IF(I937&lt;&gt;0,I937,"")</f>
        <v/>
      </c>
      <c r="Y822" s="42" t="str">
        <f t="shared" ref="Y822:Y885" si="52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50"/>
        <v>28348.636155563392</v>
      </c>
      <c r="S823" s="386"/>
      <c r="T823" s="78"/>
      <c r="X823" s="39" t="str">
        <f t="shared" si="51"/>
        <v/>
      </c>
      <c r="Y823" s="42" t="str">
        <f t="shared" si="52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50"/>
        <v>28348.636155563392</v>
      </c>
      <c r="S824" s="386"/>
      <c r="T824" s="78"/>
      <c r="X824" s="39" t="str">
        <f t="shared" si="51"/>
        <v/>
      </c>
      <c r="Y824" s="42" t="str">
        <f t="shared" si="52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50"/>
        <v>28348.636155563392</v>
      </c>
      <c r="S825" s="386"/>
      <c r="T825" s="78"/>
      <c r="X825" s="39" t="str">
        <f t="shared" si="51"/>
        <v/>
      </c>
      <c r="Y825" s="42" t="str">
        <f t="shared" si="52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50"/>
        <v>28348.636155563392</v>
      </c>
      <c r="S826" s="386"/>
      <c r="T826" s="78"/>
      <c r="X826" s="39" t="str">
        <f t="shared" si="51"/>
        <v/>
      </c>
      <c r="Y826" s="42" t="str">
        <f t="shared" si="52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50"/>
        <v>28348.636155563392</v>
      </c>
      <c r="S827" s="386"/>
      <c r="T827" s="78"/>
      <c r="X827" s="39" t="str">
        <f t="shared" si="51"/>
        <v/>
      </c>
      <c r="Y827" s="42" t="str">
        <f t="shared" si="52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50"/>
        <v>28348.636155563392</v>
      </c>
      <c r="S828" s="386"/>
      <c r="T828" s="78"/>
      <c r="X828" s="39" t="str">
        <f t="shared" si="51"/>
        <v/>
      </c>
      <c r="Y828" s="42" t="str">
        <f t="shared" si="52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50"/>
        <v>28348.636155563392</v>
      </c>
      <c r="S829" s="386"/>
      <c r="T829" s="78"/>
      <c r="X829" s="39" t="str">
        <f t="shared" si="51"/>
        <v/>
      </c>
      <c r="Y829" s="42" t="str">
        <f t="shared" si="52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50"/>
        <v>28348.636155563392</v>
      </c>
      <c r="S830" s="386"/>
      <c r="T830" s="78"/>
      <c r="X830" s="39" t="str">
        <f t="shared" si="51"/>
        <v/>
      </c>
      <c r="Y830" s="42" t="str">
        <f t="shared" si="52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50"/>
        <v>28348.636155563392</v>
      </c>
      <c r="S831" s="386"/>
      <c r="T831" s="78"/>
      <c r="X831" s="39" t="str">
        <f t="shared" si="51"/>
        <v/>
      </c>
      <c r="Y831" s="42" t="str">
        <f t="shared" si="52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50"/>
        <v>28348.636155563392</v>
      </c>
      <c r="S832" s="386"/>
      <c r="T832" s="78"/>
      <c r="X832" s="39" t="str">
        <f t="shared" si="51"/>
        <v/>
      </c>
      <c r="Y832" s="42" t="str">
        <f t="shared" si="52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50"/>
        <v>28348.636155563392</v>
      </c>
      <c r="S833" s="386"/>
      <c r="T833" s="78"/>
      <c r="X833" s="39" t="str">
        <f t="shared" si="51"/>
        <v/>
      </c>
      <c r="Y833" s="42" t="str">
        <f t="shared" si="52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50"/>
        <v>28348.636155563392</v>
      </c>
      <c r="S834" s="386"/>
      <c r="T834" s="78"/>
      <c r="X834" s="39" t="str">
        <f t="shared" si="51"/>
        <v/>
      </c>
      <c r="Y834" s="42" t="str">
        <f t="shared" si="52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50"/>
        <v>28348.636155563392</v>
      </c>
      <c r="S835" s="386"/>
      <c r="T835" s="78"/>
      <c r="X835" s="39" t="str">
        <f t="shared" si="51"/>
        <v/>
      </c>
      <c r="Y835" s="42" t="str">
        <f t="shared" si="52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50"/>
        <v>28348.636155563392</v>
      </c>
      <c r="S836" s="386"/>
      <c r="T836" s="78"/>
      <c r="X836" s="39" t="str">
        <f t="shared" si="51"/>
        <v/>
      </c>
      <c r="Y836" s="42" t="str">
        <f t="shared" si="52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50"/>
        <v>28348.636155563392</v>
      </c>
      <c r="S837" s="386"/>
      <c r="T837" s="78"/>
      <c r="X837" s="39" t="str">
        <f t="shared" si="51"/>
        <v/>
      </c>
      <c r="Y837" s="42" t="str">
        <f t="shared" si="52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50"/>
        <v>28348.636155563392</v>
      </c>
      <c r="S838" s="386"/>
      <c r="T838" s="78"/>
      <c r="X838" s="39" t="str">
        <f t="shared" si="51"/>
        <v/>
      </c>
      <c r="Y838" s="42" t="str">
        <f t="shared" si="52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50"/>
        <v>28348.636155563392</v>
      </c>
      <c r="S839" s="386"/>
      <c r="T839" s="78"/>
      <c r="X839" s="39" t="str">
        <f t="shared" si="51"/>
        <v/>
      </c>
      <c r="Y839" s="42" t="str">
        <f t="shared" si="52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50"/>
        <v>28348.636155563392</v>
      </c>
      <c r="S840" s="386"/>
      <c r="T840" s="78"/>
      <c r="X840" s="39" t="str">
        <f t="shared" si="51"/>
        <v/>
      </c>
      <c r="Y840" s="42" t="str">
        <f t="shared" si="52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50"/>
        <v>28348.636155563392</v>
      </c>
      <c r="S841" s="386"/>
      <c r="T841" s="78"/>
      <c r="X841" s="39" t="str">
        <f t="shared" si="51"/>
        <v/>
      </c>
      <c r="Y841" s="42" t="str">
        <f t="shared" si="52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50"/>
        <v>28348.636155563392</v>
      </c>
      <c r="S842" s="386"/>
      <c r="T842" s="78"/>
      <c r="X842" s="39" t="str">
        <f t="shared" si="51"/>
        <v/>
      </c>
      <c r="Y842" s="42" t="str">
        <f t="shared" si="52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50"/>
        <v>28348.636155563392</v>
      </c>
      <c r="S843" s="386"/>
      <c r="T843" s="78"/>
      <c r="X843" s="39" t="str">
        <f t="shared" si="51"/>
        <v/>
      </c>
      <c r="Y843" s="42" t="str">
        <f t="shared" si="52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50"/>
        <v>28348.636155563392</v>
      </c>
      <c r="S844" s="386"/>
      <c r="T844" s="78"/>
      <c r="X844" s="39" t="str">
        <f t="shared" si="51"/>
        <v/>
      </c>
      <c r="Y844" s="42" t="str">
        <f t="shared" si="52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50"/>
        <v>28348.636155563392</v>
      </c>
      <c r="S845" s="386"/>
      <c r="T845" s="78"/>
      <c r="X845" s="39" t="str">
        <f t="shared" si="51"/>
        <v/>
      </c>
      <c r="Y845" s="42" t="str">
        <f t="shared" si="52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50"/>
        <v>28348.636155563392</v>
      </c>
      <c r="S846" s="386"/>
      <c r="T846" s="78"/>
      <c r="X846" s="39" t="str">
        <f t="shared" si="51"/>
        <v/>
      </c>
      <c r="Y846" s="42" t="str">
        <f t="shared" si="52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50"/>
        <v>28348.636155563392</v>
      </c>
      <c r="S847" s="386"/>
      <c r="T847" s="78"/>
      <c r="X847" s="39" t="str">
        <f t="shared" si="51"/>
        <v/>
      </c>
      <c r="Y847" s="42" t="str">
        <f t="shared" si="52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50"/>
        <v>28348.636155563392</v>
      </c>
      <c r="S848" s="386"/>
      <c r="T848" s="78"/>
      <c r="X848" s="39" t="str">
        <f t="shared" si="51"/>
        <v/>
      </c>
      <c r="Y848" s="42" t="str">
        <f t="shared" si="52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50"/>
        <v>28348.636155563392</v>
      </c>
      <c r="S849" s="386"/>
      <c r="T849" s="78"/>
      <c r="X849" s="39" t="str">
        <f t="shared" si="51"/>
        <v/>
      </c>
      <c r="Y849" s="42" t="str">
        <f t="shared" si="52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50"/>
        <v>28348.636155563392</v>
      </c>
      <c r="S850" s="386"/>
      <c r="T850" s="78"/>
      <c r="X850" s="39" t="str">
        <f t="shared" si="51"/>
        <v/>
      </c>
      <c r="Y850" s="42" t="str">
        <f t="shared" si="52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50"/>
        <v>28348.636155563392</v>
      </c>
      <c r="S851" s="386"/>
      <c r="T851" s="78"/>
      <c r="X851" s="39" t="str">
        <f t="shared" si="51"/>
        <v/>
      </c>
      <c r="Y851" s="42" t="str">
        <f t="shared" si="52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50"/>
        <v>28348.636155563392</v>
      </c>
      <c r="S852" s="386"/>
      <c r="T852" s="78"/>
      <c r="X852" s="39" t="str">
        <f t="shared" si="51"/>
        <v/>
      </c>
      <c r="Y852" s="42" t="str">
        <f t="shared" si="52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50"/>
        <v>28348.636155563392</v>
      </c>
      <c r="S853" s="386"/>
      <c r="T853" s="78"/>
      <c r="X853" s="39" t="str">
        <f t="shared" si="51"/>
        <v/>
      </c>
      <c r="Y853" s="42" t="str">
        <f t="shared" si="52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50"/>
        <v>28348.636155563392</v>
      </c>
      <c r="S854" s="386"/>
      <c r="T854" s="78"/>
      <c r="X854" s="39" t="str">
        <f t="shared" si="51"/>
        <v/>
      </c>
      <c r="Y854" s="42" t="str">
        <f t="shared" si="52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50"/>
        <v>28348.636155563392</v>
      </c>
      <c r="S855" s="386"/>
      <c r="T855" s="78"/>
      <c r="X855" s="39" t="str">
        <f t="shared" si="51"/>
        <v/>
      </c>
      <c r="Y855" s="42" t="str">
        <f t="shared" si="52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50"/>
        <v>28348.636155563392</v>
      </c>
      <c r="S856" s="386"/>
      <c r="T856" s="78"/>
      <c r="X856" s="39" t="str">
        <f t="shared" si="51"/>
        <v/>
      </c>
      <c r="Y856" s="42" t="str">
        <f t="shared" si="52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50"/>
        <v>28348.636155563392</v>
      </c>
      <c r="S857" s="386"/>
      <c r="T857" s="78"/>
      <c r="X857" s="39" t="str">
        <f t="shared" si="51"/>
        <v/>
      </c>
      <c r="Y857" s="42" t="str">
        <f t="shared" si="52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50"/>
        <v>28348.636155563392</v>
      </c>
      <c r="S858" s="386"/>
      <c r="T858" s="78"/>
      <c r="X858" s="39" t="str">
        <f t="shared" si="51"/>
        <v/>
      </c>
      <c r="Y858" s="42" t="str">
        <f t="shared" si="52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50"/>
        <v>28348.636155563392</v>
      </c>
      <c r="S859" s="386"/>
      <c r="T859" s="78"/>
      <c r="X859" s="39" t="str">
        <f t="shared" si="51"/>
        <v/>
      </c>
      <c r="Y859" s="42" t="str">
        <f t="shared" si="52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50"/>
        <v>28348.636155563392</v>
      </c>
      <c r="S860" s="386"/>
      <c r="T860" s="78"/>
      <c r="X860" s="39" t="str">
        <f t="shared" si="51"/>
        <v/>
      </c>
      <c r="Y860" s="42" t="str">
        <f t="shared" si="52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50"/>
        <v>28348.636155563392</v>
      </c>
      <c r="S861" s="386"/>
      <c r="T861" s="78"/>
      <c r="X861" s="39" t="str">
        <f t="shared" si="51"/>
        <v/>
      </c>
      <c r="Y861" s="42" t="str">
        <f t="shared" si="52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50"/>
        <v>28348.636155563392</v>
      </c>
      <c r="S862" s="386"/>
      <c r="T862" s="78"/>
      <c r="X862" s="39" t="str">
        <f t="shared" si="51"/>
        <v/>
      </c>
      <c r="Y862" s="42" t="str">
        <f t="shared" si="52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50"/>
        <v>28348.636155563392</v>
      </c>
      <c r="S863" s="386"/>
      <c r="T863" s="78"/>
      <c r="X863" s="39" t="str">
        <f t="shared" si="51"/>
        <v/>
      </c>
      <c r="Y863" s="42" t="str">
        <f t="shared" si="52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50"/>
        <v>28348.636155563392</v>
      </c>
      <c r="S864" s="386"/>
      <c r="T864" s="78"/>
      <c r="X864" s="39" t="str">
        <f t="shared" si="51"/>
        <v/>
      </c>
      <c r="Y864" s="42" t="str">
        <f t="shared" si="52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50"/>
        <v>28348.636155563392</v>
      </c>
      <c r="S865" s="386"/>
      <c r="T865" s="78"/>
      <c r="X865" s="39" t="str">
        <f t="shared" si="51"/>
        <v/>
      </c>
      <c r="Y865" s="42" t="str">
        <f t="shared" si="52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3">R865*((J866/100)+1)</f>
        <v>28348.636155563392</v>
      </c>
      <c r="S866" s="386"/>
      <c r="T866" s="78"/>
      <c r="X866" s="39" t="str">
        <f t="shared" si="51"/>
        <v/>
      </c>
      <c r="Y866" s="42" t="str">
        <f t="shared" si="52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3"/>
        <v>28348.636155563392</v>
      </c>
      <c r="S867" s="386"/>
      <c r="T867" s="78"/>
      <c r="X867" s="39" t="str">
        <f t="shared" si="51"/>
        <v/>
      </c>
      <c r="Y867" s="42" t="str">
        <f t="shared" si="52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3"/>
        <v>28348.636155563392</v>
      </c>
      <c r="S868" s="386"/>
      <c r="T868" s="78"/>
      <c r="X868" s="39" t="str">
        <f t="shared" si="51"/>
        <v/>
      </c>
      <c r="Y868" s="42" t="str">
        <f t="shared" si="52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3"/>
        <v>28348.636155563392</v>
      </c>
      <c r="S869" s="386"/>
      <c r="T869" s="78"/>
      <c r="X869" s="39" t="str">
        <f t="shared" si="51"/>
        <v/>
      </c>
      <c r="Y869" s="42" t="str">
        <f t="shared" si="52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3"/>
        <v>28348.636155563392</v>
      </c>
      <c r="S870" s="386"/>
      <c r="T870" s="78"/>
      <c r="X870" s="39" t="str">
        <f t="shared" si="51"/>
        <v/>
      </c>
      <c r="Y870" s="42" t="str">
        <f t="shared" si="52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3"/>
        <v>28348.636155563392</v>
      </c>
      <c r="S871" s="386"/>
      <c r="T871" s="78"/>
      <c r="X871" s="39" t="str">
        <f t="shared" si="51"/>
        <v/>
      </c>
      <c r="Y871" s="42" t="str">
        <f t="shared" si="52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3"/>
        <v>28348.636155563392</v>
      </c>
      <c r="S872" s="386"/>
      <c r="T872" s="78"/>
      <c r="X872" s="39" t="str">
        <f t="shared" si="51"/>
        <v/>
      </c>
      <c r="Y872" s="42" t="str">
        <f t="shared" si="52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3"/>
        <v>28348.636155563392</v>
      </c>
      <c r="S873" s="386"/>
      <c r="T873" s="78"/>
      <c r="X873" s="39" t="str">
        <f t="shared" si="51"/>
        <v/>
      </c>
      <c r="Y873" s="42" t="str">
        <f t="shared" si="52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3"/>
        <v>28348.636155563392</v>
      </c>
      <c r="S874" s="386"/>
      <c r="T874" s="78"/>
      <c r="X874" s="39" t="str">
        <f t="shared" si="51"/>
        <v/>
      </c>
      <c r="Y874" s="42" t="str">
        <f t="shared" si="52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3"/>
        <v>28348.636155563392</v>
      </c>
      <c r="S875" s="386"/>
      <c r="T875" s="78"/>
      <c r="X875" s="39" t="str">
        <f t="shared" si="51"/>
        <v/>
      </c>
      <c r="Y875" s="42" t="str">
        <f t="shared" si="52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3"/>
        <v>28348.636155563392</v>
      </c>
      <c r="S876" s="386"/>
      <c r="T876" s="78"/>
      <c r="X876" s="39" t="str">
        <f t="shared" si="51"/>
        <v/>
      </c>
      <c r="Y876" s="42" t="str">
        <f t="shared" si="52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3"/>
        <v>28348.636155563392</v>
      </c>
      <c r="S877" s="386"/>
      <c r="T877" s="78"/>
      <c r="X877" s="39" t="str">
        <f t="shared" si="51"/>
        <v/>
      </c>
      <c r="Y877" s="42" t="str">
        <f t="shared" si="52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3"/>
        <v>28348.636155563392</v>
      </c>
      <c r="S878" s="386"/>
      <c r="T878" s="78"/>
      <c r="X878" s="39" t="str">
        <f t="shared" si="51"/>
        <v/>
      </c>
      <c r="Y878" s="42" t="str">
        <f t="shared" si="52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3"/>
        <v>28348.636155563392</v>
      </c>
      <c r="S879" s="386"/>
      <c r="T879" s="78"/>
      <c r="X879" s="39" t="str">
        <f t="shared" si="51"/>
        <v/>
      </c>
      <c r="Y879" s="42" t="str">
        <f t="shared" si="52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3"/>
        <v>28348.636155563392</v>
      </c>
      <c r="S880" s="386"/>
      <c r="T880" s="78"/>
      <c r="X880" s="39" t="str">
        <f t="shared" si="51"/>
        <v/>
      </c>
      <c r="Y880" s="42" t="str">
        <f t="shared" si="52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3"/>
        <v>28348.636155563392</v>
      </c>
      <c r="S881" s="386"/>
      <c r="T881" s="78"/>
      <c r="X881" s="39" t="str">
        <f t="shared" si="51"/>
        <v/>
      </c>
      <c r="Y881" s="42" t="str">
        <f t="shared" si="52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3"/>
        <v>28348.636155563392</v>
      </c>
      <c r="S882" s="386"/>
      <c r="T882" s="78"/>
      <c r="X882" s="39" t="str">
        <f t="shared" si="51"/>
        <v/>
      </c>
      <c r="Y882" s="42" t="str">
        <f t="shared" si="52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3"/>
        <v>28348.636155563392</v>
      </c>
      <c r="S883" s="386"/>
      <c r="T883" s="78"/>
      <c r="X883" s="39" t="str">
        <f t="shared" si="51"/>
        <v/>
      </c>
      <c r="Y883" s="42" t="str">
        <f t="shared" si="52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3"/>
        <v>28348.636155563392</v>
      </c>
      <c r="S884" s="386"/>
      <c r="T884" s="78"/>
      <c r="X884" s="39" t="str">
        <f t="shared" si="51"/>
        <v/>
      </c>
      <c r="Y884" s="42" t="str">
        <f t="shared" si="52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3"/>
        <v>28348.636155563392</v>
      </c>
      <c r="S885" s="386"/>
      <c r="T885" s="78"/>
      <c r="X885" s="39" t="str">
        <f t="shared" si="51"/>
        <v/>
      </c>
      <c r="Y885" s="42" t="str">
        <f t="shared" si="52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3"/>
        <v>28348.636155563392</v>
      </c>
      <c r="S886" s="386"/>
      <c r="T886" s="78"/>
      <c r="X886" s="39" t="str">
        <f t="shared" ref="X886:X898" si="54">IF(I1001&lt;&gt;0,I1001,"")</f>
        <v/>
      </c>
      <c r="Y886" s="42" t="str">
        <f t="shared" ref="Y886:Y898" si="55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3"/>
        <v>28348.636155563392</v>
      </c>
      <c r="S887" s="386"/>
      <c r="T887" s="78"/>
      <c r="X887" s="39" t="str">
        <f t="shared" si="54"/>
        <v/>
      </c>
      <c r="Y887" s="42" t="str">
        <f t="shared" si="55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3"/>
        <v>28348.636155563392</v>
      </c>
      <c r="S888" s="386"/>
      <c r="T888" s="78"/>
      <c r="X888" s="39" t="str">
        <f t="shared" si="54"/>
        <v/>
      </c>
      <c r="Y888" s="42" t="str">
        <f t="shared" si="55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3"/>
        <v>28348.636155563392</v>
      </c>
      <c r="S889" s="386"/>
      <c r="T889" s="78"/>
      <c r="X889" s="39" t="str">
        <f t="shared" si="54"/>
        <v/>
      </c>
      <c r="Y889" s="42" t="str">
        <f t="shared" si="55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3"/>
        <v>28348.636155563392</v>
      </c>
      <c r="S890" s="386"/>
      <c r="T890" s="78"/>
      <c r="X890" s="39" t="str">
        <f t="shared" si="54"/>
        <v/>
      </c>
      <c r="Y890" s="42" t="str">
        <f t="shared" si="55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3"/>
        <v>28348.636155563392</v>
      </c>
      <c r="S891" s="386"/>
      <c r="T891" s="78"/>
      <c r="X891" s="39" t="str">
        <f t="shared" si="54"/>
        <v/>
      </c>
      <c r="Y891" s="42" t="str">
        <f t="shared" si="55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3"/>
        <v>28348.636155563392</v>
      </c>
      <c r="S892" s="386"/>
      <c r="T892" s="78"/>
      <c r="X892" s="39" t="str">
        <f t="shared" si="54"/>
        <v/>
      </c>
      <c r="Y892" s="42" t="str">
        <f t="shared" si="55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3"/>
        <v>28348.636155563392</v>
      </c>
      <c r="S893" s="386"/>
      <c r="T893" s="78"/>
      <c r="X893" s="39" t="str">
        <f t="shared" si="54"/>
        <v/>
      </c>
      <c r="Y893" s="42" t="str">
        <f t="shared" si="55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3"/>
        <v>28348.636155563392</v>
      </c>
      <c r="S894" s="386"/>
      <c r="T894" s="78"/>
      <c r="X894" s="39" t="str">
        <f t="shared" si="54"/>
        <v/>
      </c>
      <c r="Y894" s="42" t="str">
        <f t="shared" si="55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3"/>
        <v>28348.636155563392</v>
      </c>
      <c r="S895" s="386"/>
      <c r="T895" s="78"/>
      <c r="X895" s="39" t="str">
        <f t="shared" si="54"/>
        <v/>
      </c>
      <c r="Y895" s="42" t="str">
        <f t="shared" si="55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3"/>
        <v>28348.636155563392</v>
      </c>
      <c r="S896" s="386"/>
      <c r="T896" s="78"/>
      <c r="X896" s="39" t="str">
        <f t="shared" si="54"/>
        <v/>
      </c>
      <c r="Y896" s="42" t="str">
        <f t="shared" si="55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3"/>
        <v>28348.636155563392</v>
      </c>
      <c r="S897" s="386"/>
      <c r="T897" s="78"/>
      <c r="X897" s="39" t="str">
        <f t="shared" si="54"/>
        <v/>
      </c>
      <c r="Y897" s="42" t="str">
        <f t="shared" si="55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3"/>
        <v>28348.636155563392</v>
      </c>
      <c r="S898" s="386"/>
      <c r="T898" s="78"/>
      <c r="X898" s="39" t="str">
        <f t="shared" si="54"/>
        <v/>
      </c>
      <c r="Y898" s="42" t="str">
        <f t="shared" si="55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3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3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3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3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3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3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3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3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3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3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3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3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3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3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3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3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3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3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3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3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3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3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3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3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3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3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3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3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3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3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3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6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6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6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6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6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6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6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6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6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6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6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6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6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6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6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6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6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6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6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6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6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6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6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6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6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6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6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6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6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6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6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6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6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6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6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6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6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6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6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6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6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6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6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6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6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6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6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6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6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6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6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6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6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6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6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6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6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6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6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6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6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6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6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6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7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7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7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7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7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7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7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7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7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7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7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7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7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7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7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7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7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7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7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7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7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7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7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7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7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7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7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7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7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7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7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7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7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7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7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7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7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7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7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7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7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7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7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7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7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7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7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7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7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7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7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7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7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7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7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7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7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7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7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7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7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7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7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7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8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8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8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8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8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8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8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8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8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8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8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8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8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8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8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8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8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8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8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8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8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8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8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8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190" priority="1" operator="lessThan">
      <formula>0</formula>
    </cfRule>
  </conditionalFormatting>
  <conditionalFormatting sqref="I344:I345">
    <cfRule type="cellIs" dxfId="189" priority="2" operator="lessThan">
      <formula>0</formula>
    </cfRule>
  </conditionalFormatting>
  <conditionalFormatting sqref="M343 M345 M347 M380 M382 M384">
    <cfRule type="cellIs" dxfId="188" priority="3" operator="lessThan">
      <formula>0</formula>
    </cfRule>
  </conditionalFormatting>
  <conditionalFormatting sqref="M380 M382 M384">
    <cfRule type="cellIs" dxfId="187" priority="4" operator="lessThan">
      <formula>0</formula>
    </cfRule>
  </conditionalFormatting>
  <conditionalFormatting sqref="I340:I341">
    <cfRule type="cellIs" dxfId="186" priority="5" operator="lessThan">
      <formula>0</formula>
    </cfRule>
  </conditionalFormatting>
  <conditionalFormatting sqref="I336:I337">
    <cfRule type="cellIs" dxfId="185" priority="6" operator="lessThan">
      <formula>0</formula>
    </cfRule>
  </conditionalFormatting>
  <conditionalFormatting sqref="I332:I333">
    <cfRule type="cellIs" dxfId="184" priority="7" operator="lessThan">
      <formula>0</formula>
    </cfRule>
  </conditionalFormatting>
  <conditionalFormatting sqref="I328:I329">
    <cfRule type="cellIs" dxfId="183" priority="8" operator="lessThan">
      <formula>0</formula>
    </cfRule>
  </conditionalFormatting>
  <conditionalFormatting sqref="I326:I327">
    <cfRule type="cellIs" dxfId="182" priority="9" operator="lessThan">
      <formula>0</formula>
    </cfRule>
  </conditionalFormatting>
  <conditionalFormatting sqref="I324:I325">
    <cfRule type="cellIs" dxfId="181" priority="10" operator="lessThan">
      <formula>0</formula>
    </cfRule>
  </conditionalFormatting>
  <conditionalFormatting sqref="I320:I321">
    <cfRule type="cellIs" dxfId="180" priority="11" operator="lessThan">
      <formula>0</formula>
    </cfRule>
  </conditionalFormatting>
  <conditionalFormatting sqref="I318:I319">
    <cfRule type="cellIs" dxfId="179" priority="12" operator="lessThan">
      <formula>0</formula>
    </cfRule>
  </conditionalFormatting>
  <conditionalFormatting sqref="I316:I317">
    <cfRule type="cellIs" dxfId="178" priority="13" operator="lessThan">
      <formula>0</formula>
    </cfRule>
  </conditionalFormatting>
  <conditionalFormatting sqref="I314:I315">
    <cfRule type="cellIs" dxfId="177" priority="14" operator="lessThan">
      <formula>0</formula>
    </cfRule>
  </conditionalFormatting>
  <conditionalFormatting sqref="I310:I311">
    <cfRule type="cellIs" dxfId="176" priority="15" operator="lessThan">
      <formula>0</formula>
    </cfRule>
  </conditionalFormatting>
  <conditionalFormatting sqref="M312">
    <cfRule type="cellIs" dxfId="175" priority="16" operator="lessThan">
      <formula>0</formula>
    </cfRule>
  </conditionalFormatting>
  <conditionalFormatting sqref="M310">
    <cfRule type="cellIs" dxfId="174" priority="17" operator="lessThan">
      <formula>0</formula>
    </cfRule>
  </conditionalFormatting>
  <conditionalFormatting sqref="M308">
    <cfRule type="cellIs" dxfId="173" priority="18" operator="lessThan">
      <formula>0</formula>
    </cfRule>
  </conditionalFormatting>
  <conditionalFormatting sqref="I304:I305">
    <cfRule type="cellIs" dxfId="172" priority="19" operator="lessThan">
      <formula>0</formula>
    </cfRule>
  </conditionalFormatting>
  <conditionalFormatting sqref="I297:I298">
    <cfRule type="cellIs" dxfId="171" priority="20" operator="lessThan">
      <formula>0</formula>
    </cfRule>
  </conditionalFormatting>
  <conditionalFormatting sqref="I299:I300">
    <cfRule type="cellIs" dxfId="170" priority="21" operator="lessThan">
      <formula>0</formula>
    </cfRule>
  </conditionalFormatting>
  <conditionalFormatting sqref="I288:I290">
    <cfRule type="cellIs" dxfId="169" priority="22" operator="lessThan">
      <formula>0</formula>
    </cfRule>
  </conditionalFormatting>
  <conditionalFormatting sqref="I291:I292">
    <cfRule type="cellIs" dxfId="168" priority="23" operator="lessThan">
      <formula>0</formula>
    </cfRule>
  </conditionalFormatting>
  <conditionalFormatting sqref="I293:I294">
    <cfRule type="cellIs" dxfId="167" priority="24" operator="lessThan">
      <formula>0</formula>
    </cfRule>
  </conditionalFormatting>
  <conditionalFormatting sqref="I286:I287">
    <cfRule type="cellIs" dxfId="166" priority="25" operator="lessThan">
      <formula>0</formula>
    </cfRule>
  </conditionalFormatting>
  <conditionalFormatting sqref="I284:I285">
    <cfRule type="cellIs" dxfId="165" priority="26" operator="lessThan">
      <formula>0</formula>
    </cfRule>
  </conditionalFormatting>
  <conditionalFormatting sqref="I282:I283">
    <cfRule type="cellIs" dxfId="164" priority="27" operator="lessThan">
      <formula>0</formula>
    </cfRule>
  </conditionalFormatting>
  <conditionalFormatting sqref="I280:I281">
    <cfRule type="cellIs" dxfId="163" priority="28" operator="lessThan">
      <formula>0</formula>
    </cfRule>
  </conditionalFormatting>
  <conditionalFormatting sqref="I276:I277">
    <cfRule type="cellIs" dxfId="162" priority="29" operator="lessThan">
      <formula>0</formula>
    </cfRule>
  </conditionalFormatting>
  <conditionalFormatting sqref="M273 M275 M277">
    <cfRule type="cellIs" dxfId="161" priority="30" operator="lessThan">
      <formula>0</formula>
    </cfRule>
  </conditionalFormatting>
  <conditionalFormatting sqref="I270:I271">
    <cfRule type="cellIs" dxfId="160" priority="31" operator="lessThan">
      <formula>0</formula>
    </cfRule>
  </conditionalFormatting>
  <conditionalFormatting sqref="I266:I267">
    <cfRule type="cellIs" dxfId="159" priority="32" operator="lessThan">
      <formula>0</formula>
    </cfRule>
  </conditionalFormatting>
  <conditionalFormatting sqref="I262:I263">
    <cfRule type="cellIs" dxfId="158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157" priority="34" operator="lessThan">
      <formula>0</formula>
    </cfRule>
  </conditionalFormatting>
  <conditionalFormatting sqref="I258:I259">
    <cfRule type="cellIs" dxfId="156" priority="35" operator="lessThan">
      <formula>0</formula>
    </cfRule>
  </conditionalFormatting>
  <conditionalFormatting sqref="I254:I255">
    <cfRule type="cellIs" dxfId="155" priority="36" operator="lessThan">
      <formula>0</formula>
    </cfRule>
  </conditionalFormatting>
  <conditionalFormatting sqref="I248:I249">
    <cfRule type="cellIs" dxfId="154" priority="37" operator="lessThan">
      <formula>0</formula>
    </cfRule>
  </conditionalFormatting>
  <conditionalFormatting sqref="I250:I251">
    <cfRule type="cellIs" dxfId="153" priority="38" operator="lessThan">
      <formula>0</formula>
    </cfRule>
  </conditionalFormatting>
  <conditionalFormatting sqref="I246:I247">
    <cfRule type="cellIs" dxfId="152" priority="39" operator="lessThan">
      <formula>0</formula>
    </cfRule>
  </conditionalFormatting>
  <conditionalFormatting sqref="I242:I243">
    <cfRule type="cellIs" dxfId="151" priority="40" operator="lessThan">
      <formula>0</formula>
    </cfRule>
  </conditionalFormatting>
  <conditionalFormatting sqref="I240:I241">
    <cfRule type="cellIs" dxfId="150" priority="41" operator="lessThan">
      <formula>0</formula>
    </cfRule>
  </conditionalFormatting>
  <conditionalFormatting sqref="I238:I239">
    <cfRule type="cellIs" dxfId="149" priority="42" operator="lessThan">
      <formula>0</formula>
    </cfRule>
  </conditionalFormatting>
  <conditionalFormatting sqref="I234:I235">
    <cfRule type="cellIs" dxfId="148" priority="43" operator="lessThan">
      <formula>0</formula>
    </cfRule>
  </conditionalFormatting>
  <conditionalFormatting sqref="I125:I126">
    <cfRule type="cellIs" dxfId="147" priority="44" operator="lessThan">
      <formula>0</formula>
    </cfRule>
  </conditionalFormatting>
  <conditionalFormatting sqref="I129:I130">
    <cfRule type="cellIs" dxfId="146" priority="45" operator="lessThan">
      <formula>0</formula>
    </cfRule>
  </conditionalFormatting>
  <conditionalFormatting sqref="I127:I128">
    <cfRule type="cellIs" dxfId="145" priority="46" operator="lessThan">
      <formula>0</formula>
    </cfRule>
  </conditionalFormatting>
  <conditionalFormatting sqref="I230:I231 I363:I364 I405:I406 I409:I410">
    <cfRule type="cellIs" dxfId="144" priority="47" operator="lessThan">
      <formula>0</formula>
    </cfRule>
  </conditionalFormatting>
  <conditionalFormatting sqref="I228:I229">
    <cfRule type="cellIs" dxfId="143" priority="48" operator="lessThan">
      <formula>0</formula>
    </cfRule>
  </conditionalFormatting>
  <conditionalFormatting sqref="M231 M233 M235">
    <cfRule type="cellIs" dxfId="142" priority="49" operator="lessThan">
      <formula>0</formula>
    </cfRule>
  </conditionalFormatting>
  <conditionalFormatting sqref="I226:I227">
    <cfRule type="cellIs" dxfId="141" priority="50" operator="lessThan">
      <formula>0</formula>
    </cfRule>
  </conditionalFormatting>
  <conditionalFormatting sqref="I222:I223">
    <cfRule type="cellIs" dxfId="140" priority="51" operator="lessThan">
      <formula>0</formula>
    </cfRule>
  </conditionalFormatting>
  <conditionalFormatting sqref="I219">
    <cfRule type="cellIs" dxfId="139" priority="52" operator="lessThan">
      <formula>0</formula>
    </cfRule>
  </conditionalFormatting>
  <conditionalFormatting sqref="I213:I214">
    <cfRule type="cellIs" dxfId="138" priority="53" operator="lessThan">
      <formula>0</formula>
    </cfRule>
  </conditionalFormatting>
  <conditionalFormatting sqref="I209:I210">
    <cfRule type="cellIs" dxfId="137" priority="54" operator="lessThan">
      <formula>0</formula>
    </cfRule>
  </conditionalFormatting>
  <conditionalFormatting sqref="I205:I206">
    <cfRule type="cellIs" dxfId="136" priority="55" operator="lessThan">
      <formula>0</formula>
    </cfRule>
  </conditionalFormatting>
  <conditionalFormatting sqref="I201:I202">
    <cfRule type="cellIs" dxfId="135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134" priority="57" operator="lessThan">
      <formula>0</formula>
    </cfRule>
  </conditionalFormatting>
  <conditionalFormatting sqref="I199:I200">
    <cfRule type="cellIs" dxfId="133" priority="58" operator="lessThan">
      <formula>0</formula>
    </cfRule>
  </conditionalFormatting>
  <conditionalFormatting sqref="I197:I198">
    <cfRule type="cellIs" dxfId="132" priority="59" operator="lessThan">
      <formula>0</formula>
    </cfRule>
  </conditionalFormatting>
  <conditionalFormatting sqref="I195:I196">
    <cfRule type="cellIs" dxfId="131" priority="60" operator="lessThan">
      <formula>0</formula>
    </cfRule>
  </conditionalFormatting>
  <conditionalFormatting sqref="I91:I92">
    <cfRule type="cellIs" dxfId="130" priority="61" operator="lessThan">
      <formula>0</formula>
    </cfRule>
  </conditionalFormatting>
  <conditionalFormatting sqref="I46:I47">
    <cfRule type="cellIs" dxfId="129" priority="62" operator="lessThan">
      <formula>0</formula>
    </cfRule>
  </conditionalFormatting>
  <conditionalFormatting sqref="I17:I18">
    <cfRule type="cellIs" dxfId="128" priority="63" operator="lessThan">
      <formula>0</formula>
    </cfRule>
  </conditionalFormatting>
  <conditionalFormatting sqref="I15:I16">
    <cfRule type="cellIs" dxfId="127" priority="64" operator="lessThan">
      <formula>0</formula>
    </cfRule>
  </conditionalFormatting>
  <conditionalFormatting sqref="I193:I194">
    <cfRule type="cellIs" dxfId="126" priority="65" operator="lessThan">
      <formula>0</formula>
    </cfRule>
  </conditionalFormatting>
  <conditionalFormatting sqref="M186 M188 M190">
    <cfRule type="cellIs" dxfId="125" priority="66" operator="lessThan">
      <formula>0</formula>
    </cfRule>
  </conditionalFormatting>
  <conditionalFormatting sqref="M142 M144 M146">
    <cfRule type="cellIs" dxfId="124" priority="67" operator="lessThan">
      <formula>0</formula>
    </cfRule>
  </conditionalFormatting>
  <conditionalFormatting sqref="M109 M111 M113">
    <cfRule type="cellIs" dxfId="123" priority="68" operator="lessThan">
      <formula>0</formula>
    </cfRule>
  </conditionalFormatting>
  <conditionalFormatting sqref="M78 M80 M82">
    <cfRule type="cellIs" dxfId="122" priority="69" operator="lessThan">
      <formula>0</formula>
    </cfRule>
  </conditionalFormatting>
  <conditionalFormatting sqref="M61 M63 M65">
    <cfRule type="cellIs" dxfId="121" priority="70" operator="lessThan">
      <formula>0</formula>
    </cfRule>
  </conditionalFormatting>
  <conditionalFormatting sqref="M32 M34 M36">
    <cfRule type="cellIs" dxfId="120" priority="71" operator="lessThan">
      <formula>0</formula>
    </cfRule>
  </conditionalFormatting>
  <conditionalFormatting sqref="M5 M7 M9">
    <cfRule type="cellIs" dxfId="119" priority="72" operator="lessThan">
      <formula>0</formula>
    </cfRule>
  </conditionalFormatting>
  <conditionalFormatting sqref="I189:I190">
    <cfRule type="cellIs" dxfId="118" priority="73" operator="lessThan">
      <formula>0</formula>
    </cfRule>
  </conditionalFormatting>
  <conditionalFormatting sqref="I185:I186">
    <cfRule type="cellIs" dxfId="117" priority="74" operator="lessThan">
      <formula>0</formula>
    </cfRule>
  </conditionalFormatting>
  <conditionalFormatting sqref="I1:I14 I19:I45 I48:I90 I93:I124 I131:I184 I187:I188 I191:I192 I514:I1281">
    <cfRule type="cellIs" dxfId="116" priority="75" operator="lessThan">
      <formula>0</formula>
    </cfRule>
  </conditionalFormatting>
  <conditionalFormatting sqref="J2:K2">
    <cfRule type="cellIs" dxfId="115" priority="76" operator="lessThan">
      <formula>0</formula>
    </cfRule>
  </conditionalFormatting>
  <conditionalFormatting sqref="J2:K2">
    <cfRule type="cellIs" dxfId="114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8.1796875" customWidth="1"/>
    <col min="3" max="3" width="14" customWidth="1"/>
    <col min="4" max="4" width="7.81640625" customWidth="1"/>
    <col min="5" max="5" width="10.1796875" customWidth="1"/>
    <col min="6" max="6" width="6.54296875" customWidth="1"/>
    <col min="7" max="7" width="6.1796875" customWidth="1"/>
    <col min="8" max="8" width="12.54296875" customWidth="1"/>
    <col min="9" max="9" width="14" customWidth="1"/>
    <col min="10" max="10" width="6.453125" customWidth="1"/>
    <col min="11" max="11" width="2.54296875" customWidth="1"/>
    <col min="12" max="12" width="10.54296875" customWidth="1"/>
    <col min="13" max="13" width="9.1796875" customWidth="1"/>
    <col min="14" max="14" width="20.81640625" customWidth="1"/>
    <col min="15" max="15" width="11.54296875" customWidth="1"/>
    <col min="16" max="26" width="9.81640625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77" t="s">
        <v>9</v>
      </c>
      <c r="K1" s="870"/>
      <c r="L1" s="878" t="s">
        <v>24</v>
      </c>
      <c r="M1" s="878" t="s">
        <v>10</v>
      </c>
      <c r="N1" s="602" t="s">
        <v>136</v>
      </c>
      <c r="O1" s="602">
        <f>COUNTIF(I3:I289,"&gt;0")</f>
        <v>90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>
      <c r="A2" s="715"/>
      <c r="B2" s="715"/>
      <c r="C2" s="715"/>
      <c r="D2" s="715"/>
      <c r="E2" s="716"/>
      <c r="F2" s="716"/>
      <c r="G2" s="716"/>
      <c r="H2" s="717" t="s">
        <v>16</v>
      </c>
      <c r="I2" s="718">
        <f>SUM(I3:I1000)</f>
        <v>-13250.61</v>
      </c>
      <c r="J2" s="879">
        <f>I2/AVERAGE(M3:M1000)</f>
        <v>-0.53213499944637566</v>
      </c>
      <c r="K2" s="870"/>
      <c r="L2" s="870"/>
      <c r="M2" s="870"/>
      <c r="N2" s="608" t="s">
        <v>137</v>
      </c>
      <c r="O2" s="608">
        <f>COUNTIF(I3:I289,"&lt;0")</f>
        <v>54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5">
      <c r="A3" s="719">
        <v>42737</v>
      </c>
      <c r="B3" s="720" t="s">
        <v>138</v>
      </c>
      <c r="C3" s="721" t="s">
        <v>69</v>
      </c>
      <c r="D3" s="721" t="s">
        <v>132</v>
      </c>
      <c r="E3" s="721" t="s">
        <v>71</v>
      </c>
      <c r="F3" s="722">
        <v>0</v>
      </c>
      <c r="G3" s="723">
        <v>0</v>
      </c>
      <c r="H3" s="723">
        <v>0</v>
      </c>
      <c r="I3" s="724">
        <v>0</v>
      </c>
      <c r="J3" s="725">
        <v>0</v>
      </c>
      <c r="K3" s="721" t="s">
        <v>9</v>
      </c>
      <c r="L3" s="726"/>
      <c r="M3" s="724" t="str">
        <f t="shared" ref="M3:M196" si="0">IF(B3="Compra",F3*G3,"")</f>
        <v/>
      </c>
      <c r="N3" s="727"/>
      <c r="O3" s="72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5">
      <c r="A4" s="719">
        <v>42738</v>
      </c>
      <c r="B4" s="720" t="s">
        <v>48</v>
      </c>
      <c r="C4" s="721" t="s">
        <v>69</v>
      </c>
      <c r="D4" s="722" t="s">
        <v>115</v>
      </c>
      <c r="E4" s="721" t="s">
        <v>71</v>
      </c>
      <c r="F4" s="722">
        <v>2000</v>
      </c>
      <c r="G4" s="723">
        <v>4.71</v>
      </c>
      <c r="H4" s="723">
        <v>4.66</v>
      </c>
      <c r="I4" s="724">
        <v>113.91</v>
      </c>
      <c r="J4" s="725">
        <v>1.22</v>
      </c>
      <c r="K4" s="721" t="s">
        <v>9</v>
      </c>
      <c r="L4" s="726"/>
      <c r="M4" s="724" t="str">
        <f t="shared" si="0"/>
        <v/>
      </c>
      <c r="N4" s="727"/>
      <c r="O4" s="72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.5">
      <c r="A5" s="729">
        <v>42738</v>
      </c>
      <c r="B5" s="730" t="s">
        <v>47</v>
      </c>
      <c r="C5" s="731" t="s">
        <v>69</v>
      </c>
      <c r="D5" s="731" t="s">
        <v>129</v>
      </c>
      <c r="E5" s="731" t="s">
        <v>71</v>
      </c>
      <c r="F5" s="732">
        <v>800</v>
      </c>
      <c r="G5" s="733">
        <v>11.39</v>
      </c>
      <c r="H5" s="733">
        <v>0</v>
      </c>
      <c r="I5" s="734">
        <v>0</v>
      </c>
      <c r="J5" s="735">
        <v>0</v>
      </c>
      <c r="K5" s="731" t="s">
        <v>9</v>
      </c>
      <c r="L5" s="726"/>
      <c r="M5" s="734">
        <f t="shared" si="0"/>
        <v>9112</v>
      </c>
      <c r="N5" s="727"/>
      <c r="O5" s="72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4.5">
      <c r="A6" s="729">
        <v>42740</v>
      </c>
      <c r="B6" s="730" t="s">
        <v>48</v>
      </c>
      <c r="C6" s="731" t="s">
        <v>69</v>
      </c>
      <c r="D6" s="731" t="s">
        <v>129</v>
      </c>
      <c r="E6" s="731" t="s">
        <v>71</v>
      </c>
      <c r="F6" s="732">
        <v>800</v>
      </c>
      <c r="G6" s="733">
        <v>11.54</v>
      </c>
      <c r="H6" s="733">
        <v>11.4</v>
      </c>
      <c r="I6" s="734">
        <v>118.03</v>
      </c>
      <c r="J6" s="735">
        <v>1.29</v>
      </c>
      <c r="K6" s="731" t="s">
        <v>9</v>
      </c>
      <c r="L6" s="726"/>
      <c r="M6" s="734" t="str">
        <f t="shared" si="0"/>
        <v/>
      </c>
      <c r="N6" s="727"/>
      <c r="O6" s="72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4.5">
      <c r="A7" s="719">
        <v>42741</v>
      </c>
      <c r="B7" s="720" t="s">
        <v>47</v>
      </c>
      <c r="C7" s="721" t="s">
        <v>69</v>
      </c>
      <c r="D7" s="721" t="s">
        <v>129</v>
      </c>
      <c r="E7" s="721" t="s">
        <v>71</v>
      </c>
      <c r="F7" s="722">
        <v>800</v>
      </c>
      <c r="G7" s="723">
        <v>11.26</v>
      </c>
      <c r="H7" s="723">
        <v>0</v>
      </c>
      <c r="I7" s="724">
        <v>0</v>
      </c>
      <c r="J7" s="725">
        <v>0</v>
      </c>
      <c r="K7" s="721" t="s">
        <v>9</v>
      </c>
      <c r="L7" s="726"/>
      <c r="M7" s="724">
        <f t="shared" si="0"/>
        <v>9008</v>
      </c>
      <c r="N7" s="727"/>
      <c r="O7" s="72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4.5">
      <c r="A8" s="719">
        <v>42744</v>
      </c>
      <c r="B8" s="720" t="s">
        <v>48</v>
      </c>
      <c r="C8" s="721" t="s">
        <v>69</v>
      </c>
      <c r="D8" s="721" t="s">
        <v>129</v>
      </c>
      <c r="E8" s="721" t="s">
        <v>71</v>
      </c>
      <c r="F8" s="722">
        <v>800</v>
      </c>
      <c r="G8" s="723">
        <v>11.41</v>
      </c>
      <c r="H8" s="723">
        <v>11.27</v>
      </c>
      <c r="I8" s="724">
        <v>117.92</v>
      </c>
      <c r="J8" s="725">
        <v>1.3</v>
      </c>
      <c r="K8" s="721" t="s">
        <v>9</v>
      </c>
      <c r="L8" s="726"/>
      <c r="M8" s="724" t="str">
        <f t="shared" si="0"/>
        <v/>
      </c>
      <c r="N8" s="727"/>
      <c r="O8" s="72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4.5">
      <c r="A9" s="719">
        <v>42744</v>
      </c>
      <c r="B9" s="720" t="s">
        <v>47</v>
      </c>
      <c r="C9" s="721" t="s">
        <v>69</v>
      </c>
      <c r="D9" s="722" t="s">
        <v>115</v>
      </c>
      <c r="E9" s="721" t="s">
        <v>71</v>
      </c>
      <c r="F9" s="722">
        <v>2000</v>
      </c>
      <c r="G9" s="723">
        <v>5.24</v>
      </c>
      <c r="H9" s="723">
        <v>0</v>
      </c>
      <c r="I9" s="724">
        <v>0</v>
      </c>
      <c r="J9" s="725">
        <v>0</v>
      </c>
      <c r="K9" s="721" t="s">
        <v>9</v>
      </c>
      <c r="L9" s="726"/>
      <c r="M9" s="724">
        <f t="shared" si="0"/>
        <v>10480</v>
      </c>
      <c r="N9" s="727"/>
      <c r="O9" s="72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4.5">
      <c r="A10" s="719">
        <v>42745</v>
      </c>
      <c r="B10" s="720" t="s">
        <v>48</v>
      </c>
      <c r="C10" s="721" t="s">
        <v>69</v>
      </c>
      <c r="D10" s="722" t="s">
        <v>115</v>
      </c>
      <c r="E10" s="721" t="s">
        <v>71</v>
      </c>
      <c r="F10" s="722">
        <v>2000</v>
      </c>
      <c r="G10" s="723">
        <v>5.31</v>
      </c>
      <c r="H10" s="723">
        <v>5.25</v>
      </c>
      <c r="I10" s="724">
        <v>133.13</v>
      </c>
      <c r="J10" s="725">
        <v>1.26</v>
      </c>
      <c r="K10" s="721" t="s">
        <v>9</v>
      </c>
      <c r="L10" s="726"/>
      <c r="M10" s="724" t="str">
        <f t="shared" si="0"/>
        <v/>
      </c>
      <c r="N10" s="727"/>
      <c r="O10" s="72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4.5">
      <c r="A11" s="729">
        <v>42745</v>
      </c>
      <c r="B11" s="730" t="s">
        <v>47</v>
      </c>
      <c r="C11" s="731" t="s">
        <v>69</v>
      </c>
      <c r="D11" s="731" t="s">
        <v>129</v>
      </c>
      <c r="E11" s="731" t="s">
        <v>71</v>
      </c>
      <c r="F11" s="731">
        <v>700</v>
      </c>
      <c r="G11" s="733">
        <v>11.68</v>
      </c>
      <c r="H11" s="733">
        <v>0</v>
      </c>
      <c r="I11" s="734">
        <v>0</v>
      </c>
      <c r="J11" s="735">
        <v>0</v>
      </c>
      <c r="K11" s="731" t="s">
        <v>9</v>
      </c>
      <c r="L11" s="726"/>
      <c r="M11" s="734">
        <f t="shared" si="0"/>
        <v>8176</v>
      </c>
      <c r="N11" s="727"/>
      <c r="O11" s="72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4.5">
      <c r="A12" s="729">
        <v>42746</v>
      </c>
      <c r="B12" s="730" t="s">
        <v>48</v>
      </c>
      <c r="C12" s="731" t="s">
        <v>69</v>
      </c>
      <c r="D12" s="731" t="s">
        <v>129</v>
      </c>
      <c r="E12" s="731" t="s">
        <v>71</v>
      </c>
      <c r="F12" s="731">
        <v>700</v>
      </c>
      <c r="G12" s="733">
        <v>11.85</v>
      </c>
      <c r="H12" s="733">
        <v>11.69</v>
      </c>
      <c r="I12" s="734">
        <v>114.64</v>
      </c>
      <c r="J12" s="735">
        <v>1.4</v>
      </c>
      <c r="K12" s="731" t="s">
        <v>9</v>
      </c>
      <c r="L12" s="726"/>
      <c r="M12" s="734" t="str">
        <f t="shared" si="0"/>
        <v/>
      </c>
      <c r="N12" s="727"/>
      <c r="O12" s="72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14.5">
      <c r="A13" s="736">
        <v>42747</v>
      </c>
      <c r="B13" s="737" t="s">
        <v>48</v>
      </c>
      <c r="C13" s="738" t="s">
        <v>69</v>
      </c>
      <c r="D13" s="739" t="s">
        <v>139</v>
      </c>
      <c r="E13" s="738" t="s">
        <v>71</v>
      </c>
      <c r="F13" s="739">
        <v>10000</v>
      </c>
      <c r="G13" s="740">
        <v>2.48</v>
      </c>
      <c r="H13" s="740">
        <v>2.4500000000000002</v>
      </c>
      <c r="I13" s="726">
        <v>363.95</v>
      </c>
      <c r="J13" s="741">
        <v>1.48</v>
      </c>
      <c r="K13" s="738" t="s">
        <v>9</v>
      </c>
      <c r="L13" s="726"/>
      <c r="M13" s="726" t="str">
        <f t="shared" si="0"/>
        <v/>
      </c>
      <c r="N13" s="727"/>
      <c r="O13" s="72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4.5">
      <c r="A14" s="719">
        <v>42765</v>
      </c>
      <c r="B14" s="720" t="s">
        <v>47</v>
      </c>
      <c r="C14" s="721" t="s">
        <v>69</v>
      </c>
      <c r="D14" s="722" t="s">
        <v>115</v>
      </c>
      <c r="E14" s="721" t="s">
        <v>71</v>
      </c>
      <c r="F14" s="722">
        <v>4000</v>
      </c>
      <c r="G14" s="723">
        <v>6.22</v>
      </c>
      <c r="H14" s="723">
        <v>0</v>
      </c>
      <c r="I14" s="724">
        <v>0</v>
      </c>
      <c r="J14" s="725">
        <v>0</v>
      </c>
      <c r="K14" s="721" t="s">
        <v>9</v>
      </c>
      <c r="L14" s="726"/>
      <c r="M14" s="724">
        <f t="shared" si="0"/>
        <v>24880</v>
      </c>
      <c r="N14" s="549" t="s">
        <v>21</v>
      </c>
      <c r="O14" s="550">
        <f>AVERAGE(M3:M15)</f>
        <v>12331.2</v>
      </c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4.5">
      <c r="A15" s="719">
        <v>42766</v>
      </c>
      <c r="B15" s="720" t="s">
        <v>48</v>
      </c>
      <c r="C15" s="721" t="s">
        <v>69</v>
      </c>
      <c r="D15" s="722" t="s">
        <v>115</v>
      </c>
      <c r="E15" s="721" t="s">
        <v>71</v>
      </c>
      <c r="F15" s="722">
        <v>4000</v>
      </c>
      <c r="G15" s="723">
        <v>6.34</v>
      </c>
      <c r="H15" s="723">
        <v>6.22</v>
      </c>
      <c r="I15" s="724">
        <v>491.15</v>
      </c>
      <c r="J15" s="725">
        <v>1.97</v>
      </c>
      <c r="K15" s="721" t="s">
        <v>9</v>
      </c>
      <c r="L15" s="726"/>
      <c r="M15" s="724" t="str">
        <f t="shared" si="0"/>
        <v/>
      </c>
      <c r="N15" s="551" t="s">
        <v>102</v>
      </c>
      <c r="O15" s="552">
        <v>0</v>
      </c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14.5">
      <c r="A16" s="729">
        <v>42766</v>
      </c>
      <c r="B16" s="730" t="s">
        <v>47</v>
      </c>
      <c r="C16" s="731" t="s">
        <v>69</v>
      </c>
      <c r="D16" s="732" t="s">
        <v>129</v>
      </c>
      <c r="E16" s="731" t="s">
        <v>71</v>
      </c>
      <c r="F16" s="732">
        <v>2500</v>
      </c>
      <c r="G16" s="733">
        <v>11.53</v>
      </c>
      <c r="H16" s="733">
        <v>0</v>
      </c>
      <c r="I16" s="734">
        <v>0</v>
      </c>
      <c r="J16" s="735">
        <v>0</v>
      </c>
      <c r="K16" s="731" t="s">
        <v>9</v>
      </c>
      <c r="L16" s="742">
        <f>SUM(I3:I16)</f>
        <v>1452.73</v>
      </c>
      <c r="M16" s="734">
        <f t="shared" si="0"/>
        <v>28825</v>
      </c>
      <c r="N16" s="553" t="s">
        <v>126</v>
      </c>
      <c r="O16" s="554">
        <f>(L16-O15)/O14</f>
        <v>0.11780929674322044</v>
      </c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4.5">
      <c r="A17" s="743">
        <v>42767</v>
      </c>
      <c r="B17" s="744" t="s">
        <v>48</v>
      </c>
      <c r="C17" s="745" t="s">
        <v>69</v>
      </c>
      <c r="D17" s="746" t="s">
        <v>129</v>
      </c>
      <c r="E17" s="745" t="s">
        <v>71</v>
      </c>
      <c r="F17" s="746">
        <v>2500</v>
      </c>
      <c r="G17" s="747">
        <v>11.83</v>
      </c>
      <c r="H17" s="747">
        <v>11.54</v>
      </c>
      <c r="I17" s="748">
        <v>735.40999999999985</v>
      </c>
      <c r="J17" s="749">
        <v>2.54</v>
      </c>
      <c r="K17" s="745" t="s">
        <v>9</v>
      </c>
      <c r="L17" s="750"/>
      <c r="M17" s="748" t="str">
        <f t="shared" si="0"/>
        <v/>
      </c>
      <c r="N17" s="727"/>
      <c r="O17" s="72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4.5">
      <c r="A18" s="751">
        <v>42768</v>
      </c>
      <c r="B18" s="752" t="s">
        <v>47</v>
      </c>
      <c r="C18" s="753" t="s">
        <v>69</v>
      </c>
      <c r="D18" s="754" t="s">
        <v>115</v>
      </c>
      <c r="E18" s="753" t="s">
        <v>71</v>
      </c>
      <c r="F18" s="754">
        <v>5000</v>
      </c>
      <c r="G18" s="755">
        <v>6.37</v>
      </c>
      <c r="H18" s="755">
        <v>0</v>
      </c>
      <c r="I18" s="756">
        <v>0</v>
      </c>
      <c r="J18" s="757">
        <v>0</v>
      </c>
      <c r="K18" s="753" t="s">
        <v>9</v>
      </c>
      <c r="L18" s="750"/>
      <c r="M18" s="756">
        <f t="shared" si="0"/>
        <v>31850</v>
      </c>
      <c r="N18" s="727"/>
      <c r="O18" s="72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4.5">
      <c r="A19" s="751">
        <v>42769</v>
      </c>
      <c r="B19" s="752" t="s">
        <v>48</v>
      </c>
      <c r="C19" s="753" t="s">
        <v>69</v>
      </c>
      <c r="D19" s="754" t="s">
        <v>115</v>
      </c>
      <c r="E19" s="753" t="s">
        <v>71</v>
      </c>
      <c r="F19" s="754">
        <v>5000</v>
      </c>
      <c r="G19" s="755">
        <v>6.37</v>
      </c>
      <c r="H19" s="755">
        <v>6.37</v>
      </c>
      <c r="I19" s="756">
        <v>9.2799999999999994</v>
      </c>
      <c r="J19" s="757">
        <v>0.02</v>
      </c>
      <c r="K19" s="753" t="s">
        <v>9</v>
      </c>
      <c r="L19" s="750"/>
      <c r="M19" s="756" t="str">
        <f t="shared" si="0"/>
        <v/>
      </c>
      <c r="N19" s="727"/>
      <c r="O19" s="72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4.5">
      <c r="A20" s="743">
        <v>42769</v>
      </c>
      <c r="B20" s="744" t="s">
        <v>47</v>
      </c>
      <c r="C20" s="745" t="s">
        <v>69</v>
      </c>
      <c r="D20" s="746" t="s">
        <v>129</v>
      </c>
      <c r="E20" s="745" t="s">
        <v>71</v>
      </c>
      <c r="F20" s="746">
        <v>2600</v>
      </c>
      <c r="G20" s="747">
        <v>11.61</v>
      </c>
      <c r="H20" s="747">
        <v>0</v>
      </c>
      <c r="I20" s="748">
        <v>0</v>
      </c>
      <c r="J20" s="749">
        <v>0</v>
      </c>
      <c r="K20" s="745" t="s">
        <v>9</v>
      </c>
      <c r="L20" s="750"/>
      <c r="M20" s="748">
        <f t="shared" si="0"/>
        <v>30186</v>
      </c>
      <c r="N20" s="727"/>
      <c r="O20" s="72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4.5">
      <c r="A21" s="743">
        <v>42772</v>
      </c>
      <c r="B21" s="744" t="s">
        <v>48</v>
      </c>
      <c r="C21" s="745" t="s">
        <v>69</v>
      </c>
      <c r="D21" s="745" t="s">
        <v>129</v>
      </c>
      <c r="E21" s="745" t="s">
        <v>71</v>
      </c>
      <c r="F21" s="745">
        <v>900</v>
      </c>
      <c r="G21" s="747">
        <v>11.13</v>
      </c>
      <c r="H21" s="747">
        <v>11.62</v>
      </c>
      <c r="I21" s="748">
        <v>-434.11</v>
      </c>
      <c r="J21" s="749">
        <v>-4.1500000000000004</v>
      </c>
      <c r="K21" s="745" t="s">
        <v>9</v>
      </c>
      <c r="L21" s="750"/>
      <c r="M21" s="748" t="str">
        <f t="shared" si="0"/>
        <v/>
      </c>
      <c r="N21" s="727"/>
      <c r="O21" s="72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4.5">
      <c r="A22" s="743">
        <v>42773</v>
      </c>
      <c r="B22" s="744" t="s">
        <v>48</v>
      </c>
      <c r="C22" s="745" t="s">
        <v>69</v>
      </c>
      <c r="D22" s="746" t="s">
        <v>129</v>
      </c>
      <c r="E22" s="745" t="s">
        <v>71</v>
      </c>
      <c r="F22" s="746">
        <v>1700</v>
      </c>
      <c r="G22" s="747">
        <v>11.44</v>
      </c>
      <c r="H22" s="747">
        <v>11.62</v>
      </c>
      <c r="I22" s="748">
        <v>-301.66000000000003</v>
      </c>
      <c r="J22" s="749">
        <v>-1.52</v>
      </c>
      <c r="K22" s="745" t="s">
        <v>9</v>
      </c>
      <c r="L22" s="750"/>
      <c r="M22" s="748" t="str">
        <f t="shared" si="0"/>
        <v/>
      </c>
      <c r="N22" s="727"/>
      <c r="O22" s="72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4.5">
      <c r="A23" s="751">
        <v>42773</v>
      </c>
      <c r="B23" s="752" t="s">
        <v>47</v>
      </c>
      <c r="C23" s="753" t="s">
        <v>69</v>
      </c>
      <c r="D23" s="754" t="s">
        <v>115</v>
      </c>
      <c r="E23" s="753" t="s">
        <v>71</v>
      </c>
      <c r="F23" s="754">
        <v>5000</v>
      </c>
      <c r="G23" s="755">
        <v>6.17</v>
      </c>
      <c r="H23" s="755">
        <v>0</v>
      </c>
      <c r="I23" s="756">
        <v>0</v>
      </c>
      <c r="J23" s="757">
        <v>0</v>
      </c>
      <c r="K23" s="753" t="s">
        <v>9</v>
      </c>
      <c r="L23" s="750"/>
      <c r="M23" s="756">
        <f t="shared" si="0"/>
        <v>30850</v>
      </c>
      <c r="N23" s="727"/>
      <c r="O23" s="72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4.5">
      <c r="A24" s="751">
        <v>42774</v>
      </c>
      <c r="B24" s="752" t="s">
        <v>48</v>
      </c>
      <c r="C24" s="753" t="s">
        <v>69</v>
      </c>
      <c r="D24" s="754" t="s">
        <v>115</v>
      </c>
      <c r="E24" s="753" t="s">
        <v>71</v>
      </c>
      <c r="F24" s="754">
        <v>5000</v>
      </c>
      <c r="G24" s="755">
        <v>6.1</v>
      </c>
      <c r="H24" s="755">
        <v>6.17</v>
      </c>
      <c r="I24" s="756">
        <v>-339.95</v>
      </c>
      <c r="J24" s="757">
        <v>-1.1000000000000001</v>
      </c>
      <c r="K24" s="753" t="s">
        <v>9</v>
      </c>
      <c r="L24" s="750"/>
      <c r="M24" s="756" t="str">
        <f t="shared" si="0"/>
        <v/>
      </c>
      <c r="N24" s="727"/>
      <c r="O24" s="72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4.5">
      <c r="A25" s="743">
        <v>42774</v>
      </c>
      <c r="B25" s="744" t="s">
        <v>47</v>
      </c>
      <c r="C25" s="745" t="s">
        <v>69</v>
      </c>
      <c r="D25" s="746" t="s">
        <v>129</v>
      </c>
      <c r="E25" s="745" t="s">
        <v>71</v>
      </c>
      <c r="F25" s="746">
        <v>2500</v>
      </c>
      <c r="G25" s="747">
        <v>11.28</v>
      </c>
      <c r="H25" s="747">
        <v>0</v>
      </c>
      <c r="I25" s="748">
        <v>0</v>
      </c>
      <c r="J25" s="749">
        <v>0</v>
      </c>
      <c r="K25" s="745" t="s">
        <v>9</v>
      </c>
      <c r="L25" s="750"/>
      <c r="M25" s="748">
        <f t="shared" si="0"/>
        <v>28200</v>
      </c>
      <c r="N25" s="727"/>
      <c r="O25" s="72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4.5">
      <c r="A26" s="743">
        <v>42775</v>
      </c>
      <c r="B26" s="744" t="s">
        <v>48</v>
      </c>
      <c r="C26" s="745" t="s">
        <v>69</v>
      </c>
      <c r="D26" s="746" t="s">
        <v>129</v>
      </c>
      <c r="E26" s="745" t="s">
        <v>71</v>
      </c>
      <c r="F26" s="746">
        <v>2500</v>
      </c>
      <c r="G26" s="747">
        <v>11.39</v>
      </c>
      <c r="H26" s="747">
        <v>11.29</v>
      </c>
      <c r="I26" s="748">
        <v>261.57</v>
      </c>
      <c r="J26" s="749">
        <v>0.92000000000000015</v>
      </c>
      <c r="K26" s="745" t="s">
        <v>9</v>
      </c>
      <c r="L26" s="750"/>
      <c r="M26" s="748" t="str">
        <f t="shared" si="0"/>
        <v/>
      </c>
      <c r="N26" s="727"/>
      <c r="O26" s="72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4.5">
      <c r="A27" s="751">
        <v>42775</v>
      </c>
      <c r="B27" s="752" t="s">
        <v>47</v>
      </c>
      <c r="C27" s="753" t="s">
        <v>69</v>
      </c>
      <c r="D27" s="754" t="s">
        <v>115</v>
      </c>
      <c r="E27" s="753" t="s">
        <v>71</v>
      </c>
      <c r="F27" s="754">
        <v>4500</v>
      </c>
      <c r="G27" s="755">
        <v>6.63</v>
      </c>
      <c r="H27" s="755">
        <v>0</v>
      </c>
      <c r="I27" s="756">
        <v>0</v>
      </c>
      <c r="J27" s="757">
        <v>0</v>
      </c>
      <c r="K27" s="753" t="s">
        <v>9</v>
      </c>
      <c r="L27" s="750"/>
      <c r="M27" s="756">
        <f t="shared" si="0"/>
        <v>29835</v>
      </c>
      <c r="N27" s="727"/>
      <c r="O27" s="72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4.5">
      <c r="A28" s="751">
        <v>42776</v>
      </c>
      <c r="B28" s="752" t="s">
        <v>48</v>
      </c>
      <c r="C28" s="753" t="s">
        <v>69</v>
      </c>
      <c r="D28" s="754" t="s">
        <v>115</v>
      </c>
      <c r="E28" s="753" t="s">
        <v>71</v>
      </c>
      <c r="F28" s="754">
        <v>4500</v>
      </c>
      <c r="G28" s="755">
        <v>6.72</v>
      </c>
      <c r="H28" s="755">
        <v>6.63</v>
      </c>
      <c r="I28" s="756">
        <v>410.46</v>
      </c>
      <c r="J28" s="757">
        <v>1.37</v>
      </c>
      <c r="K28" s="753" t="s">
        <v>9</v>
      </c>
      <c r="L28" s="750"/>
      <c r="M28" s="756" t="str">
        <f t="shared" si="0"/>
        <v/>
      </c>
      <c r="N28" s="727"/>
      <c r="O28" s="72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4.5">
      <c r="A29" s="743">
        <v>42776</v>
      </c>
      <c r="B29" s="744" t="s">
        <v>47</v>
      </c>
      <c r="C29" s="745" t="s">
        <v>69</v>
      </c>
      <c r="D29" s="746" t="s">
        <v>129</v>
      </c>
      <c r="E29" s="745" t="s">
        <v>71</v>
      </c>
      <c r="F29" s="746">
        <v>2500</v>
      </c>
      <c r="G29" s="747">
        <v>12.3</v>
      </c>
      <c r="H29" s="747">
        <v>0</v>
      </c>
      <c r="I29" s="748">
        <v>0</v>
      </c>
      <c r="J29" s="749">
        <v>0</v>
      </c>
      <c r="K29" s="745" t="s">
        <v>9</v>
      </c>
      <c r="L29" s="750"/>
      <c r="M29" s="748">
        <f t="shared" si="0"/>
        <v>30750</v>
      </c>
      <c r="N29" s="727"/>
      <c r="O29" s="72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4.5">
      <c r="A30" s="743">
        <v>42779</v>
      </c>
      <c r="B30" s="744" t="s">
        <v>48</v>
      </c>
      <c r="C30" s="745" t="s">
        <v>69</v>
      </c>
      <c r="D30" s="746" t="s">
        <v>129</v>
      </c>
      <c r="E30" s="745" t="s">
        <v>71</v>
      </c>
      <c r="F30" s="746">
        <v>2500</v>
      </c>
      <c r="G30" s="747">
        <v>12.8</v>
      </c>
      <c r="H30" s="747">
        <v>12.31</v>
      </c>
      <c r="I30" s="748">
        <v>1233.95</v>
      </c>
      <c r="J30" s="749">
        <v>4.01</v>
      </c>
      <c r="K30" s="745" t="s">
        <v>9</v>
      </c>
      <c r="L30" s="750"/>
      <c r="M30" s="748" t="str">
        <f t="shared" si="0"/>
        <v/>
      </c>
      <c r="N30" s="727"/>
      <c r="O30" s="72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36" customHeight="1">
      <c r="A31" s="743">
        <v>42779</v>
      </c>
      <c r="B31" s="744" t="s">
        <v>140</v>
      </c>
      <c r="C31" s="758"/>
      <c r="D31" s="746" t="s">
        <v>129</v>
      </c>
      <c r="E31" s="745" t="s">
        <v>71</v>
      </c>
      <c r="F31" s="746">
        <v>2500</v>
      </c>
      <c r="G31" s="747">
        <v>12.3</v>
      </c>
      <c r="H31" s="747">
        <v>0</v>
      </c>
      <c r="I31" s="748">
        <v>0</v>
      </c>
      <c r="J31" s="749">
        <v>0</v>
      </c>
      <c r="K31" s="745" t="s">
        <v>9</v>
      </c>
      <c r="L31" s="750"/>
      <c r="M31" s="748" t="str">
        <f t="shared" si="0"/>
        <v/>
      </c>
      <c r="N31" s="727"/>
      <c r="O31" s="72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4.5">
      <c r="A32" s="751">
        <v>42779</v>
      </c>
      <c r="B32" s="752" t="s">
        <v>47</v>
      </c>
      <c r="C32" s="753" t="s">
        <v>69</v>
      </c>
      <c r="D32" s="754" t="s">
        <v>115</v>
      </c>
      <c r="E32" s="753" t="s">
        <v>71</v>
      </c>
      <c r="F32" s="754">
        <v>4300</v>
      </c>
      <c r="G32" s="755">
        <v>7.16</v>
      </c>
      <c r="H32" s="755">
        <v>0</v>
      </c>
      <c r="I32" s="756">
        <v>0</v>
      </c>
      <c r="J32" s="757">
        <v>0</v>
      </c>
      <c r="K32" s="753" t="s">
        <v>9</v>
      </c>
      <c r="L32" s="750"/>
      <c r="M32" s="756">
        <f t="shared" si="0"/>
        <v>30788</v>
      </c>
      <c r="N32" s="727"/>
      <c r="O32" s="72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4.5">
      <c r="A33" s="751">
        <v>42780</v>
      </c>
      <c r="B33" s="752" t="s">
        <v>48</v>
      </c>
      <c r="C33" s="753" t="s">
        <v>69</v>
      </c>
      <c r="D33" s="754" t="s">
        <v>115</v>
      </c>
      <c r="E33" s="753" t="s">
        <v>71</v>
      </c>
      <c r="F33" s="754">
        <v>4300</v>
      </c>
      <c r="G33" s="755">
        <v>7.1</v>
      </c>
      <c r="H33" s="755">
        <v>7.16</v>
      </c>
      <c r="I33" s="756">
        <v>-254.94</v>
      </c>
      <c r="J33" s="757">
        <v>-0.82</v>
      </c>
      <c r="K33" s="753" t="s">
        <v>9</v>
      </c>
      <c r="L33" s="750"/>
      <c r="M33" s="756" t="str">
        <f t="shared" si="0"/>
        <v/>
      </c>
      <c r="N33" s="727"/>
      <c r="O33" s="72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4.5">
      <c r="A34" s="743">
        <v>42780</v>
      </c>
      <c r="B34" s="744" t="s">
        <v>47</v>
      </c>
      <c r="C34" s="745" t="s">
        <v>69</v>
      </c>
      <c r="D34" s="746" t="s">
        <v>129</v>
      </c>
      <c r="E34" s="745" t="s">
        <v>71</v>
      </c>
      <c r="F34" s="746">
        <v>2500</v>
      </c>
      <c r="G34" s="747">
        <v>12.45</v>
      </c>
      <c r="H34" s="747">
        <v>0</v>
      </c>
      <c r="I34" s="748">
        <v>0</v>
      </c>
      <c r="J34" s="749">
        <v>0</v>
      </c>
      <c r="K34" s="745" t="s">
        <v>9</v>
      </c>
      <c r="L34" s="750"/>
      <c r="M34" s="748">
        <f t="shared" si="0"/>
        <v>31125</v>
      </c>
      <c r="N34" s="727"/>
      <c r="O34" s="72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4.5">
      <c r="A35" s="743">
        <v>42781</v>
      </c>
      <c r="B35" s="744" t="s">
        <v>48</v>
      </c>
      <c r="C35" s="745" t="s">
        <v>69</v>
      </c>
      <c r="D35" s="746" t="s">
        <v>129</v>
      </c>
      <c r="E35" s="745" t="s">
        <v>71</v>
      </c>
      <c r="F35" s="746">
        <v>2500</v>
      </c>
      <c r="G35" s="747">
        <v>12.63</v>
      </c>
      <c r="H35" s="747">
        <v>12.46</v>
      </c>
      <c r="I35" s="748">
        <v>440.56</v>
      </c>
      <c r="J35" s="749">
        <v>1.41</v>
      </c>
      <c r="K35" s="745" t="s">
        <v>9</v>
      </c>
      <c r="L35" s="750"/>
      <c r="M35" s="748" t="str">
        <f t="shared" si="0"/>
        <v/>
      </c>
      <c r="N35" s="727"/>
      <c r="O35" s="727"/>
    </row>
    <row r="36" spans="1:26" ht="14.5">
      <c r="A36" s="751">
        <v>42781</v>
      </c>
      <c r="B36" s="752" t="s">
        <v>47</v>
      </c>
      <c r="C36" s="753" t="s">
        <v>69</v>
      </c>
      <c r="D36" s="754" t="s">
        <v>115</v>
      </c>
      <c r="E36" s="753" t="s">
        <v>71</v>
      </c>
      <c r="F36" s="754">
        <v>3300</v>
      </c>
      <c r="G36" s="755">
        <v>7.79</v>
      </c>
      <c r="H36" s="755">
        <v>0</v>
      </c>
      <c r="I36" s="756">
        <v>0</v>
      </c>
      <c r="J36" s="757">
        <v>0</v>
      </c>
      <c r="K36" s="753" t="s">
        <v>9</v>
      </c>
      <c r="L36" s="750"/>
      <c r="M36" s="756">
        <f t="shared" si="0"/>
        <v>25707</v>
      </c>
      <c r="N36" s="727"/>
      <c r="O36" s="759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4.5">
      <c r="A37" s="751">
        <v>42782</v>
      </c>
      <c r="B37" s="752" t="s">
        <v>48</v>
      </c>
      <c r="C37" s="753" t="s">
        <v>69</v>
      </c>
      <c r="D37" s="754" t="s">
        <v>115</v>
      </c>
      <c r="E37" s="753" t="s">
        <v>71</v>
      </c>
      <c r="F37" s="754">
        <v>3300</v>
      </c>
      <c r="G37" s="755">
        <v>7.91</v>
      </c>
      <c r="H37" s="755">
        <v>7.8</v>
      </c>
      <c r="I37" s="756">
        <v>392.15</v>
      </c>
      <c r="J37" s="757">
        <v>1.52</v>
      </c>
      <c r="K37" s="753" t="s">
        <v>9</v>
      </c>
      <c r="L37" s="750"/>
      <c r="M37" s="756" t="str">
        <f t="shared" si="0"/>
        <v/>
      </c>
      <c r="N37" s="727"/>
      <c r="O37" s="759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4.5">
      <c r="A38" s="743">
        <v>42782</v>
      </c>
      <c r="B38" s="744" t="s">
        <v>47</v>
      </c>
      <c r="C38" s="745" t="s">
        <v>69</v>
      </c>
      <c r="D38" s="746" t="s">
        <v>129</v>
      </c>
      <c r="E38" s="745" t="s">
        <v>71</v>
      </c>
      <c r="F38" s="746">
        <v>2100</v>
      </c>
      <c r="G38" s="747">
        <v>12.5</v>
      </c>
      <c r="H38" s="747">
        <v>0</v>
      </c>
      <c r="I38" s="748">
        <v>0</v>
      </c>
      <c r="J38" s="749">
        <v>0</v>
      </c>
      <c r="K38" s="745" t="s">
        <v>9</v>
      </c>
      <c r="L38" s="750"/>
      <c r="M38" s="748">
        <f t="shared" si="0"/>
        <v>26250</v>
      </c>
      <c r="N38" s="727"/>
      <c r="O38" s="759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4.5">
      <c r="A39" s="743">
        <v>42783</v>
      </c>
      <c r="B39" s="744" t="s">
        <v>48</v>
      </c>
      <c r="C39" s="745" t="s">
        <v>69</v>
      </c>
      <c r="D39" s="746" t="s">
        <v>129</v>
      </c>
      <c r="E39" s="745" t="s">
        <v>71</v>
      </c>
      <c r="F39" s="746">
        <v>2100</v>
      </c>
      <c r="G39" s="747">
        <v>12.48</v>
      </c>
      <c r="H39" s="747">
        <v>12.51</v>
      </c>
      <c r="I39" s="748">
        <v>-58.05</v>
      </c>
      <c r="J39" s="749">
        <v>-0.22000000000000003</v>
      </c>
      <c r="K39" s="745" t="s">
        <v>9</v>
      </c>
      <c r="L39" s="750"/>
      <c r="M39" s="748" t="str">
        <f t="shared" si="0"/>
        <v/>
      </c>
      <c r="N39" s="727"/>
      <c r="O39" s="759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4.5">
      <c r="A40" s="751">
        <v>42783</v>
      </c>
      <c r="B40" s="752" t="s">
        <v>47</v>
      </c>
      <c r="C40" s="753" t="s">
        <v>69</v>
      </c>
      <c r="D40" s="754" t="s">
        <v>115</v>
      </c>
      <c r="E40" s="753" t="s">
        <v>71</v>
      </c>
      <c r="F40" s="754">
        <v>2900</v>
      </c>
      <c r="G40" s="755">
        <v>8.8800000000000008</v>
      </c>
      <c r="H40" s="755">
        <v>0</v>
      </c>
      <c r="I40" s="756">
        <v>0</v>
      </c>
      <c r="J40" s="757">
        <v>0</v>
      </c>
      <c r="K40" s="753" t="s">
        <v>9</v>
      </c>
      <c r="L40" s="750"/>
      <c r="M40" s="756">
        <f t="shared" si="0"/>
        <v>25752.000000000004</v>
      </c>
      <c r="N40" s="727"/>
      <c r="O40" s="759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4.5">
      <c r="A41" s="751">
        <v>42786</v>
      </c>
      <c r="B41" s="752" t="s">
        <v>48</v>
      </c>
      <c r="C41" s="753" t="s">
        <v>69</v>
      </c>
      <c r="D41" s="754" t="s">
        <v>115</v>
      </c>
      <c r="E41" s="753" t="s">
        <v>71</v>
      </c>
      <c r="F41" s="754">
        <v>2900</v>
      </c>
      <c r="G41" s="755">
        <v>9.09</v>
      </c>
      <c r="H41" s="755">
        <v>8.89</v>
      </c>
      <c r="I41" s="756">
        <v>600.52</v>
      </c>
      <c r="J41" s="757">
        <v>2.33</v>
      </c>
      <c r="K41" s="753" t="s">
        <v>9</v>
      </c>
      <c r="L41" s="750"/>
      <c r="M41" s="756" t="str">
        <f t="shared" si="0"/>
        <v/>
      </c>
      <c r="N41" s="727"/>
      <c r="O41" s="759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4.5">
      <c r="A42" s="743">
        <v>42786</v>
      </c>
      <c r="B42" s="744" t="s">
        <v>47</v>
      </c>
      <c r="C42" s="745" t="s">
        <v>69</v>
      </c>
      <c r="D42" s="746" t="s">
        <v>129</v>
      </c>
      <c r="E42" s="745" t="s">
        <v>71</v>
      </c>
      <c r="F42" s="746">
        <v>2100</v>
      </c>
      <c r="G42" s="747">
        <v>12.66</v>
      </c>
      <c r="H42" s="747">
        <v>0</v>
      </c>
      <c r="I42" s="748">
        <v>0</v>
      </c>
      <c r="J42" s="749">
        <v>0</v>
      </c>
      <c r="K42" s="745" t="s">
        <v>9</v>
      </c>
      <c r="L42" s="750"/>
      <c r="M42" s="748">
        <f t="shared" si="0"/>
        <v>26586</v>
      </c>
      <c r="N42" s="727"/>
      <c r="O42" s="759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4.5">
      <c r="A43" s="743">
        <v>42787</v>
      </c>
      <c r="B43" s="744" t="s">
        <v>48</v>
      </c>
      <c r="C43" s="745" t="s">
        <v>69</v>
      </c>
      <c r="D43" s="746" t="s">
        <v>129</v>
      </c>
      <c r="E43" s="745" t="s">
        <v>71</v>
      </c>
      <c r="F43" s="746">
        <v>2100</v>
      </c>
      <c r="G43" s="747">
        <v>12.89</v>
      </c>
      <c r="H43" s="747">
        <v>12.67</v>
      </c>
      <c r="I43" s="748">
        <v>466.55</v>
      </c>
      <c r="J43" s="749">
        <v>1.75</v>
      </c>
      <c r="K43" s="745" t="s">
        <v>9</v>
      </c>
      <c r="L43" s="750"/>
      <c r="M43" s="748" t="str">
        <f t="shared" si="0"/>
        <v/>
      </c>
      <c r="N43" s="727"/>
      <c r="O43" s="759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4.5">
      <c r="A44" s="751">
        <v>42787</v>
      </c>
      <c r="B44" s="752" t="s">
        <v>47</v>
      </c>
      <c r="C44" s="753" t="s">
        <v>69</v>
      </c>
      <c r="D44" s="754" t="s">
        <v>115</v>
      </c>
      <c r="E44" s="753" t="s">
        <v>71</v>
      </c>
      <c r="F44" s="754">
        <v>3100</v>
      </c>
      <c r="G44" s="755">
        <v>8.64</v>
      </c>
      <c r="H44" s="755">
        <v>0</v>
      </c>
      <c r="I44" s="756">
        <v>0</v>
      </c>
      <c r="J44" s="757">
        <v>0</v>
      </c>
      <c r="K44" s="753" t="s">
        <v>9</v>
      </c>
      <c r="L44" s="750"/>
      <c r="M44" s="756">
        <f t="shared" si="0"/>
        <v>26784</v>
      </c>
      <c r="N44" s="727"/>
      <c r="O44" s="759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4.5">
      <c r="A45" s="751">
        <v>42788</v>
      </c>
      <c r="B45" s="752" t="s">
        <v>48</v>
      </c>
      <c r="C45" s="753" t="s">
        <v>69</v>
      </c>
      <c r="D45" s="754" t="s">
        <v>115</v>
      </c>
      <c r="E45" s="753" t="s">
        <v>71</v>
      </c>
      <c r="F45" s="754">
        <v>3100</v>
      </c>
      <c r="G45" s="755">
        <v>8.8000000000000007</v>
      </c>
      <c r="H45" s="755">
        <v>8.65</v>
      </c>
      <c r="I45" s="756">
        <v>489.41</v>
      </c>
      <c r="J45" s="757">
        <v>1.82</v>
      </c>
      <c r="K45" s="753" t="s">
        <v>9</v>
      </c>
      <c r="L45" s="750"/>
      <c r="M45" s="756" t="str">
        <f t="shared" si="0"/>
        <v/>
      </c>
      <c r="N45" s="727"/>
      <c r="O45" s="759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4.5">
      <c r="A46" s="743">
        <v>42788</v>
      </c>
      <c r="B46" s="744" t="s">
        <v>47</v>
      </c>
      <c r="C46" s="745" t="s">
        <v>69</v>
      </c>
      <c r="D46" s="746" t="s">
        <v>129</v>
      </c>
      <c r="E46" s="745" t="s">
        <v>71</v>
      </c>
      <c r="F46" s="746">
        <v>2200</v>
      </c>
      <c r="G46" s="747">
        <v>12.41</v>
      </c>
      <c r="H46" s="747">
        <v>0</v>
      </c>
      <c r="I46" s="748">
        <v>0</v>
      </c>
      <c r="J46" s="749">
        <v>0</v>
      </c>
      <c r="K46" s="745" t="s">
        <v>9</v>
      </c>
      <c r="L46" s="750"/>
      <c r="M46" s="748">
        <f t="shared" si="0"/>
        <v>27302</v>
      </c>
      <c r="N46" s="549" t="s">
        <v>21</v>
      </c>
      <c r="O46" s="550">
        <f>AVERAGE(M16:M47)</f>
        <v>28719.333333333332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4.5">
      <c r="A47" s="743">
        <v>42789</v>
      </c>
      <c r="B47" s="744" t="s">
        <v>48</v>
      </c>
      <c r="C47" s="745" t="s">
        <v>69</v>
      </c>
      <c r="D47" s="746" t="s">
        <v>129</v>
      </c>
      <c r="E47" s="745" t="s">
        <v>71</v>
      </c>
      <c r="F47" s="746">
        <v>2200</v>
      </c>
      <c r="G47" s="747">
        <v>12.63</v>
      </c>
      <c r="H47" s="747">
        <v>12.42</v>
      </c>
      <c r="I47" s="748">
        <v>468.08</v>
      </c>
      <c r="J47" s="749">
        <v>1.71</v>
      </c>
      <c r="K47" s="745" t="s">
        <v>9</v>
      </c>
      <c r="L47" s="750"/>
      <c r="M47" s="748" t="str">
        <f t="shared" si="0"/>
        <v/>
      </c>
      <c r="N47" s="551" t="s">
        <v>102</v>
      </c>
      <c r="O47" s="552">
        <v>409.97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4.5">
      <c r="A48" s="751">
        <v>42789</v>
      </c>
      <c r="B48" s="752" t="s">
        <v>47</v>
      </c>
      <c r="C48" s="753" t="s">
        <v>69</v>
      </c>
      <c r="D48" s="754" t="s">
        <v>115</v>
      </c>
      <c r="E48" s="753" t="s">
        <v>71</v>
      </c>
      <c r="F48" s="754">
        <v>3200</v>
      </c>
      <c r="G48" s="755">
        <v>8.83</v>
      </c>
      <c r="H48" s="755">
        <v>0</v>
      </c>
      <c r="I48" s="756">
        <v>0</v>
      </c>
      <c r="J48" s="757">
        <v>0</v>
      </c>
      <c r="K48" s="753" t="s">
        <v>9</v>
      </c>
      <c r="L48" s="760">
        <f>SUM(I17:I48)</f>
        <v>4119.2299999999996</v>
      </c>
      <c r="M48" s="756">
        <f t="shared" si="0"/>
        <v>28256</v>
      </c>
      <c r="N48" s="553" t="s">
        <v>126</v>
      </c>
      <c r="O48" s="554">
        <f>(L48-O47)/O46</f>
        <v>0.12915550500243736</v>
      </c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4.5">
      <c r="A49" s="719">
        <v>42795</v>
      </c>
      <c r="B49" s="720" t="s">
        <v>48</v>
      </c>
      <c r="C49" s="721" t="s">
        <v>69</v>
      </c>
      <c r="D49" s="722" t="s">
        <v>115</v>
      </c>
      <c r="E49" s="721" t="s">
        <v>71</v>
      </c>
      <c r="F49" s="722">
        <v>3200</v>
      </c>
      <c r="G49" s="723">
        <v>8.84</v>
      </c>
      <c r="H49" s="723">
        <v>8.84</v>
      </c>
      <c r="I49" s="724">
        <v>25.04</v>
      </c>
      <c r="J49" s="725">
        <v>0.08</v>
      </c>
      <c r="K49" s="721" t="s">
        <v>9</v>
      </c>
      <c r="L49" s="726"/>
      <c r="M49" s="724" t="str">
        <f t="shared" si="0"/>
        <v/>
      </c>
      <c r="N49" s="727"/>
      <c r="O49" s="75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4.5">
      <c r="A50" s="729">
        <v>42795</v>
      </c>
      <c r="B50" s="730" t="s">
        <v>47</v>
      </c>
      <c r="C50" s="731" t="s">
        <v>69</v>
      </c>
      <c r="D50" s="732" t="s">
        <v>129</v>
      </c>
      <c r="E50" s="731" t="s">
        <v>71</v>
      </c>
      <c r="F50" s="732">
        <v>2300</v>
      </c>
      <c r="G50" s="733">
        <v>12.14</v>
      </c>
      <c r="H50" s="733">
        <v>0</v>
      </c>
      <c r="I50" s="734">
        <v>0</v>
      </c>
      <c r="J50" s="735">
        <v>0</v>
      </c>
      <c r="K50" s="731" t="s">
        <v>9</v>
      </c>
      <c r="L50" s="726"/>
      <c r="M50" s="734">
        <f t="shared" si="0"/>
        <v>27922</v>
      </c>
      <c r="N50" s="727"/>
      <c r="O50" s="75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4.5">
      <c r="A51" s="729">
        <v>42797</v>
      </c>
      <c r="B51" s="730" t="s">
        <v>48</v>
      </c>
      <c r="C51" s="731" t="s">
        <v>69</v>
      </c>
      <c r="D51" s="732" t="s">
        <v>129</v>
      </c>
      <c r="E51" s="731" t="s">
        <v>71</v>
      </c>
      <c r="F51" s="732">
        <v>2300</v>
      </c>
      <c r="G51" s="733">
        <v>11.73</v>
      </c>
      <c r="H51" s="733">
        <v>12.15</v>
      </c>
      <c r="I51" s="734">
        <v>-957.85</v>
      </c>
      <c r="J51" s="735">
        <v>-3.42</v>
      </c>
      <c r="K51" s="731" t="s">
        <v>9</v>
      </c>
      <c r="L51" s="726"/>
      <c r="M51" s="734" t="str">
        <f t="shared" si="0"/>
        <v/>
      </c>
      <c r="N51" s="727"/>
      <c r="O51" s="759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4.5">
      <c r="A52" s="719">
        <v>42797</v>
      </c>
      <c r="B52" s="720" t="s">
        <v>47</v>
      </c>
      <c r="C52" s="721" t="s">
        <v>69</v>
      </c>
      <c r="D52" s="722" t="s">
        <v>115</v>
      </c>
      <c r="E52" s="721" t="s">
        <v>71</v>
      </c>
      <c r="F52" s="722">
        <v>3000</v>
      </c>
      <c r="G52" s="723">
        <v>9.08</v>
      </c>
      <c r="H52" s="723">
        <v>0</v>
      </c>
      <c r="I52" s="724">
        <v>0</v>
      </c>
      <c r="J52" s="725">
        <v>0</v>
      </c>
      <c r="K52" s="721" t="s">
        <v>9</v>
      </c>
      <c r="L52" s="726"/>
      <c r="M52" s="724">
        <f t="shared" si="0"/>
        <v>27240</v>
      </c>
      <c r="N52" s="727"/>
      <c r="O52" s="759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4.5">
      <c r="A53" s="719">
        <v>42800</v>
      </c>
      <c r="B53" s="720" t="s">
        <v>48</v>
      </c>
      <c r="C53" s="721" t="s">
        <v>69</v>
      </c>
      <c r="D53" s="722" t="s">
        <v>115</v>
      </c>
      <c r="E53" s="721" t="s">
        <v>71</v>
      </c>
      <c r="F53" s="722">
        <v>3000</v>
      </c>
      <c r="G53" s="723">
        <v>8.9499999999999993</v>
      </c>
      <c r="H53" s="723">
        <v>9.09</v>
      </c>
      <c r="I53" s="724">
        <v>-397.58</v>
      </c>
      <c r="J53" s="725">
        <v>-1.45</v>
      </c>
      <c r="K53" s="721" t="s">
        <v>9</v>
      </c>
      <c r="L53" s="726"/>
      <c r="M53" s="724" t="str">
        <f t="shared" si="0"/>
        <v/>
      </c>
      <c r="N53" s="727"/>
      <c r="O53" s="759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4.5">
      <c r="A54" s="736">
        <v>42800</v>
      </c>
      <c r="B54" s="737" t="s">
        <v>47</v>
      </c>
      <c r="C54" s="738" t="s">
        <v>69</v>
      </c>
      <c r="D54" s="739" t="s">
        <v>139</v>
      </c>
      <c r="E54" s="738" t="s">
        <v>71</v>
      </c>
      <c r="F54" s="739">
        <v>6500</v>
      </c>
      <c r="G54" s="740">
        <v>4.1500000000000004</v>
      </c>
      <c r="H54" s="740">
        <v>0</v>
      </c>
      <c r="I54" s="726">
        <v>0</v>
      </c>
      <c r="J54" s="741">
        <v>0</v>
      </c>
      <c r="K54" s="738" t="s">
        <v>9</v>
      </c>
      <c r="L54" s="726"/>
      <c r="M54" s="726">
        <f t="shared" si="0"/>
        <v>26975.000000000004</v>
      </c>
      <c r="N54" s="727"/>
      <c r="O54" s="759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4.5">
      <c r="A55" s="736">
        <v>42801</v>
      </c>
      <c r="B55" s="737" t="s">
        <v>48</v>
      </c>
      <c r="C55" s="738" t="s">
        <v>69</v>
      </c>
      <c r="D55" s="739" t="s">
        <v>139</v>
      </c>
      <c r="E55" s="738" t="s">
        <v>71</v>
      </c>
      <c r="F55" s="739">
        <v>6500</v>
      </c>
      <c r="G55" s="740">
        <v>4.29</v>
      </c>
      <c r="H55" s="740">
        <v>4.1500000000000004</v>
      </c>
      <c r="I55" s="726">
        <v>936.59</v>
      </c>
      <c r="J55" s="741">
        <v>3.46</v>
      </c>
      <c r="K55" s="738" t="s">
        <v>9</v>
      </c>
      <c r="L55" s="726"/>
      <c r="M55" s="726" t="str">
        <f t="shared" si="0"/>
        <v/>
      </c>
      <c r="N55" s="727"/>
      <c r="O55" s="759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4.5">
      <c r="A56" s="719">
        <v>42801</v>
      </c>
      <c r="B56" s="720" t="s">
        <v>47</v>
      </c>
      <c r="C56" s="721" t="s">
        <v>69</v>
      </c>
      <c r="D56" s="722" t="s">
        <v>115</v>
      </c>
      <c r="E56" s="721" t="s">
        <v>71</v>
      </c>
      <c r="F56" s="722">
        <v>2900</v>
      </c>
      <c r="G56" s="723">
        <v>9.3000000000000007</v>
      </c>
      <c r="H56" s="723">
        <v>0</v>
      </c>
      <c r="I56" s="724">
        <v>0</v>
      </c>
      <c r="J56" s="725">
        <v>0</v>
      </c>
      <c r="K56" s="721" t="s">
        <v>9</v>
      </c>
      <c r="L56" s="726"/>
      <c r="M56" s="724">
        <f t="shared" si="0"/>
        <v>26970.000000000004</v>
      </c>
      <c r="N56" s="727"/>
      <c r="O56" s="759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4.5">
      <c r="A57" s="719">
        <v>42802</v>
      </c>
      <c r="B57" s="720" t="s">
        <v>48</v>
      </c>
      <c r="C57" s="721" t="s">
        <v>69</v>
      </c>
      <c r="D57" s="722" t="s">
        <v>115</v>
      </c>
      <c r="E57" s="721" t="s">
        <v>71</v>
      </c>
      <c r="F57" s="722">
        <v>2900</v>
      </c>
      <c r="G57" s="723">
        <v>8.81</v>
      </c>
      <c r="H57" s="723">
        <v>9.31</v>
      </c>
      <c r="I57" s="724">
        <v>-1429.07</v>
      </c>
      <c r="J57" s="725">
        <v>-5.29</v>
      </c>
      <c r="K57" s="721" t="s">
        <v>9</v>
      </c>
      <c r="L57" s="726"/>
      <c r="M57" s="724" t="str">
        <f t="shared" si="0"/>
        <v/>
      </c>
      <c r="N57" s="727"/>
      <c r="O57" s="759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4.5">
      <c r="A58" s="736">
        <v>42802</v>
      </c>
      <c r="B58" s="737" t="s">
        <v>47</v>
      </c>
      <c r="C58" s="738" t="s">
        <v>69</v>
      </c>
      <c r="D58" s="739" t="s">
        <v>139</v>
      </c>
      <c r="E58" s="738" t="s">
        <v>71</v>
      </c>
      <c r="F58" s="739">
        <v>6500</v>
      </c>
      <c r="G58" s="740">
        <v>4.18</v>
      </c>
      <c r="H58" s="740">
        <v>0</v>
      </c>
      <c r="I58" s="726">
        <v>0</v>
      </c>
      <c r="J58" s="741">
        <v>0</v>
      </c>
      <c r="K58" s="738" t="s">
        <v>9</v>
      </c>
      <c r="L58" s="726"/>
      <c r="M58" s="726">
        <f t="shared" si="0"/>
        <v>27169.999999999996</v>
      </c>
      <c r="N58" s="727"/>
      <c r="O58" s="759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4.5">
      <c r="A59" s="736">
        <v>42807</v>
      </c>
      <c r="B59" s="737" t="s">
        <v>48</v>
      </c>
      <c r="C59" s="738" t="s">
        <v>69</v>
      </c>
      <c r="D59" s="739" t="s">
        <v>139</v>
      </c>
      <c r="E59" s="738" t="s">
        <v>71</v>
      </c>
      <c r="F59" s="739">
        <v>6500</v>
      </c>
      <c r="G59" s="740">
        <v>4.3499999999999996</v>
      </c>
      <c r="H59" s="740">
        <v>4.18</v>
      </c>
      <c r="I59" s="726">
        <v>1131.95</v>
      </c>
      <c r="J59" s="741">
        <v>4.16</v>
      </c>
      <c r="K59" s="738" t="s">
        <v>9</v>
      </c>
      <c r="L59" s="726"/>
      <c r="M59" s="726" t="str">
        <f t="shared" si="0"/>
        <v/>
      </c>
      <c r="N59" s="727"/>
      <c r="O59" s="759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4.5">
      <c r="A60" s="719">
        <v>42807</v>
      </c>
      <c r="B60" s="720" t="s">
        <v>47</v>
      </c>
      <c r="C60" s="721" t="s">
        <v>69</v>
      </c>
      <c r="D60" s="722" t="s">
        <v>115</v>
      </c>
      <c r="E60" s="721" t="s">
        <v>71</v>
      </c>
      <c r="F60" s="722">
        <v>3000</v>
      </c>
      <c r="G60" s="723">
        <v>8.7799999999999994</v>
      </c>
      <c r="H60" s="723">
        <v>0</v>
      </c>
      <c r="I60" s="724">
        <v>0</v>
      </c>
      <c r="J60" s="725">
        <v>0</v>
      </c>
      <c r="K60" s="721" t="s">
        <v>9</v>
      </c>
      <c r="L60" s="726"/>
      <c r="M60" s="724">
        <f t="shared" si="0"/>
        <v>26339.999999999996</v>
      </c>
      <c r="N60" s="727"/>
      <c r="O60" s="759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4.5">
      <c r="A61" s="719">
        <v>42808</v>
      </c>
      <c r="B61" s="720" t="s">
        <v>48</v>
      </c>
      <c r="C61" s="721" t="s">
        <v>69</v>
      </c>
      <c r="D61" s="722" t="s">
        <v>115</v>
      </c>
      <c r="E61" s="721" t="s">
        <v>71</v>
      </c>
      <c r="F61" s="722">
        <v>3000</v>
      </c>
      <c r="G61" s="723">
        <v>8.6300000000000008</v>
      </c>
      <c r="H61" s="723">
        <v>8.7899999999999991</v>
      </c>
      <c r="I61" s="724">
        <v>-456.98</v>
      </c>
      <c r="J61" s="725">
        <v>-1.73</v>
      </c>
      <c r="K61" s="721" t="s">
        <v>9</v>
      </c>
      <c r="L61" s="726"/>
      <c r="M61" s="724" t="str">
        <f t="shared" si="0"/>
        <v/>
      </c>
      <c r="N61" s="727"/>
      <c r="O61" s="759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4.5">
      <c r="A62" s="729">
        <v>42808</v>
      </c>
      <c r="B62" s="730" t="s">
        <v>47</v>
      </c>
      <c r="C62" s="731" t="s">
        <v>69</v>
      </c>
      <c r="D62" s="732" t="s">
        <v>129</v>
      </c>
      <c r="E62" s="731" t="s">
        <v>71</v>
      </c>
      <c r="F62" s="732">
        <v>2500</v>
      </c>
      <c r="G62" s="733">
        <v>10.75</v>
      </c>
      <c r="H62" s="733">
        <v>0</v>
      </c>
      <c r="I62" s="734">
        <v>0</v>
      </c>
      <c r="J62" s="735">
        <v>0</v>
      </c>
      <c r="K62" s="731" t="s">
        <v>9</v>
      </c>
      <c r="L62" s="726"/>
      <c r="M62" s="734">
        <f t="shared" si="0"/>
        <v>26875</v>
      </c>
      <c r="N62" s="727"/>
      <c r="O62" s="759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4.5">
      <c r="A63" s="729">
        <v>42809</v>
      </c>
      <c r="B63" s="730" t="s">
        <v>48</v>
      </c>
      <c r="C63" s="731" t="s">
        <v>69</v>
      </c>
      <c r="D63" s="732" t="s">
        <v>129</v>
      </c>
      <c r="E63" s="731" t="s">
        <v>71</v>
      </c>
      <c r="F63" s="732">
        <v>2500</v>
      </c>
      <c r="G63" s="733">
        <v>10.92</v>
      </c>
      <c r="H63" s="733">
        <v>10.76</v>
      </c>
      <c r="I63" s="734">
        <v>411.83</v>
      </c>
      <c r="J63" s="735">
        <v>1.53</v>
      </c>
      <c r="K63" s="731" t="s">
        <v>9</v>
      </c>
      <c r="L63" s="726"/>
      <c r="M63" s="734" t="str">
        <f t="shared" si="0"/>
        <v/>
      </c>
      <c r="N63" s="727"/>
      <c r="O63" s="759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4.5">
      <c r="A64" s="719">
        <v>42809</v>
      </c>
      <c r="B64" s="720" t="s">
        <v>47</v>
      </c>
      <c r="C64" s="721" t="s">
        <v>69</v>
      </c>
      <c r="D64" s="722" t="s">
        <v>115</v>
      </c>
      <c r="E64" s="721" t="s">
        <v>71</v>
      </c>
      <c r="F64" s="722">
        <v>2700</v>
      </c>
      <c r="G64" s="723">
        <v>9.26</v>
      </c>
      <c r="H64" s="723">
        <v>0</v>
      </c>
      <c r="I64" s="724">
        <v>0</v>
      </c>
      <c r="J64" s="725">
        <v>0</v>
      </c>
      <c r="K64" s="721" t="s">
        <v>9</v>
      </c>
      <c r="L64" s="726"/>
      <c r="M64" s="724">
        <f t="shared" si="0"/>
        <v>25002</v>
      </c>
      <c r="N64" s="727"/>
      <c r="O64" s="759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4.5">
      <c r="A65" s="719">
        <v>42810</v>
      </c>
      <c r="B65" s="720" t="s">
        <v>48</v>
      </c>
      <c r="C65" s="721" t="s">
        <v>69</v>
      </c>
      <c r="D65" s="722" t="s">
        <v>115</v>
      </c>
      <c r="E65" s="721" t="s">
        <v>71</v>
      </c>
      <c r="F65" s="722">
        <v>2700</v>
      </c>
      <c r="G65" s="723">
        <v>9.3800000000000008</v>
      </c>
      <c r="H65" s="723">
        <v>9.27</v>
      </c>
      <c r="I65" s="724">
        <v>314.63</v>
      </c>
      <c r="J65" s="725">
        <v>1.25</v>
      </c>
      <c r="K65" s="721" t="s">
        <v>9</v>
      </c>
      <c r="L65" s="726"/>
      <c r="M65" s="724" t="str">
        <f t="shared" si="0"/>
        <v/>
      </c>
      <c r="N65" s="727"/>
      <c r="O65" s="759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4.5">
      <c r="A66" s="736">
        <v>42810</v>
      </c>
      <c r="B66" s="737" t="s">
        <v>47</v>
      </c>
      <c r="C66" s="738" t="s">
        <v>69</v>
      </c>
      <c r="D66" s="739" t="s">
        <v>139</v>
      </c>
      <c r="E66" s="738" t="s">
        <v>71</v>
      </c>
      <c r="F66" s="739">
        <v>6000</v>
      </c>
      <c r="G66" s="740">
        <v>4.22</v>
      </c>
      <c r="H66" s="740">
        <v>0</v>
      </c>
      <c r="I66" s="726">
        <v>0</v>
      </c>
      <c r="J66" s="741">
        <v>0</v>
      </c>
      <c r="K66" s="738" t="s">
        <v>9</v>
      </c>
      <c r="L66" s="726"/>
      <c r="M66" s="726">
        <f t="shared" si="0"/>
        <v>25320</v>
      </c>
      <c r="N66" s="727"/>
      <c r="O66" s="759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4.5">
      <c r="A67" s="736">
        <v>42811</v>
      </c>
      <c r="B67" s="737" t="s">
        <v>48</v>
      </c>
      <c r="C67" s="738" t="s">
        <v>69</v>
      </c>
      <c r="D67" s="739" t="s">
        <v>139</v>
      </c>
      <c r="E67" s="738" t="s">
        <v>71</v>
      </c>
      <c r="F67" s="739">
        <v>6000</v>
      </c>
      <c r="G67" s="740">
        <v>4.17</v>
      </c>
      <c r="H67" s="740">
        <v>4.22</v>
      </c>
      <c r="I67" s="726">
        <v>-276.38</v>
      </c>
      <c r="J67" s="741">
        <v>-1.0900000000000001</v>
      </c>
      <c r="K67" s="738" t="s">
        <v>9</v>
      </c>
      <c r="L67" s="726"/>
      <c r="M67" s="726" t="str">
        <f t="shared" si="0"/>
        <v/>
      </c>
      <c r="N67" s="727"/>
      <c r="O67" s="759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4.5">
      <c r="A68" s="729">
        <v>42814</v>
      </c>
      <c r="B68" s="730" t="s">
        <v>47</v>
      </c>
      <c r="C68" s="731" t="s">
        <v>69</v>
      </c>
      <c r="D68" s="732" t="s">
        <v>129</v>
      </c>
      <c r="E68" s="731" t="s">
        <v>71</v>
      </c>
      <c r="F68" s="732">
        <v>2400</v>
      </c>
      <c r="G68" s="733">
        <v>10.95</v>
      </c>
      <c r="H68" s="733">
        <v>0</v>
      </c>
      <c r="I68" s="734">
        <v>0</v>
      </c>
      <c r="J68" s="735">
        <v>0</v>
      </c>
      <c r="K68" s="731" t="s">
        <v>9</v>
      </c>
      <c r="L68" s="726"/>
      <c r="M68" s="734">
        <f t="shared" si="0"/>
        <v>26280</v>
      </c>
      <c r="N68" s="727"/>
      <c r="O68" s="759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4.5">
      <c r="A69" s="729">
        <v>42815</v>
      </c>
      <c r="B69" s="730" t="s">
        <v>48</v>
      </c>
      <c r="C69" s="731" t="s">
        <v>69</v>
      </c>
      <c r="D69" s="732" t="s">
        <v>129</v>
      </c>
      <c r="E69" s="731" t="s">
        <v>71</v>
      </c>
      <c r="F69" s="732">
        <v>2400</v>
      </c>
      <c r="G69" s="733">
        <v>10.69</v>
      </c>
      <c r="H69" s="733">
        <v>10.96</v>
      </c>
      <c r="I69" s="734">
        <v>-636.88</v>
      </c>
      <c r="J69" s="735">
        <v>-2.42</v>
      </c>
      <c r="K69" s="731" t="s">
        <v>9</v>
      </c>
      <c r="L69" s="726"/>
      <c r="M69" s="734" t="str">
        <f t="shared" si="0"/>
        <v/>
      </c>
      <c r="N69" s="727"/>
      <c r="O69" s="759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4.5">
      <c r="A70" s="719">
        <v>42815</v>
      </c>
      <c r="B70" s="720" t="s">
        <v>47</v>
      </c>
      <c r="C70" s="721" t="s">
        <v>69</v>
      </c>
      <c r="D70" s="722" t="s">
        <v>115</v>
      </c>
      <c r="E70" s="721" t="s">
        <v>71</v>
      </c>
      <c r="F70" s="722">
        <v>3200</v>
      </c>
      <c r="G70" s="723">
        <v>7.8499999999999988</v>
      </c>
      <c r="H70" s="723">
        <v>0</v>
      </c>
      <c r="I70" s="724">
        <v>0</v>
      </c>
      <c r="J70" s="725">
        <v>0</v>
      </c>
      <c r="K70" s="721" t="s">
        <v>9</v>
      </c>
      <c r="L70" s="726"/>
      <c r="M70" s="724">
        <f t="shared" si="0"/>
        <v>25119.999999999996</v>
      </c>
      <c r="N70" s="727"/>
      <c r="O70" s="759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4.5">
      <c r="A71" s="719">
        <v>42816</v>
      </c>
      <c r="B71" s="720" t="s">
        <v>48</v>
      </c>
      <c r="C71" s="721" t="s">
        <v>69</v>
      </c>
      <c r="D71" s="722" t="s">
        <v>115</v>
      </c>
      <c r="E71" s="721" t="s">
        <v>71</v>
      </c>
      <c r="F71" s="722">
        <v>3200</v>
      </c>
      <c r="G71" s="723">
        <v>7.8499999999999988</v>
      </c>
      <c r="H71" s="723">
        <v>7.86</v>
      </c>
      <c r="I71" s="724">
        <v>-4.33</v>
      </c>
      <c r="J71" s="725">
        <v>-0.01</v>
      </c>
      <c r="K71" s="721" t="s">
        <v>9</v>
      </c>
      <c r="L71" s="726"/>
      <c r="M71" s="724" t="str">
        <f t="shared" si="0"/>
        <v/>
      </c>
      <c r="N71" s="727"/>
      <c r="O71" s="759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4.5">
      <c r="A72" s="719">
        <v>42823</v>
      </c>
      <c r="B72" s="720" t="s">
        <v>47</v>
      </c>
      <c r="C72" s="721" t="s">
        <v>69</v>
      </c>
      <c r="D72" s="722" t="s">
        <v>115</v>
      </c>
      <c r="E72" s="721" t="s">
        <v>71</v>
      </c>
      <c r="F72" s="722">
        <v>3100</v>
      </c>
      <c r="G72" s="723">
        <v>8.24</v>
      </c>
      <c r="H72" s="723">
        <v>0</v>
      </c>
      <c r="I72" s="724">
        <v>0</v>
      </c>
      <c r="J72" s="725">
        <v>0</v>
      </c>
      <c r="K72" s="721" t="s">
        <v>9</v>
      </c>
      <c r="L72" s="726"/>
      <c r="M72" s="724">
        <f t="shared" si="0"/>
        <v>25544</v>
      </c>
      <c r="N72" s="727"/>
      <c r="O72" s="759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4.5">
      <c r="A73" s="719">
        <v>42824</v>
      </c>
      <c r="B73" s="720" t="s">
        <v>48</v>
      </c>
      <c r="C73" s="721" t="s">
        <v>69</v>
      </c>
      <c r="D73" s="722" t="s">
        <v>115</v>
      </c>
      <c r="E73" s="721" t="s">
        <v>71</v>
      </c>
      <c r="F73" s="722">
        <v>3100</v>
      </c>
      <c r="G73" s="723">
        <v>8.0999999999999979</v>
      </c>
      <c r="H73" s="723">
        <v>8.25</v>
      </c>
      <c r="I73" s="724">
        <v>-439.47</v>
      </c>
      <c r="J73" s="725">
        <v>-1.71</v>
      </c>
      <c r="K73" s="721" t="s">
        <v>9</v>
      </c>
      <c r="L73" s="726"/>
      <c r="M73" s="724" t="str">
        <f t="shared" si="0"/>
        <v/>
      </c>
      <c r="N73" s="549" t="s">
        <v>21</v>
      </c>
      <c r="O73" s="550">
        <f>AVERAGE(M48:M74)</f>
        <v>26446.285714285714</v>
      </c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4.5">
      <c r="A74" s="736">
        <v>42824</v>
      </c>
      <c r="B74" s="737" t="s">
        <v>47</v>
      </c>
      <c r="C74" s="738" t="s">
        <v>69</v>
      </c>
      <c r="D74" s="739" t="s">
        <v>139</v>
      </c>
      <c r="E74" s="738" t="s">
        <v>71</v>
      </c>
      <c r="F74" s="739">
        <v>6200</v>
      </c>
      <c r="G74" s="740">
        <v>4.07</v>
      </c>
      <c r="H74" s="740">
        <v>0</v>
      </c>
      <c r="I74" s="726">
        <v>0</v>
      </c>
      <c r="J74" s="741">
        <v>0</v>
      </c>
      <c r="K74" s="738" t="s">
        <v>9</v>
      </c>
      <c r="L74" s="726"/>
      <c r="M74" s="726">
        <f t="shared" si="0"/>
        <v>25234</v>
      </c>
      <c r="N74" s="551" t="s">
        <v>102</v>
      </c>
      <c r="O74" s="552">
        <v>0</v>
      </c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4.5">
      <c r="A75" s="736">
        <v>42825</v>
      </c>
      <c r="B75" s="737" t="s">
        <v>48</v>
      </c>
      <c r="C75" s="738" t="s">
        <v>69</v>
      </c>
      <c r="D75" s="739" t="s">
        <v>139</v>
      </c>
      <c r="E75" s="738" t="s">
        <v>71</v>
      </c>
      <c r="F75" s="739">
        <v>6200</v>
      </c>
      <c r="G75" s="740">
        <v>3.9</v>
      </c>
      <c r="H75" s="740">
        <v>4.07</v>
      </c>
      <c r="I75" s="726">
        <v>-1028.07</v>
      </c>
      <c r="J75" s="741">
        <v>-4.07</v>
      </c>
      <c r="K75" s="738" t="s">
        <v>9</v>
      </c>
      <c r="L75" s="742">
        <f>SUM(I49:I75)</f>
        <v>-2806.5699999999997</v>
      </c>
      <c r="M75" s="726" t="str">
        <f t="shared" si="0"/>
        <v/>
      </c>
      <c r="N75" s="553" t="s">
        <v>126</v>
      </c>
      <c r="O75" s="554">
        <f>(L75-O74)/O73</f>
        <v>-0.10612340917439121</v>
      </c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4.5">
      <c r="A76" s="751">
        <v>42828</v>
      </c>
      <c r="B76" s="752" t="s">
        <v>47</v>
      </c>
      <c r="C76" s="753" t="s">
        <v>69</v>
      </c>
      <c r="D76" s="753" t="s">
        <v>115</v>
      </c>
      <c r="E76" s="753" t="s">
        <v>71</v>
      </c>
      <c r="F76" s="753">
        <v>500</v>
      </c>
      <c r="G76" s="755">
        <v>8.59</v>
      </c>
      <c r="H76" s="755">
        <v>0</v>
      </c>
      <c r="I76" s="756">
        <v>0</v>
      </c>
      <c r="J76" s="757">
        <v>0</v>
      </c>
      <c r="K76" s="753" t="s">
        <v>9</v>
      </c>
      <c r="L76" s="750"/>
      <c r="M76" s="756">
        <f t="shared" si="0"/>
        <v>4295</v>
      </c>
      <c r="N76" s="727"/>
      <c r="O76" s="759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4.5">
      <c r="A77" s="751">
        <v>42828</v>
      </c>
      <c r="B77" s="752" t="s">
        <v>47</v>
      </c>
      <c r="C77" s="753" t="s">
        <v>69</v>
      </c>
      <c r="D77" s="754" t="s">
        <v>115</v>
      </c>
      <c r="E77" s="753" t="s">
        <v>71</v>
      </c>
      <c r="F77" s="754">
        <v>2400</v>
      </c>
      <c r="G77" s="755">
        <v>8.6199999999999992</v>
      </c>
      <c r="H77" s="755">
        <v>0</v>
      </c>
      <c r="I77" s="756">
        <v>0</v>
      </c>
      <c r="J77" s="757">
        <v>0</v>
      </c>
      <c r="K77" s="753" t="s">
        <v>9</v>
      </c>
      <c r="L77" s="750"/>
      <c r="M77" s="756">
        <f t="shared" si="0"/>
        <v>20687.999999999996</v>
      </c>
      <c r="N77" s="727"/>
      <c r="O77" s="759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4.5">
      <c r="A78" s="751">
        <v>42829</v>
      </c>
      <c r="B78" s="752" t="s">
        <v>48</v>
      </c>
      <c r="C78" s="753" t="s">
        <v>69</v>
      </c>
      <c r="D78" s="754" t="s">
        <v>115</v>
      </c>
      <c r="E78" s="753" t="s">
        <v>71</v>
      </c>
      <c r="F78" s="754">
        <v>2900</v>
      </c>
      <c r="G78" s="755">
        <v>8.75</v>
      </c>
      <c r="H78" s="755">
        <v>8.6199999999999992</v>
      </c>
      <c r="I78" s="756">
        <v>393.63</v>
      </c>
      <c r="J78" s="757">
        <v>1.57</v>
      </c>
      <c r="K78" s="753" t="s">
        <v>9</v>
      </c>
      <c r="L78" s="750"/>
      <c r="M78" s="756" t="str">
        <f t="shared" si="0"/>
        <v/>
      </c>
      <c r="N78" s="727"/>
      <c r="O78" s="759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4.5">
      <c r="A79" s="761">
        <v>42829</v>
      </c>
      <c r="B79" s="762" t="s">
        <v>47</v>
      </c>
      <c r="C79" s="763" t="s">
        <v>69</v>
      </c>
      <c r="D79" s="763" t="s">
        <v>141</v>
      </c>
      <c r="E79" s="763" t="s">
        <v>71</v>
      </c>
      <c r="F79" s="763">
        <v>200</v>
      </c>
      <c r="G79" s="764">
        <v>7.25</v>
      </c>
      <c r="H79" s="764">
        <v>0</v>
      </c>
      <c r="I79" s="750">
        <v>0</v>
      </c>
      <c r="J79" s="765">
        <v>0</v>
      </c>
      <c r="K79" s="763" t="s">
        <v>9</v>
      </c>
      <c r="L79" s="750"/>
      <c r="M79" s="750">
        <f t="shared" si="0"/>
        <v>1450</v>
      </c>
      <c r="N79" s="727"/>
      <c r="O79" s="759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4.5">
      <c r="A80" s="751">
        <v>42830</v>
      </c>
      <c r="B80" s="752" t="s">
        <v>47</v>
      </c>
      <c r="C80" s="753" t="s">
        <v>69</v>
      </c>
      <c r="D80" s="753" t="s">
        <v>115</v>
      </c>
      <c r="E80" s="753" t="s">
        <v>71</v>
      </c>
      <c r="F80" s="753">
        <v>200</v>
      </c>
      <c r="G80" s="755">
        <v>9.2799999999999994</v>
      </c>
      <c r="H80" s="755">
        <v>0</v>
      </c>
      <c r="I80" s="756">
        <v>0</v>
      </c>
      <c r="J80" s="757">
        <v>0</v>
      </c>
      <c r="K80" s="753" t="s">
        <v>9</v>
      </c>
      <c r="L80" s="750"/>
      <c r="M80" s="756">
        <f t="shared" si="0"/>
        <v>1855.9999999999998</v>
      </c>
      <c r="N80" s="727"/>
      <c r="O80" s="759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4.5">
      <c r="A81" s="751">
        <v>42830</v>
      </c>
      <c r="B81" s="752" t="s">
        <v>47</v>
      </c>
      <c r="C81" s="753" t="s">
        <v>69</v>
      </c>
      <c r="D81" s="754" t="s">
        <v>115</v>
      </c>
      <c r="E81" s="753" t="s">
        <v>71</v>
      </c>
      <c r="F81" s="754">
        <v>2600</v>
      </c>
      <c r="G81" s="755">
        <v>9.27</v>
      </c>
      <c r="H81" s="755">
        <v>0</v>
      </c>
      <c r="I81" s="756">
        <v>0</v>
      </c>
      <c r="J81" s="757">
        <v>0</v>
      </c>
      <c r="K81" s="753" t="s">
        <v>9</v>
      </c>
      <c r="L81" s="750"/>
      <c r="M81" s="756">
        <f t="shared" si="0"/>
        <v>24102</v>
      </c>
      <c r="N81" s="727"/>
      <c r="O81" s="759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4.5">
      <c r="A82" s="751">
        <v>42831</v>
      </c>
      <c r="B82" s="752" t="s">
        <v>48</v>
      </c>
      <c r="C82" s="753" t="s">
        <v>69</v>
      </c>
      <c r="D82" s="754" t="s">
        <v>115</v>
      </c>
      <c r="E82" s="753" t="s">
        <v>71</v>
      </c>
      <c r="F82" s="754">
        <v>2800</v>
      </c>
      <c r="G82" s="755">
        <v>9.2899999999999991</v>
      </c>
      <c r="H82" s="755">
        <v>9.2799999999999994</v>
      </c>
      <c r="I82" s="756">
        <v>45.1</v>
      </c>
      <c r="J82" s="757">
        <v>0.17</v>
      </c>
      <c r="K82" s="753" t="s">
        <v>9</v>
      </c>
      <c r="L82" s="750"/>
      <c r="M82" s="756" t="str">
        <f t="shared" si="0"/>
        <v/>
      </c>
      <c r="N82" s="727"/>
      <c r="O82" s="759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4.5">
      <c r="A83" s="743">
        <v>42831</v>
      </c>
      <c r="B83" s="744" t="s">
        <v>47</v>
      </c>
      <c r="C83" s="745" t="s">
        <v>69</v>
      </c>
      <c r="D83" s="746" t="s">
        <v>129</v>
      </c>
      <c r="E83" s="745" t="s">
        <v>71</v>
      </c>
      <c r="F83" s="746">
        <v>2400</v>
      </c>
      <c r="G83" s="747">
        <v>8.67</v>
      </c>
      <c r="H83" s="747">
        <v>0</v>
      </c>
      <c r="I83" s="748">
        <v>0</v>
      </c>
      <c r="J83" s="749">
        <v>0</v>
      </c>
      <c r="K83" s="745" t="s">
        <v>9</v>
      </c>
      <c r="L83" s="750"/>
      <c r="M83" s="748">
        <f t="shared" si="0"/>
        <v>20808</v>
      </c>
      <c r="N83" s="727"/>
      <c r="O83" s="759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4.5">
      <c r="A84" s="743">
        <v>42832</v>
      </c>
      <c r="B84" s="744" t="s">
        <v>48</v>
      </c>
      <c r="C84" s="745" t="s">
        <v>69</v>
      </c>
      <c r="D84" s="746" t="s">
        <v>129</v>
      </c>
      <c r="E84" s="745" t="s">
        <v>71</v>
      </c>
      <c r="F84" s="746">
        <v>2400</v>
      </c>
      <c r="G84" s="747">
        <v>8.74</v>
      </c>
      <c r="H84" s="747">
        <v>8.6799999999999979</v>
      </c>
      <c r="I84" s="748">
        <v>158.41</v>
      </c>
      <c r="J84" s="749">
        <v>0.7599999999999999</v>
      </c>
      <c r="K84" s="745" t="s">
        <v>9</v>
      </c>
      <c r="L84" s="750"/>
      <c r="M84" s="748" t="str">
        <f t="shared" si="0"/>
        <v/>
      </c>
      <c r="N84" s="727"/>
      <c r="O84" s="759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4.5">
      <c r="A85" s="751">
        <v>42832</v>
      </c>
      <c r="B85" s="752" t="s">
        <v>47</v>
      </c>
      <c r="C85" s="753" t="s">
        <v>69</v>
      </c>
      <c r="D85" s="754" t="s">
        <v>115</v>
      </c>
      <c r="E85" s="753" t="s">
        <v>71</v>
      </c>
      <c r="F85" s="754">
        <v>2300</v>
      </c>
      <c r="G85" s="755">
        <v>9.19</v>
      </c>
      <c r="H85" s="755">
        <v>0</v>
      </c>
      <c r="I85" s="756">
        <v>0</v>
      </c>
      <c r="J85" s="757">
        <v>0</v>
      </c>
      <c r="K85" s="753" t="s">
        <v>9</v>
      </c>
      <c r="L85" s="750"/>
      <c r="M85" s="756">
        <f t="shared" si="0"/>
        <v>21137</v>
      </c>
      <c r="N85" s="727"/>
      <c r="O85" s="759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4.5">
      <c r="A86" s="751">
        <v>42835</v>
      </c>
      <c r="B86" s="752" t="s">
        <v>48</v>
      </c>
      <c r="C86" s="753" t="s">
        <v>69</v>
      </c>
      <c r="D86" s="754" t="s">
        <v>115</v>
      </c>
      <c r="E86" s="753" t="s">
        <v>71</v>
      </c>
      <c r="F86" s="754">
        <v>2300</v>
      </c>
      <c r="G86" s="755">
        <v>9.32</v>
      </c>
      <c r="H86" s="755">
        <v>9.1999999999999993</v>
      </c>
      <c r="I86" s="756">
        <v>288.14999999999998</v>
      </c>
      <c r="J86" s="757">
        <v>1.36</v>
      </c>
      <c r="K86" s="753" t="s">
        <v>9</v>
      </c>
      <c r="L86" s="750"/>
      <c r="M86" s="756" t="str">
        <f t="shared" si="0"/>
        <v/>
      </c>
      <c r="N86" s="727"/>
      <c r="O86" s="759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4.5">
      <c r="A87" s="761">
        <v>42836</v>
      </c>
      <c r="B87" s="762" t="s">
        <v>48</v>
      </c>
      <c r="C87" s="763" t="s">
        <v>69</v>
      </c>
      <c r="D87" s="763" t="s">
        <v>141</v>
      </c>
      <c r="E87" s="763" t="s">
        <v>71</v>
      </c>
      <c r="F87" s="763">
        <v>200</v>
      </c>
      <c r="G87" s="764">
        <v>6.35</v>
      </c>
      <c r="H87" s="764">
        <v>7.25</v>
      </c>
      <c r="I87" s="750">
        <v>-178.88</v>
      </c>
      <c r="J87" s="765">
        <v>-12.33</v>
      </c>
      <c r="K87" s="763" t="s">
        <v>9</v>
      </c>
      <c r="L87" s="750"/>
      <c r="M87" s="750" t="str">
        <f t="shared" si="0"/>
        <v/>
      </c>
      <c r="N87" s="727"/>
      <c r="O87" s="759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4.5">
      <c r="A88" s="751">
        <v>42836</v>
      </c>
      <c r="B88" s="752" t="s">
        <v>47</v>
      </c>
      <c r="C88" s="753" t="s">
        <v>69</v>
      </c>
      <c r="D88" s="754" t="s">
        <v>115</v>
      </c>
      <c r="E88" s="753" t="s">
        <v>71</v>
      </c>
      <c r="F88" s="754">
        <v>2300</v>
      </c>
      <c r="G88" s="755">
        <v>10.36</v>
      </c>
      <c r="H88" s="755">
        <v>0</v>
      </c>
      <c r="I88" s="756">
        <v>0</v>
      </c>
      <c r="J88" s="757">
        <v>0</v>
      </c>
      <c r="K88" s="753" t="s">
        <v>9</v>
      </c>
      <c r="L88" s="750"/>
      <c r="M88" s="756">
        <f t="shared" si="0"/>
        <v>23828</v>
      </c>
      <c r="N88" s="727"/>
      <c r="O88" s="759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4.5">
      <c r="A89" s="751">
        <v>42842</v>
      </c>
      <c r="B89" s="752" t="s">
        <v>48</v>
      </c>
      <c r="C89" s="753" t="s">
        <v>69</v>
      </c>
      <c r="D89" s="754" t="s">
        <v>115</v>
      </c>
      <c r="E89" s="753" t="s">
        <v>71</v>
      </c>
      <c r="F89" s="754">
        <v>2300</v>
      </c>
      <c r="G89" s="755">
        <v>9.76</v>
      </c>
      <c r="H89" s="755">
        <v>10.37</v>
      </c>
      <c r="I89" s="756">
        <v>-1392.04</v>
      </c>
      <c r="J89" s="757">
        <v>-5.83</v>
      </c>
      <c r="K89" s="753" t="s">
        <v>9</v>
      </c>
      <c r="L89" s="750"/>
      <c r="M89" s="756" t="str">
        <f t="shared" si="0"/>
        <v/>
      </c>
      <c r="N89" s="727"/>
      <c r="O89" s="759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4.5">
      <c r="A90" s="761">
        <v>42842</v>
      </c>
      <c r="B90" s="762" t="s">
        <v>47</v>
      </c>
      <c r="C90" s="763" t="s">
        <v>69</v>
      </c>
      <c r="D90" s="766" t="s">
        <v>132</v>
      </c>
      <c r="E90" s="763" t="s">
        <v>71</v>
      </c>
      <c r="F90" s="766">
        <v>5500</v>
      </c>
      <c r="G90" s="764">
        <v>4.0199999999999996</v>
      </c>
      <c r="H90" s="764">
        <v>0</v>
      </c>
      <c r="I90" s="750">
        <v>0</v>
      </c>
      <c r="J90" s="765">
        <v>0</v>
      </c>
      <c r="K90" s="763" t="s">
        <v>9</v>
      </c>
      <c r="L90" s="750"/>
      <c r="M90" s="750">
        <f t="shared" si="0"/>
        <v>22109.999999999996</v>
      </c>
      <c r="N90" s="727"/>
      <c r="O90" s="727"/>
    </row>
    <row r="91" spans="1:26" ht="14.5">
      <c r="A91" s="761">
        <v>42843</v>
      </c>
      <c r="B91" s="762" t="s">
        <v>48</v>
      </c>
      <c r="C91" s="763" t="s">
        <v>69</v>
      </c>
      <c r="D91" s="766" t="s">
        <v>132</v>
      </c>
      <c r="E91" s="763" t="s">
        <v>71</v>
      </c>
      <c r="F91" s="766">
        <v>5500</v>
      </c>
      <c r="G91" s="764">
        <v>3.94</v>
      </c>
      <c r="H91" s="764">
        <v>4.0199999999999996</v>
      </c>
      <c r="I91" s="750">
        <v>-419.24</v>
      </c>
      <c r="J91" s="765">
        <v>-1.89</v>
      </c>
      <c r="K91" s="763" t="s">
        <v>9</v>
      </c>
      <c r="L91" s="750"/>
      <c r="M91" s="750" t="str">
        <f t="shared" si="0"/>
        <v/>
      </c>
      <c r="N91" s="727"/>
      <c r="O91" s="727"/>
    </row>
    <row r="92" spans="1:26" ht="14.5">
      <c r="A92" s="767">
        <v>42843</v>
      </c>
      <c r="B92" s="768" t="s">
        <v>47</v>
      </c>
      <c r="C92" s="769" t="s">
        <v>69</v>
      </c>
      <c r="D92" s="770" t="s">
        <v>131</v>
      </c>
      <c r="E92" s="769" t="s">
        <v>71</v>
      </c>
      <c r="F92" s="770">
        <v>10000</v>
      </c>
      <c r="G92" s="771">
        <v>2.11</v>
      </c>
      <c r="H92" s="771">
        <v>0</v>
      </c>
      <c r="I92" s="772">
        <v>0</v>
      </c>
      <c r="J92" s="773">
        <v>0</v>
      </c>
      <c r="K92" s="769" t="s">
        <v>9</v>
      </c>
      <c r="L92" s="750"/>
      <c r="M92" s="772">
        <f t="shared" si="0"/>
        <v>21100</v>
      </c>
      <c r="N92" s="727"/>
      <c r="O92" s="727"/>
    </row>
    <row r="93" spans="1:26" ht="14.5">
      <c r="A93" s="767">
        <v>42844</v>
      </c>
      <c r="B93" s="768" t="s">
        <v>48</v>
      </c>
      <c r="C93" s="769" t="s">
        <v>69</v>
      </c>
      <c r="D93" s="770" t="s">
        <v>131</v>
      </c>
      <c r="E93" s="769" t="s">
        <v>71</v>
      </c>
      <c r="F93" s="770">
        <v>10000</v>
      </c>
      <c r="G93" s="771">
        <v>2.06</v>
      </c>
      <c r="H93" s="771">
        <v>2.11</v>
      </c>
      <c r="I93" s="772">
        <v>-433.58</v>
      </c>
      <c r="J93" s="773">
        <v>-2.0499999999999998</v>
      </c>
      <c r="K93" s="769" t="s">
        <v>9</v>
      </c>
      <c r="L93" s="750"/>
      <c r="M93" s="772" t="str">
        <f t="shared" si="0"/>
        <v/>
      </c>
      <c r="N93" s="727"/>
      <c r="O93" s="727"/>
    </row>
    <row r="94" spans="1:26" ht="14.5">
      <c r="A94" s="751">
        <v>42844</v>
      </c>
      <c r="B94" s="752" t="s">
        <v>47</v>
      </c>
      <c r="C94" s="753" t="s">
        <v>69</v>
      </c>
      <c r="D94" s="754" t="s">
        <v>115</v>
      </c>
      <c r="E94" s="753" t="s">
        <v>71</v>
      </c>
      <c r="F94" s="754">
        <v>2100</v>
      </c>
      <c r="G94" s="755">
        <v>9.83</v>
      </c>
      <c r="H94" s="755">
        <v>0</v>
      </c>
      <c r="I94" s="756">
        <v>0</v>
      </c>
      <c r="J94" s="757">
        <v>0</v>
      </c>
      <c r="K94" s="753" t="s">
        <v>9</v>
      </c>
      <c r="L94" s="750"/>
      <c r="M94" s="756">
        <f t="shared" si="0"/>
        <v>20643</v>
      </c>
      <c r="N94" s="727"/>
      <c r="O94" s="727"/>
    </row>
    <row r="95" spans="1:26" ht="14.5">
      <c r="A95" s="751">
        <v>42845</v>
      </c>
      <c r="B95" s="752" t="s">
        <v>48</v>
      </c>
      <c r="C95" s="753" t="s">
        <v>69</v>
      </c>
      <c r="D95" s="754" t="s">
        <v>115</v>
      </c>
      <c r="E95" s="753" t="s">
        <v>71</v>
      </c>
      <c r="F95" s="754">
        <v>2100</v>
      </c>
      <c r="G95" s="755">
        <v>9.94</v>
      </c>
      <c r="H95" s="755">
        <v>9.84</v>
      </c>
      <c r="I95" s="756">
        <v>218.5</v>
      </c>
      <c r="J95" s="757">
        <v>1.05</v>
      </c>
      <c r="K95" s="753" t="s">
        <v>9</v>
      </c>
      <c r="L95" s="750"/>
      <c r="M95" s="756" t="str">
        <f t="shared" si="0"/>
        <v/>
      </c>
      <c r="N95" s="727"/>
      <c r="O95" s="727"/>
    </row>
    <row r="96" spans="1:26" ht="14.5">
      <c r="A96" s="767">
        <v>42845</v>
      </c>
      <c r="B96" s="768" t="s">
        <v>47</v>
      </c>
      <c r="C96" s="769" t="s">
        <v>69</v>
      </c>
      <c r="D96" s="770" t="s">
        <v>131</v>
      </c>
      <c r="E96" s="769" t="s">
        <v>71</v>
      </c>
      <c r="F96" s="770">
        <v>12000</v>
      </c>
      <c r="G96" s="771">
        <v>2.08</v>
      </c>
      <c r="H96" s="771">
        <v>0</v>
      </c>
      <c r="I96" s="772">
        <v>0</v>
      </c>
      <c r="J96" s="773">
        <v>0</v>
      </c>
      <c r="K96" s="769" t="s">
        <v>9</v>
      </c>
      <c r="L96" s="750"/>
      <c r="M96" s="772">
        <f t="shared" si="0"/>
        <v>24960</v>
      </c>
      <c r="N96" s="727"/>
      <c r="O96" s="727"/>
    </row>
    <row r="97" spans="1:26" ht="14.5">
      <c r="A97" s="767">
        <v>42849</v>
      </c>
      <c r="B97" s="768" t="s">
        <v>48</v>
      </c>
      <c r="C97" s="769" t="s">
        <v>69</v>
      </c>
      <c r="D97" s="770" t="s">
        <v>131</v>
      </c>
      <c r="E97" s="769" t="s">
        <v>71</v>
      </c>
      <c r="F97" s="770">
        <v>12000</v>
      </c>
      <c r="G97" s="771">
        <v>2.1</v>
      </c>
      <c r="H97" s="771">
        <v>2.08</v>
      </c>
      <c r="I97" s="772">
        <v>323.64999999999998</v>
      </c>
      <c r="J97" s="773">
        <v>1.29</v>
      </c>
      <c r="K97" s="769" t="s">
        <v>9</v>
      </c>
      <c r="L97" s="750"/>
      <c r="M97" s="772" t="str">
        <f t="shared" si="0"/>
        <v/>
      </c>
      <c r="N97" s="727"/>
      <c r="O97" s="727"/>
    </row>
    <row r="98" spans="1:26" ht="14.5">
      <c r="A98" s="751">
        <v>42849</v>
      </c>
      <c r="B98" s="752" t="s">
        <v>47</v>
      </c>
      <c r="C98" s="753" t="s">
        <v>69</v>
      </c>
      <c r="D98" s="754" t="s">
        <v>115</v>
      </c>
      <c r="E98" s="753" t="s">
        <v>71</v>
      </c>
      <c r="F98" s="754">
        <v>2500</v>
      </c>
      <c r="G98" s="755">
        <v>10.130000000000001</v>
      </c>
      <c r="H98" s="755">
        <v>0</v>
      </c>
      <c r="I98" s="756">
        <v>0</v>
      </c>
      <c r="J98" s="757">
        <v>0</v>
      </c>
      <c r="K98" s="753" t="s">
        <v>9</v>
      </c>
      <c r="L98" s="750"/>
      <c r="M98" s="756">
        <f t="shared" si="0"/>
        <v>25325.000000000004</v>
      </c>
      <c r="N98" s="727"/>
      <c r="O98" s="727"/>
    </row>
    <row r="99" spans="1:26" ht="14.5">
      <c r="A99" s="751">
        <v>42850</v>
      </c>
      <c r="B99" s="752" t="s">
        <v>48</v>
      </c>
      <c r="C99" s="753" t="s">
        <v>69</v>
      </c>
      <c r="D99" s="754" t="s">
        <v>115</v>
      </c>
      <c r="E99" s="753" t="s">
        <v>71</v>
      </c>
      <c r="F99" s="754">
        <v>2500</v>
      </c>
      <c r="G99" s="755">
        <v>10.029999999999999</v>
      </c>
      <c r="H99" s="755">
        <v>10.14</v>
      </c>
      <c r="I99" s="756">
        <v>-261.38</v>
      </c>
      <c r="J99" s="757">
        <v>-1.03</v>
      </c>
      <c r="K99" s="753" t="s">
        <v>9</v>
      </c>
      <c r="L99" s="750"/>
      <c r="M99" s="756" t="str">
        <f t="shared" si="0"/>
        <v/>
      </c>
      <c r="N99" s="727"/>
      <c r="O99" s="774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4.5">
      <c r="A100" s="767">
        <v>42850</v>
      </c>
      <c r="B100" s="768" t="s">
        <v>47</v>
      </c>
      <c r="C100" s="769" t="s">
        <v>69</v>
      </c>
      <c r="D100" s="770" t="s">
        <v>131</v>
      </c>
      <c r="E100" s="769" t="s">
        <v>71</v>
      </c>
      <c r="F100" s="770">
        <v>12000</v>
      </c>
      <c r="G100" s="771">
        <v>2.15</v>
      </c>
      <c r="H100" s="771">
        <v>0</v>
      </c>
      <c r="I100" s="772">
        <v>0</v>
      </c>
      <c r="J100" s="773">
        <v>0</v>
      </c>
      <c r="K100" s="769" t="s">
        <v>9</v>
      </c>
      <c r="L100" s="750"/>
      <c r="M100" s="772">
        <f t="shared" si="0"/>
        <v>25800</v>
      </c>
      <c r="N100" s="727"/>
      <c r="O100" s="774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4.5">
      <c r="A101" s="767">
        <v>42851</v>
      </c>
      <c r="B101" s="768" t="s">
        <v>48</v>
      </c>
      <c r="C101" s="769" t="s">
        <v>69</v>
      </c>
      <c r="D101" s="770" t="s">
        <v>131</v>
      </c>
      <c r="E101" s="769" t="s">
        <v>71</v>
      </c>
      <c r="F101" s="770">
        <v>12000</v>
      </c>
      <c r="G101" s="771">
        <v>2.0499999999999998</v>
      </c>
      <c r="H101" s="771">
        <v>2.15</v>
      </c>
      <c r="I101" s="772">
        <v>-1116.4100000000001</v>
      </c>
      <c r="J101" s="773">
        <v>-4.32</v>
      </c>
      <c r="K101" s="769" t="s">
        <v>9</v>
      </c>
      <c r="L101" s="750"/>
      <c r="M101" s="772" t="str">
        <f t="shared" si="0"/>
        <v/>
      </c>
      <c r="N101" s="727"/>
      <c r="O101" s="774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4.5">
      <c r="A102" s="751">
        <v>42851</v>
      </c>
      <c r="B102" s="752" t="s">
        <v>47</v>
      </c>
      <c r="C102" s="753" t="s">
        <v>69</v>
      </c>
      <c r="D102" s="754" t="s">
        <v>115</v>
      </c>
      <c r="E102" s="753" t="s">
        <v>71</v>
      </c>
      <c r="F102" s="754">
        <v>2500</v>
      </c>
      <c r="G102" s="755">
        <v>9.92</v>
      </c>
      <c r="H102" s="755">
        <v>0</v>
      </c>
      <c r="I102" s="756">
        <v>0</v>
      </c>
      <c r="J102" s="757">
        <v>0</v>
      </c>
      <c r="K102" s="753" t="s">
        <v>9</v>
      </c>
      <c r="L102" s="750"/>
      <c r="M102" s="756">
        <f t="shared" si="0"/>
        <v>24800</v>
      </c>
      <c r="N102" s="549" t="s">
        <v>21</v>
      </c>
      <c r="O102" s="550">
        <f>AVERAGE(M76:M103)</f>
        <v>18860.133333333335</v>
      </c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4.5">
      <c r="A103" s="751">
        <v>42852</v>
      </c>
      <c r="B103" s="752" t="s">
        <v>48</v>
      </c>
      <c r="C103" s="753" t="s">
        <v>69</v>
      </c>
      <c r="D103" s="753" t="s">
        <v>115</v>
      </c>
      <c r="E103" s="753" t="s">
        <v>71</v>
      </c>
      <c r="F103" s="753">
        <v>300</v>
      </c>
      <c r="G103" s="755">
        <v>9.89</v>
      </c>
      <c r="H103" s="755">
        <v>9.93</v>
      </c>
      <c r="I103" s="756">
        <v>-10.130000000000001</v>
      </c>
      <c r="J103" s="757">
        <v>-0.34000000000000008</v>
      </c>
      <c r="K103" s="753" t="s">
        <v>9</v>
      </c>
      <c r="L103" s="750"/>
      <c r="M103" s="756" t="str">
        <f t="shared" si="0"/>
        <v/>
      </c>
      <c r="N103" s="551" t="s">
        <v>102</v>
      </c>
      <c r="O103" s="552">
        <v>0</v>
      </c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4.5">
      <c r="A104" s="751">
        <v>42852</v>
      </c>
      <c r="B104" s="752" t="s">
        <v>48</v>
      </c>
      <c r="C104" s="753" t="s">
        <v>69</v>
      </c>
      <c r="D104" s="754" t="s">
        <v>115</v>
      </c>
      <c r="E104" s="753" t="s">
        <v>71</v>
      </c>
      <c r="F104" s="754">
        <v>2200</v>
      </c>
      <c r="G104" s="755">
        <v>9.85</v>
      </c>
      <c r="H104" s="755">
        <v>9.93</v>
      </c>
      <c r="I104" s="756">
        <v>-164.94</v>
      </c>
      <c r="J104" s="757">
        <v>-0.75</v>
      </c>
      <c r="K104" s="753" t="s">
        <v>9</v>
      </c>
      <c r="L104" s="760">
        <f>SUM(I76:I104)</f>
        <v>-2549.1600000000003</v>
      </c>
      <c r="M104" s="756" t="str">
        <f t="shared" si="0"/>
        <v/>
      </c>
      <c r="N104" s="553" t="s">
        <v>126</v>
      </c>
      <c r="O104" s="554">
        <f>(L104-O103)/O102</f>
        <v>-0.13516129260309223</v>
      </c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4.5">
      <c r="A105" s="719">
        <v>42857</v>
      </c>
      <c r="B105" s="720" t="s">
        <v>47</v>
      </c>
      <c r="C105" s="721" t="s">
        <v>69</v>
      </c>
      <c r="D105" s="722" t="s">
        <v>115</v>
      </c>
      <c r="E105" s="721" t="s">
        <v>71</v>
      </c>
      <c r="F105" s="722">
        <v>2000</v>
      </c>
      <c r="G105" s="723">
        <v>10.67</v>
      </c>
      <c r="H105" s="723">
        <v>0</v>
      </c>
      <c r="I105" s="724">
        <v>0</v>
      </c>
      <c r="J105" s="725">
        <v>0</v>
      </c>
      <c r="K105" s="721" t="s">
        <v>9</v>
      </c>
      <c r="L105" s="726"/>
      <c r="M105" s="724">
        <f t="shared" si="0"/>
        <v>21340</v>
      </c>
      <c r="N105" s="727"/>
      <c r="O105" s="774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4.5">
      <c r="A106" s="719">
        <v>42858</v>
      </c>
      <c r="B106" s="720" t="s">
        <v>48</v>
      </c>
      <c r="C106" s="721" t="s">
        <v>69</v>
      </c>
      <c r="D106" s="722" t="s">
        <v>115</v>
      </c>
      <c r="E106" s="721" t="s">
        <v>71</v>
      </c>
      <c r="F106" s="722">
        <v>2000</v>
      </c>
      <c r="G106" s="723">
        <v>10.84</v>
      </c>
      <c r="H106" s="723">
        <v>10.68</v>
      </c>
      <c r="I106" s="724">
        <v>326.01</v>
      </c>
      <c r="J106" s="725">
        <v>1.52</v>
      </c>
      <c r="K106" s="721" t="s">
        <v>9</v>
      </c>
      <c r="L106" s="726"/>
      <c r="M106" s="724" t="str">
        <f t="shared" si="0"/>
        <v/>
      </c>
      <c r="N106" s="727"/>
      <c r="O106" s="774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4.5">
      <c r="A107" s="775">
        <v>42858</v>
      </c>
      <c r="B107" s="776" t="s">
        <v>47</v>
      </c>
      <c r="C107" s="777" t="s">
        <v>69</v>
      </c>
      <c r="D107" s="778" t="s">
        <v>131</v>
      </c>
      <c r="E107" s="777" t="s">
        <v>71</v>
      </c>
      <c r="F107" s="778">
        <v>9000</v>
      </c>
      <c r="G107" s="779">
        <v>2.4</v>
      </c>
      <c r="H107" s="779">
        <v>0</v>
      </c>
      <c r="I107" s="780">
        <v>0</v>
      </c>
      <c r="J107" s="781">
        <v>0</v>
      </c>
      <c r="K107" s="777" t="s">
        <v>9</v>
      </c>
      <c r="L107" s="726"/>
      <c r="M107" s="780">
        <f t="shared" si="0"/>
        <v>21600</v>
      </c>
      <c r="N107" s="727"/>
      <c r="O107" s="774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4.5">
      <c r="A108" s="775">
        <v>42859</v>
      </c>
      <c r="B108" s="776" t="s">
        <v>48</v>
      </c>
      <c r="C108" s="777" t="s">
        <v>69</v>
      </c>
      <c r="D108" s="778" t="s">
        <v>131</v>
      </c>
      <c r="E108" s="777" t="s">
        <v>71</v>
      </c>
      <c r="F108" s="778">
        <v>9000</v>
      </c>
      <c r="G108" s="779">
        <v>2.4300000000000002</v>
      </c>
      <c r="H108" s="779">
        <v>2.4</v>
      </c>
      <c r="I108" s="780">
        <v>325.83999999999997</v>
      </c>
      <c r="J108" s="781">
        <v>1.5</v>
      </c>
      <c r="K108" s="777" t="s">
        <v>9</v>
      </c>
      <c r="L108" s="726"/>
      <c r="M108" s="780" t="str">
        <f t="shared" si="0"/>
        <v/>
      </c>
      <c r="N108" s="727"/>
      <c r="O108" s="774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4.5">
      <c r="A109" s="719">
        <v>42859</v>
      </c>
      <c r="B109" s="720" t="s">
        <v>47</v>
      </c>
      <c r="C109" s="721" t="s">
        <v>69</v>
      </c>
      <c r="D109" s="722" t="s">
        <v>115</v>
      </c>
      <c r="E109" s="721" t="s">
        <v>71</v>
      </c>
      <c r="F109" s="722">
        <v>2000</v>
      </c>
      <c r="G109" s="723">
        <v>10.44</v>
      </c>
      <c r="H109" s="723">
        <v>0</v>
      </c>
      <c r="I109" s="724">
        <v>0</v>
      </c>
      <c r="J109" s="725">
        <v>0</v>
      </c>
      <c r="K109" s="721" t="s">
        <v>9</v>
      </c>
      <c r="L109" s="726"/>
      <c r="M109" s="724">
        <f t="shared" si="0"/>
        <v>20880</v>
      </c>
      <c r="N109" s="727"/>
      <c r="O109" s="727"/>
    </row>
    <row r="110" spans="1:26" ht="14.5">
      <c r="A110" s="719">
        <v>42860</v>
      </c>
      <c r="B110" s="720" t="s">
        <v>48</v>
      </c>
      <c r="C110" s="721" t="s">
        <v>69</v>
      </c>
      <c r="D110" s="722" t="s">
        <v>115</v>
      </c>
      <c r="E110" s="721" t="s">
        <v>71</v>
      </c>
      <c r="F110" s="722">
        <v>2000</v>
      </c>
      <c r="G110" s="723">
        <v>10.65</v>
      </c>
      <c r="H110" s="723">
        <v>10.45</v>
      </c>
      <c r="I110" s="724">
        <v>406.28</v>
      </c>
      <c r="J110" s="725">
        <v>1.94</v>
      </c>
      <c r="K110" s="721" t="s">
        <v>9</v>
      </c>
      <c r="L110" s="726"/>
      <c r="M110" s="724" t="str">
        <f t="shared" si="0"/>
        <v/>
      </c>
      <c r="N110" s="727"/>
      <c r="O110" s="727"/>
    </row>
    <row r="111" spans="1:26" ht="14.5">
      <c r="A111" s="775">
        <v>42860</v>
      </c>
      <c r="B111" s="776" t="s">
        <v>47</v>
      </c>
      <c r="C111" s="777" t="s">
        <v>69</v>
      </c>
      <c r="D111" s="778" t="s">
        <v>131</v>
      </c>
      <c r="E111" s="777" t="s">
        <v>71</v>
      </c>
      <c r="F111" s="778">
        <v>10000</v>
      </c>
      <c r="G111" s="779">
        <v>2.23</v>
      </c>
      <c r="H111" s="779">
        <v>0</v>
      </c>
      <c r="I111" s="780">
        <v>0</v>
      </c>
      <c r="J111" s="781">
        <v>0</v>
      </c>
      <c r="K111" s="777" t="s">
        <v>9</v>
      </c>
      <c r="L111" s="726"/>
      <c r="M111" s="780">
        <f t="shared" si="0"/>
        <v>22300</v>
      </c>
      <c r="N111" s="727"/>
      <c r="O111" s="727"/>
    </row>
    <row r="112" spans="1:26" ht="14.5">
      <c r="A112" s="775">
        <v>42863</v>
      </c>
      <c r="B112" s="776" t="s">
        <v>48</v>
      </c>
      <c r="C112" s="777" t="s">
        <v>69</v>
      </c>
      <c r="D112" s="778" t="s">
        <v>131</v>
      </c>
      <c r="E112" s="777" t="s">
        <v>71</v>
      </c>
      <c r="F112" s="778">
        <v>10000</v>
      </c>
      <c r="G112" s="779">
        <v>2.2599999999999998</v>
      </c>
      <c r="H112" s="779">
        <v>2.23</v>
      </c>
      <c r="I112" s="780">
        <v>365.37</v>
      </c>
      <c r="J112" s="781">
        <v>1.6299999999999997</v>
      </c>
      <c r="K112" s="777" t="s">
        <v>9</v>
      </c>
      <c r="L112" s="726"/>
      <c r="M112" s="780" t="str">
        <f t="shared" si="0"/>
        <v/>
      </c>
      <c r="N112" s="727"/>
      <c r="O112" s="727"/>
    </row>
    <row r="113" spans="1:15" ht="14.5">
      <c r="A113" s="719">
        <v>42863</v>
      </c>
      <c r="B113" s="720" t="s">
        <v>47</v>
      </c>
      <c r="C113" s="721" t="s">
        <v>69</v>
      </c>
      <c r="D113" s="722" t="s">
        <v>115</v>
      </c>
      <c r="E113" s="721" t="s">
        <v>71</v>
      </c>
      <c r="F113" s="722">
        <v>2000</v>
      </c>
      <c r="G113" s="723">
        <v>11.13</v>
      </c>
      <c r="H113" s="723">
        <v>0</v>
      </c>
      <c r="I113" s="724">
        <v>0</v>
      </c>
      <c r="J113" s="725">
        <v>0</v>
      </c>
      <c r="K113" s="721" t="s">
        <v>9</v>
      </c>
      <c r="L113" s="726"/>
      <c r="M113" s="724">
        <f t="shared" si="0"/>
        <v>22260</v>
      </c>
      <c r="N113" s="727"/>
      <c r="O113" s="727"/>
    </row>
    <row r="114" spans="1:15" ht="14.5">
      <c r="A114" s="719">
        <v>42864</v>
      </c>
      <c r="B114" s="720" t="s">
        <v>48</v>
      </c>
      <c r="C114" s="721" t="s">
        <v>69</v>
      </c>
      <c r="D114" s="722" t="s">
        <v>115</v>
      </c>
      <c r="E114" s="721" t="s">
        <v>71</v>
      </c>
      <c r="F114" s="722">
        <v>2000</v>
      </c>
      <c r="G114" s="723">
        <v>11.33</v>
      </c>
      <c r="H114" s="723">
        <v>11.14</v>
      </c>
      <c r="I114" s="724">
        <v>385.39</v>
      </c>
      <c r="J114" s="725">
        <v>1.72</v>
      </c>
      <c r="K114" s="721" t="s">
        <v>9</v>
      </c>
      <c r="L114" s="726"/>
      <c r="M114" s="724" t="str">
        <f t="shared" si="0"/>
        <v/>
      </c>
      <c r="N114" s="727"/>
      <c r="O114" s="727"/>
    </row>
    <row r="115" spans="1:15" ht="14.5">
      <c r="A115" s="775">
        <v>42864</v>
      </c>
      <c r="B115" s="776" t="s">
        <v>47</v>
      </c>
      <c r="C115" s="777" t="s">
        <v>69</v>
      </c>
      <c r="D115" s="778" t="s">
        <v>131</v>
      </c>
      <c r="E115" s="777" t="s">
        <v>71</v>
      </c>
      <c r="F115" s="778">
        <v>10000</v>
      </c>
      <c r="G115" s="779">
        <v>2.36</v>
      </c>
      <c r="H115" s="779">
        <v>0</v>
      </c>
      <c r="I115" s="780">
        <v>0</v>
      </c>
      <c r="J115" s="781">
        <v>0</v>
      </c>
      <c r="K115" s="777" t="s">
        <v>9</v>
      </c>
      <c r="L115" s="726"/>
      <c r="M115" s="780">
        <f t="shared" si="0"/>
        <v>23600</v>
      </c>
      <c r="N115" s="727"/>
      <c r="O115" s="727"/>
    </row>
    <row r="116" spans="1:15" ht="14.5">
      <c r="A116" s="775">
        <v>42865</v>
      </c>
      <c r="B116" s="776" t="s">
        <v>48</v>
      </c>
      <c r="C116" s="777" t="s">
        <v>69</v>
      </c>
      <c r="D116" s="778" t="s">
        <v>131</v>
      </c>
      <c r="E116" s="777" t="s">
        <v>71</v>
      </c>
      <c r="F116" s="778">
        <v>10000</v>
      </c>
      <c r="G116" s="779">
        <v>2.42</v>
      </c>
      <c r="H116" s="779">
        <v>2.36</v>
      </c>
      <c r="I116" s="780">
        <v>663.94000000000017</v>
      </c>
      <c r="J116" s="781">
        <v>2.81</v>
      </c>
      <c r="K116" s="777" t="s">
        <v>9</v>
      </c>
      <c r="L116" s="726"/>
      <c r="M116" s="780" t="str">
        <f t="shared" si="0"/>
        <v/>
      </c>
      <c r="N116" s="727"/>
      <c r="O116" s="727"/>
    </row>
    <row r="117" spans="1:15" ht="14.5">
      <c r="A117" s="719">
        <v>42865</v>
      </c>
      <c r="B117" s="720" t="s">
        <v>47</v>
      </c>
      <c r="C117" s="721" t="s">
        <v>69</v>
      </c>
      <c r="D117" s="722" t="s">
        <v>115</v>
      </c>
      <c r="E117" s="721" t="s">
        <v>71</v>
      </c>
      <c r="F117" s="722">
        <v>2300</v>
      </c>
      <c r="G117" s="723">
        <v>10.42</v>
      </c>
      <c r="H117" s="723">
        <v>0</v>
      </c>
      <c r="I117" s="724">
        <v>0</v>
      </c>
      <c r="J117" s="725">
        <v>0</v>
      </c>
      <c r="K117" s="721" t="s">
        <v>9</v>
      </c>
      <c r="L117" s="726"/>
      <c r="M117" s="724">
        <f t="shared" si="0"/>
        <v>23966</v>
      </c>
      <c r="N117" s="727"/>
      <c r="O117" s="727"/>
    </row>
    <row r="118" spans="1:15" ht="14.5">
      <c r="A118" s="719">
        <v>42866</v>
      </c>
      <c r="B118" s="720" t="s">
        <v>48</v>
      </c>
      <c r="C118" s="721" t="s">
        <v>69</v>
      </c>
      <c r="D118" s="722" t="s">
        <v>115</v>
      </c>
      <c r="E118" s="721" t="s">
        <v>71</v>
      </c>
      <c r="F118" s="722">
        <v>2300</v>
      </c>
      <c r="G118" s="723">
        <v>9.9700000000000006</v>
      </c>
      <c r="H118" s="723">
        <v>10.43</v>
      </c>
      <c r="I118" s="724">
        <v>-1047.24</v>
      </c>
      <c r="J118" s="725">
        <v>-4.3600000000000003</v>
      </c>
      <c r="K118" s="721" t="s">
        <v>9</v>
      </c>
      <c r="L118" s="726"/>
      <c r="M118" s="724" t="str">
        <f t="shared" si="0"/>
        <v/>
      </c>
      <c r="N118" s="727"/>
      <c r="O118" s="727"/>
    </row>
    <row r="119" spans="1:15" ht="14.5">
      <c r="A119" s="775">
        <v>42866</v>
      </c>
      <c r="B119" s="776" t="s">
        <v>47</v>
      </c>
      <c r="C119" s="777" t="s">
        <v>69</v>
      </c>
      <c r="D119" s="778" t="s">
        <v>131</v>
      </c>
      <c r="E119" s="777" t="s">
        <v>71</v>
      </c>
      <c r="F119" s="778">
        <v>10600</v>
      </c>
      <c r="G119" s="779">
        <v>2.19</v>
      </c>
      <c r="H119" s="779">
        <v>0</v>
      </c>
      <c r="I119" s="780">
        <v>0</v>
      </c>
      <c r="J119" s="781">
        <v>0</v>
      </c>
      <c r="K119" s="777" t="s">
        <v>9</v>
      </c>
      <c r="L119" s="726"/>
      <c r="M119" s="780">
        <f t="shared" si="0"/>
        <v>23214</v>
      </c>
      <c r="N119" s="727"/>
      <c r="O119" s="727"/>
    </row>
    <row r="120" spans="1:15" ht="14.5">
      <c r="A120" s="775">
        <v>42867</v>
      </c>
      <c r="B120" s="776" t="s">
        <v>48</v>
      </c>
      <c r="C120" s="777" t="s">
        <v>69</v>
      </c>
      <c r="D120" s="778" t="s">
        <v>131</v>
      </c>
      <c r="E120" s="777" t="s">
        <v>71</v>
      </c>
      <c r="F120" s="778">
        <v>1100</v>
      </c>
      <c r="G120" s="779">
        <v>2.2200000000000002</v>
      </c>
      <c r="H120" s="779">
        <v>2.19</v>
      </c>
      <c r="I120" s="780">
        <v>31.38</v>
      </c>
      <c r="J120" s="781">
        <v>1.3</v>
      </c>
      <c r="K120" s="777" t="s">
        <v>9</v>
      </c>
      <c r="L120" s="726"/>
      <c r="M120" s="780" t="str">
        <f t="shared" si="0"/>
        <v/>
      </c>
      <c r="N120" s="727"/>
      <c r="O120" s="727"/>
    </row>
    <row r="121" spans="1:15" ht="14.5">
      <c r="A121" s="775">
        <v>42867</v>
      </c>
      <c r="B121" s="776" t="s">
        <v>48</v>
      </c>
      <c r="C121" s="777" t="s">
        <v>69</v>
      </c>
      <c r="D121" s="778" t="s">
        <v>131</v>
      </c>
      <c r="E121" s="777" t="s">
        <v>71</v>
      </c>
      <c r="F121" s="778">
        <v>9500</v>
      </c>
      <c r="G121" s="779">
        <v>2.19</v>
      </c>
      <c r="H121" s="779">
        <v>2.19</v>
      </c>
      <c r="I121" s="780">
        <v>62.48</v>
      </c>
      <c r="J121" s="781">
        <v>0.3</v>
      </c>
      <c r="K121" s="777" t="s">
        <v>9</v>
      </c>
      <c r="L121" s="726"/>
      <c r="M121" s="780" t="str">
        <f t="shared" si="0"/>
        <v/>
      </c>
      <c r="N121" s="727"/>
      <c r="O121" s="727"/>
    </row>
    <row r="122" spans="1:15" ht="14.5">
      <c r="A122" s="719">
        <v>42867</v>
      </c>
      <c r="B122" s="720" t="s">
        <v>47</v>
      </c>
      <c r="C122" s="721" t="s">
        <v>69</v>
      </c>
      <c r="D122" s="722" t="s">
        <v>115</v>
      </c>
      <c r="E122" s="721" t="s">
        <v>71</v>
      </c>
      <c r="F122" s="722">
        <v>2200</v>
      </c>
      <c r="G122" s="723">
        <v>10.19</v>
      </c>
      <c r="H122" s="723">
        <v>0</v>
      </c>
      <c r="I122" s="724">
        <v>0</v>
      </c>
      <c r="J122" s="725">
        <v>0</v>
      </c>
      <c r="K122" s="721" t="s">
        <v>9</v>
      </c>
      <c r="L122" s="726"/>
      <c r="M122" s="724">
        <f t="shared" si="0"/>
        <v>22418</v>
      </c>
      <c r="N122" s="727"/>
      <c r="O122" s="727"/>
    </row>
    <row r="123" spans="1:15" ht="14.5">
      <c r="A123" s="719">
        <v>42870</v>
      </c>
      <c r="B123" s="720" t="s">
        <v>48</v>
      </c>
      <c r="C123" s="721" t="s">
        <v>69</v>
      </c>
      <c r="D123" s="722" t="s">
        <v>115</v>
      </c>
      <c r="E123" s="721" t="s">
        <v>71</v>
      </c>
      <c r="F123" s="722">
        <v>2200</v>
      </c>
      <c r="G123" s="723">
        <v>10.37</v>
      </c>
      <c r="H123" s="723">
        <v>10.199999999999999</v>
      </c>
      <c r="I123" s="724">
        <v>383.29</v>
      </c>
      <c r="J123" s="725">
        <v>1.7</v>
      </c>
      <c r="K123" s="721" t="s">
        <v>9</v>
      </c>
      <c r="L123" s="726"/>
      <c r="M123" s="724" t="str">
        <f t="shared" si="0"/>
        <v/>
      </c>
      <c r="N123" s="727"/>
      <c r="O123" s="727"/>
    </row>
    <row r="124" spans="1:15" ht="14.5">
      <c r="A124" s="775">
        <v>42870</v>
      </c>
      <c r="B124" s="776" t="s">
        <v>47</v>
      </c>
      <c r="C124" s="777" t="s">
        <v>69</v>
      </c>
      <c r="D124" s="778" t="s">
        <v>131</v>
      </c>
      <c r="E124" s="777" t="s">
        <v>71</v>
      </c>
      <c r="F124" s="778">
        <v>9000</v>
      </c>
      <c r="G124" s="779">
        <v>2.2999999999999998</v>
      </c>
      <c r="H124" s="779">
        <v>0</v>
      </c>
      <c r="I124" s="780">
        <v>0</v>
      </c>
      <c r="J124" s="781">
        <v>0</v>
      </c>
      <c r="K124" s="777" t="s">
        <v>9</v>
      </c>
      <c r="L124" s="726"/>
      <c r="M124" s="780">
        <f t="shared" si="0"/>
        <v>20700</v>
      </c>
      <c r="N124" s="727"/>
      <c r="O124" s="727"/>
    </row>
    <row r="125" spans="1:15" ht="14.5">
      <c r="A125" s="775">
        <v>42871</v>
      </c>
      <c r="B125" s="776" t="s">
        <v>48</v>
      </c>
      <c r="C125" s="777" t="s">
        <v>69</v>
      </c>
      <c r="D125" s="778" t="s">
        <v>131</v>
      </c>
      <c r="E125" s="777" t="s">
        <v>71</v>
      </c>
      <c r="F125" s="778">
        <v>9000</v>
      </c>
      <c r="G125" s="779">
        <v>2.33</v>
      </c>
      <c r="H125" s="779">
        <v>2.2999999999999998</v>
      </c>
      <c r="I125" s="780">
        <v>326.42</v>
      </c>
      <c r="J125" s="781">
        <v>1.57</v>
      </c>
      <c r="K125" s="777" t="s">
        <v>9</v>
      </c>
      <c r="L125" s="726"/>
      <c r="M125" s="780" t="str">
        <f t="shared" si="0"/>
        <v/>
      </c>
      <c r="N125" s="727"/>
      <c r="O125" s="727"/>
    </row>
    <row r="126" spans="1:15" ht="14.5">
      <c r="A126" s="719">
        <v>42871</v>
      </c>
      <c r="B126" s="720" t="s">
        <v>47</v>
      </c>
      <c r="C126" s="721" t="s">
        <v>69</v>
      </c>
      <c r="D126" s="722" t="s">
        <v>115</v>
      </c>
      <c r="E126" s="721" t="s">
        <v>71</v>
      </c>
      <c r="F126" s="722">
        <v>2000</v>
      </c>
      <c r="G126" s="723">
        <v>10.07</v>
      </c>
      <c r="H126" s="723">
        <v>0</v>
      </c>
      <c r="I126" s="724">
        <v>0</v>
      </c>
      <c r="J126" s="725">
        <v>0</v>
      </c>
      <c r="K126" s="721" t="s">
        <v>9</v>
      </c>
      <c r="L126" s="726"/>
      <c r="M126" s="724">
        <f t="shared" si="0"/>
        <v>20140</v>
      </c>
      <c r="N126" s="727"/>
      <c r="O126" s="727"/>
    </row>
    <row r="127" spans="1:15" ht="14.5">
      <c r="A127" s="719">
        <v>42872</v>
      </c>
      <c r="B127" s="720" t="s">
        <v>48</v>
      </c>
      <c r="C127" s="721" t="s">
        <v>69</v>
      </c>
      <c r="D127" s="721" t="s">
        <v>115</v>
      </c>
      <c r="E127" s="721" t="s">
        <v>71</v>
      </c>
      <c r="F127" s="722">
        <v>700</v>
      </c>
      <c r="G127" s="723">
        <v>10.1</v>
      </c>
      <c r="H127" s="723">
        <v>10.08</v>
      </c>
      <c r="I127" s="724">
        <v>16.899999999999995</v>
      </c>
      <c r="J127" s="725">
        <v>0.23000000000000004</v>
      </c>
      <c r="K127" s="721" t="s">
        <v>9</v>
      </c>
      <c r="L127" s="726"/>
      <c r="M127" s="724" t="str">
        <f t="shared" si="0"/>
        <v/>
      </c>
      <c r="N127" s="727"/>
      <c r="O127" s="727"/>
    </row>
    <row r="128" spans="1:15" ht="14.5">
      <c r="A128" s="719">
        <v>42872</v>
      </c>
      <c r="B128" s="720" t="s">
        <v>48</v>
      </c>
      <c r="C128" s="721" t="s">
        <v>69</v>
      </c>
      <c r="D128" s="722" t="s">
        <v>115</v>
      </c>
      <c r="E128" s="721" t="s">
        <v>71</v>
      </c>
      <c r="F128" s="722">
        <v>1300</v>
      </c>
      <c r="G128" s="723">
        <v>10.029999999999999</v>
      </c>
      <c r="H128" s="723">
        <v>10.08</v>
      </c>
      <c r="I128" s="724">
        <v>-51</v>
      </c>
      <c r="J128" s="725">
        <v>-0.38</v>
      </c>
      <c r="K128" s="721" t="s">
        <v>9</v>
      </c>
      <c r="L128" s="726"/>
      <c r="M128" s="724" t="str">
        <f t="shared" si="0"/>
        <v/>
      </c>
      <c r="N128" s="727"/>
      <c r="O128" s="727"/>
    </row>
    <row r="129" spans="1:26" ht="14.5">
      <c r="A129" s="775">
        <v>42872</v>
      </c>
      <c r="B129" s="776" t="s">
        <v>47</v>
      </c>
      <c r="C129" s="777" t="s">
        <v>69</v>
      </c>
      <c r="D129" s="778" t="s">
        <v>131</v>
      </c>
      <c r="E129" s="777" t="s">
        <v>71</v>
      </c>
      <c r="F129" s="778">
        <v>9000</v>
      </c>
      <c r="G129" s="779">
        <v>2.2400000000000002</v>
      </c>
      <c r="H129" s="779">
        <v>0</v>
      </c>
      <c r="I129" s="780">
        <v>0</v>
      </c>
      <c r="J129" s="781">
        <v>0</v>
      </c>
      <c r="K129" s="777" t="s">
        <v>9</v>
      </c>
      <c r="L129" s="726"/>
      <c r="M129" s="780">
        <f t="shared" si="0"/>
        <v>20160.000000000004</v>
      </c>
      <c r="N129" s="727"/>
      <c r="O129" s="727"/>
    </row>
    <row r="130" spans="1:26" ht="14.5">
      <c r="A130" s="775">
        <v>42873</v>
      </c>
      <c r="B130" s="776" t="s">
        <v>48</v>
      </c>
      <c r="C130" s="777" t="s">
        <v>69</v>
      </c>
      <c r="D130" s="778" t="s">
        <v>131</v>
      </c>
      <c r="E130" s="777" t="s">
        <v>71</v>
      </c>
      <c r="F130" s="778">
        <v>9000</v>
      </c>
      <c r="G130" s="779">
        <v>2.0099999999999998</v>
      </c>
      <c r="H130" s="779">
        <v>2.2400000000000002</v>
      </c>
      <c r="I130" s="780">
        <v>-2012.46</v>
      </c>
      <c r="J130" s="781">
        <v>-9.9700000000000006</v>
      </c>
      <c r="K130" s="777" t="s">
        <v>9</v>
      </c>
      <c r="L130" s="726"/>
      <c r="M130" s="780" t="str">
        <f t="shared" si="0"/>
        <v/>
      </c>
      <c r="N130" s="727"/>
      <c r="O130" s="727"/>
    </row>
    <row r="131" spans="1:26" ht="14.5">
      <c r="A131" s="719">
        <v>42879</v>
      </c>
      <c r="B131" s="720" t="s">
        <v>47</v>
      </c>
      <c r="C131" s="721" t="s">
        <v>69</v>
      </c>
      <c r="D131" s="722" t="s">
        <v>115</v>
      </c>
      <c r="E131" s="721" t="s">
        <v>71</v>
      </c>
      <c r="F131" s="722">
        <v>2600</v>
      </c>
      <c r="G131" s="723">
        <v>7.84</v>
      </c>
      <c r="H131" s="723">
        <v>0</v>
      </c>
      <c r="I131" s="724">
        <v>0</v>
      </c>
      <c r="J131" s="725">
        <v>0</v>
      </c>
      <c r="K131" s="721" t="s">
        <v>9</v>
      </c>
      <c r="L131" s="726"/>
      <c r="M131" s="724">
        <f t="shared" si="0"/>
        <v>20384</v>
      </c>
      <c r="N131" s="727"/>
      <c r="O131" s="727"/>
    </row>
    <row r="132" spans="1:26" ht="14.5">
      <c r="A132" s="719">
        <v>42880</v>
      </c>
      <c r="B132" s="720" t="s">
        <v>48</v>
      </c>
      <c r="C132" s="721" t="s">
        <v>69</v>
      </c>
      <c r="D132" s="722" t="s">
        <v>115</v>
      </c>
      <c r="E132" s="721" t="s">
        <v>71</v>
      </c>
      <c r="F132" s="722">
        <v>2600</v>
      </c>
      <c r="G132" s="723">
        <v>7.99</v>
      </c>
      <c r="H132" s="723">
        <v>7.8499999999999988</v>
      </c>
      <c r="I132" s="724">
        <v>382.61</v>
      </c>
      <c r="J132" s="725">
        <v>1.87</v>
      </c>
      <c r="K132" s="721" t="s">
        <v>9</v>
      </c>
      <c r="L132" s="726"/>
      <c r="M132" s="724" t="str">
        <f t="shared" si="0"/>
        <v/>
      </c>
      <c r="N132" s="727"/>
      <c r="O132" s="727"/>
    </row>
    <row r="133" spans="1:26" ht="14.5">
      <c r="A133" s="775">
        <v>42880</v>
      </c>
      <c r="B133" s="776" t="s">
        <v>47</v>
      </c>
      <c r="C133" s="777" t="s">
        <v>69</v>
      </c>
      <c r="D133" s="778" t="s">
        <v>131</v>
      </c>
      <c r="E133" s="777" t="s">
        <v>71</v>
      </c>
      <c r="F133" s="778">
        <v>10000</v>
      </c>
      <c r="G133" s="779">
        <v>2.0499999999999998</v>
      </c>
      <c r="H133" s="779">
        <v>0</v>
      </c>
      <c r="I133" s="780">
        <v>0</v>
      </c>
      <c r="J133" s="781">
        <v>0</v>
      </c>
      <c r="K133" s="777" t="s">
        <v>9</v>
      </c>
      <c r="L133" s="726"/>
      <c r="M133" s="780">
        <f t="shared" si="0"/>
        <v>20500</v>
      </c>
      <c r="N133" s="727"/>
      <c r="O133" s="727"/>
    </row>
    <row r="134" spans="1:26" ht="14.5">
      <c r="A134" s="775">
        <v>42881</v>
      </c>
      <c r="B134" s="776" t="s">
        <v>48</v>
      </c>
      <c r="C134" s="777" t="s">
        <v>69</v>
      </c>
      <c r="D134" s="778" t="s">
        <v>131</v>
      </c>
      <c r="E134" s="777" t="s">
        <v>71</v>
      </c>
      <c r="F134" s="778">
        <v>10000</v>
      </c>
      <c r="G134" s="779">
        <v>2.0299999999999998</v>
      </c>
      <c r="H134" s="779">
        <v>2.0499999999999998</v>
      </c>
      <c r="I134" s="780">
        <v>-133.29</v>
      </c>
      <c r="J134" s="781">
        <v>-0.64</v>
      </c>
      <c r="K134" s="777" t="s">
        <v>9</v>
      </c>
      <c r="L134" s="726"/>
      <c r="M134" s="780" t="str">
        <f t="shared" si="0"/>
        <v/>
      </c>
      <c r="N134" s="727"/>
      <c r="O134" s="727"/>
    </row>
    <row r="135" spans="1:26" ht="14.5">
      <c r="A135" s="719">
        <v>42881</v>
      </c>
      <c r="B135" s="720" t="s">
        <v>47</v>
      </c>
      <c r="C135" s="721" t="s">
        <v>69</v>
      </c>
      <c r="D135" s="722" t="s">
        <v>115</v>
      </c>
      <c r="E135" s="721" t="s">
        <v>71</v>
      </c>
      <c r="F135" s="722">
        <v>2600</v>
      </c>
      <c r="G135" s="723">
        <v>7.87</v>
      </c>
      <c r="H135" s="723">
        <v>0</v>
      </c>
      <c r="I135" s="724">
        <v>0</v>
      </c>
      <c r="J135" s="725">
        <v>0</v>
      </c>
      <c r="K135" s="721" t="s">
        <v>9</v>
      </c>
      <c r="L135" s="726"/>
      <c r="M135" s="724">
        <f t="shared" si="0"/>
        <v>20462</v>
      </c>
      <c r="N135" s="727"/>
      <c r="O135" s="727"/>
    </row>
    <row r="136" spans="1:26" ht="14.5">
      <c r="A136" s="719">
        <v>42884</v>
      </c>
      <c r="B136" s="720" t="s">
        <v>48</v>
      </c>
      <c r="C136" s="721" t="s">
        <v>69</v>
      </c>
      <c r="D136" s="722" t="s">
        <v>115</v>
      </c>
      <c r="E136" s="721" t="s">
        <v>71</v>
      </c>
      <c r="F136" s="722">
        <v>2600</v>
      </c>
      <c r="G136" s="723">
        <v>7.76</v>
      </c>
      <c r="H136" s="723">
        <v>7.88</v>
      </c>
      <c r="I136" s="724">
        <v>-293.20999999999998</v>
      </c>
      <c r="J136" s="725">
        <v>-1.43</v>
      </c>
      <c r="K136" s="721" t="s">
        <v>9</v>
      </c>
      <c r="L136" s="726"/>
      <c r="M136" s="724" t="str">
        <f t="shared" si="0"/>
        <v/>
      </c>
      <c r="N136" s="727"/>
      <c r="O136" s="727"/>
    </row>
    <row r="137" spans="1:26" ht="14.5">
      <c r="A137" s="775">
        <v>42884</v>
      </c>
      <c r="B137" s="776" t="s">
        <v>47</v>
      </c>
      <c r="C137" s="777" t="s">
        <v>69</v>
      </c>
      <c r="D137" s="778" t="s">
        <v>131</v>
      </c>
      <c r="E137" s="777" t="s">
        <v>71</v>
      </c>
      <c r="F137" s="778">
        <v>10000</v>
      </c>
      <c r="G137" s="779">
        <v>2.09</v>
      </c>
      <c r="H137" s="779">
        <v>0</v>
      </c>
      <c r="I137" s="780">
        <v>0</v>
      </c>
      <c r="J137" s="781">
        <v>0</v>
      </c>
      <c r="K137" s="777" t="s">
        <v>9</v>
      </c>
      <c r="L137" s="726"/>
      <c r="M137" s="780">
        <f t="shared" si="0"/>
        <v>20900</v>
      </c>
      <c r="N137" s="727"/>
      <c r="O137" s="727"/>
    </row>
    <row r="138" spans="1:26" ht="14.5">
      <c r="A138" s="775">
        <v>42885</v>
      </c>
      <c r="B138" s="776" t="s">
        <v>48</v>
      </c>
      <c r="C138" s="777" t="s">
        <v>69</v>
      </c>
      <c r="D138" s="778" t="s">
        <v>131</v>
      </c>
      <c r="E138" s="777" t="s">
        <v>71</v>
      </c>
      <c r="F138" s="778">
        <v>10000</v>
      </c>
      <c r="G138" s="779">
        <v>2.09</v>
      </c>
      <c r="H138" s="779">
        <v>2.09</v>
      </c>
      <c r="I138" s="780">
        <v>66.38</v>
      </c>
      <c r="J138" s="781">
        <v>0.31</v>
      </c>
      <c r="K138" s="777" t="s">
        <v>9</v>
      </c>
      <c r="L138" s="726"/>
      <c r="M138" s="780" t="str">
        <f t="shared" si="0"/>
        <v/>
      </c>
      <c r="N138" s="727"/>
      <c r="O138" s="727"/>
    </row>
    <row r="139" spans="1:26" ht="14.5">
      <c r="A139" s="719">
        <v>42885</v>
      </c>
      <c r="B139" s="720" t="s">
        <v>47</v>
      </c>
      <c r="C139" s="721" t="s">
        <v>69</v>
      </c>
      <c r="D139" s="722" t="s">
        <v>115</v>
      </c>
      <c r="E139" s="721" t="s">
        <v>71</v>
      </c>
      <c r="F139" s="722">
        <v>2600</v>
      </c>
      <c r="G139" s="723">
        <v>7.99</v>
      </c>
      <c r="H139" s="723">
        <v>0</v>
      </c>
      <c r="I139" s="724">
        <v>0</v>
      </c>
      <c r="J139" s="725">
        <v>0</v>
      </c>
      <c r="K139" s="721" t="s">
        <v>9</v>
      </c>
      <c r="L139" s="726"/>
      <c r="M139" s="724">
        <f t="shared" si="0"/>
        <v>20774</v>
      </c>
      <c r="N139" s="549" t="s">
        <v>21</v>
      </c>
      <c r="O139" s="550">
        <f>AVERAGE(M105:M140)</f>
        <v>21505.764705882353</v>
      </c>
    </row>
    <row r="140" spans="1:26" ht="14.5">
      <c r="A140" s="719">
        <v>42886</v>
      </c>
      <c r="B140" s="720" t="s">
        <v>48</v>
      </c>
      <c r="C140" s="721" t="s">
        <v>69</v>
      </c>
      <c r="D140" s="722" t="s">
        <v>115</v>
      </c>
      <c r="E140" s="721" t="s">
        <v>71</v>
      </c>
      <c r="F140" s="722">
        <v>2600</v>
      </c>
      <c r="G140" s="723">
        <v>8.11</v>
      </c>
      <c r="H140" s="723">
        <v>8</v>
      </c>
      <c r="I140" s="724">
        <v>304.38</v>
      </c>
      <c r="J140" s="725">
        <v>1.46</v>
      </c>
      <c r="K140" s="721" t="s">
        <v>9</v>
      </c>
      <c r="L140" s="726"/>
      <c r="M140" s="724" t="str">
        <f t="shared" si="0"/>
        <v/>
      </c>
      <c r="N140" s="551" t="s">
        <v>102</v>
      </c>
      <c r="O140" s="552">
        <v>0</v>
      </c>
    </row>
    <row r="141" spans="1:26" ht="14.5">
      <c r="A141" s="736">
        <v>42886</v>
      </c>
      <c r="B141" s="737" t="s">
        <v>47</v>
      </c>
      <c r="C141" s="738" t="s">
        <v>69</v>
      </c>
      <c r="D141" s="739" t="s">
        <v>141</v>
      </c>
      <c r="E141" s="738" t="s">
        <v>71</v>
      </c>
      <c r="F141" s="739">
        <v>2900</v>
      </c>
      <c r="G141" s="740">
        <v>7.16</v>
      </c>
      <c r="H141" s="740">
        <v>0</v>
      </c>
      <c r="I141" s="726">
        <v>0</v>
      </c>
      <c r="J141" s="741">
        <v>0</v>
      </c>
      <c r="K141" s="738" t="s">
        <v>9</v>
      </c>
      <c r="L141" s="742">
        <f>SUM(I105:I141)</f>
        <v>509.46999999999997</v>
      </c>
      <c r="M141" s="726">
        <f t="shared" si="0"/>
        <v>20764</v>
      </c>
      <c r="N141" s="553" t="s">
        <v>126</v>
      </c>
      <c r="O141" s="554">
        <f>(L141-O140)/O139</f>
        <v>2.3689927187785488E-2</v>
      </c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4.5">
      <c r="A142" s="761">
        <v>42887</v>
      </c>
      <c r="B142" s="762" t="s">
        <v>48</v>
      </c>
      <c r="C142" s="763" t="s">
        <v>69</v>
      </c>
      <c r="D142" s="766" t="s">
        <v>141</v>
      </c>
      <c r="E142" s="763" t="s">
        <v>71</v>
      </c>
      <c r="F142" s="766">
        <v>2900</v>
      </c>
      <c r="G142" s="764">
        <v>7.18</v>
      </c>
      <c r="H142" s="764">
        <v>7.17</v>
      </c>
      <c r="I142" s="750">
        <v>53.47</v>
      </c>
      <c r="J142" s="765">
        <v>0.25</v>
      </c>
      <c r="K142" s="763" t="s">
        <v>9</v>
      </c>
      <c r="L142" s="750"/>
      <c r="M142" s="750" t="str">
        <f t="shared" si="0"/>
        <v/>
      </c>
      <c r="N142" s="727"/>
      <c r="O142" s="727"/>
    </row>
    <row r="143" spans="1:26" ht="14.5">
      <c r="A143" s="751">
        <v>42887</v>
      </c>
      <c r="B143" s="752" t="s">
        <v>47</v>
      </c>
      <c r="C143" s="753" t="s">
        <v>69</v>
      </c>
      <c r="D143" s="754" t="s">
        <v>115</v>
      </c>
      <c r="E143" s="753" t="s">
        <v>71</v>
      </c>
      <c r="F143" s="754">
        <v>2700</v>
      </c>
      <c r="G143" s="755">
        <v>7.67</v>
      </c>
      <c r="H143" s="755">
        <v>0</v>
      </c>
      <c r="I143" s="756">
        <v>0</v>
      </c>
      <c r="J143" s="757">
        <v>0</v>
      </c>
      <c r="K143" s="753" t="s">
        <v>9</v>
      </c>
      <c r="L143" s="750"/>
      <c r="M143" s="756">
        <f t="shared" si="0"/>
        <v>20709</v>
      </c>
      <c r="N143" s="727"/>
      <c r="O143" s="727"/>
    </row>
    <row r="144" spans="1:26" ht="14.5">
      <c r="A144" s="751">
        <v>42888</v>
      </c>
      <c r="B144" s="752" t="s">
        <v>48</v>
      </c>
      <c r="C144" s="753" t="s">
        <v>69</v>
      </c>
      <c r="D144" s="754" t="s">
        <v>115</v>
      </c>
      <c r="E144" s="753" t="s">
        <v>71</v>
      </c>
      <c r="F144" s="754">
        <v>2700</v>
      </c>
      <c r="G144" s="755">
        <v>7.76</v>
      </c>
      <c r="H144" s="755">
        <v>7.68</v>
      </c>
      <c r="I144" s="756">
        <v>230.46</v>
      </c>
      <c r="J144" s="757">
        <v>1.1100000000000001</v>
      </c>
      <c r="K144" s="753" t="s">
        <v>9</v>
      </c>
      <c r="L144" s="750"/>
      <c r="M144" s="756" t="str">
        <f t="shared" si="0"/>
        <v/>
      </c>
      <c r="N144" s="727"/>
      <c r="O144" s="727"/>
    </row>
    <row r="145" spans="1:15" ht="14.5">
      <c r="A145" s="767">
        <v>42888</v>
      </c>
      <c r="B145" s="768" t="s">
        <v>47</v>
      </c>
      <c r="C145" s="769" t="s">
        <v>69</v>
      </c>
      <c r="D145" s="770" t="s">
        <v>131</v>
      </c>
      <c r="E145" s="769" t="s">
        <v>71</v>
      </c>
      <c r="F145" s="770">
        <v>10100</v>
      </c>
      <c r="G145" s="771">
        <v>2.04</v>
      </c>
      <c r="H145" s="771">
        <v>0</v>
      </c>
      <c r="I145" s="772">
        <v>0</v>
      </c>
      <c r="J145" s="773">
        <v>0</v>
      </c>
      <c r="K145" s="769" t="s">
        <v>9</v>
      </c>
      <c r="L145" s="750"/>
      <c r="M145" s="772">
        <f t="shared" si="0"/>
        <v>20604</v>
      </c>
      <c r="N145" s="727"/>
      <c r="O145" s="727"/>
    </row>
    <row r="146" spans="1:15" ht="14.5">
      <c r="A146" s="767">
        <v>42891</v>
      </c>
      <c r="B146" s="768" t="s">
        <v>48</v>
      </c>
      <c r="C146" s="769" t="s">
        <v>69</v>
      </c>
      <c r="D146" s="770" t="s">
        <v>131</v>
      </c>
      <c r="E146" s="769" t="s">
        <v>71</v>
      </c>
      <c r="F146" s="770">
        <v>10100</v>
      </c>
      <c r="G146" s="771">
        <v>2.0099999999999998</v>
      </c>
      <c r="H146" s="771">
        <v>2.04</v>
      </c>
      <c r="I146" s="772">
        <v>-235.29</v>
      </c>
      <c r="J146" s="773">
        <v>-1.1399999999999999</v>
      </c>
      <c r="K146" s="769" t="s">
        <v>9</v>
      </c>
      <c r="L146" s="750"/>
      <c r="M146" s="772" t="str">
        <f t="shared" si="0"/>
        <v/>
      </c>
      <c r="N146" s="727"/>
      <c r="O146" s="727"/>
    </row>
    <row r="147" spans="1:15" ht="14.5">
      <c r="A147" s="751">
        <v>42891</v>
      </c>
      <c r="B147" s="752" t="s">
        <v>47</v>
      </c>
      <c r="C147" s="753" t="s">
        <v>69</v>
      </c>
      <c r="D147" s="754" t="s">
        <v>115</v>
      </c>
      <c r="E147" s="753" t="s">
        <v>71</v>
      </c>
      <c r="F147" s="754">
        <v>2700</v>
      </c>
      <c r="G147" s="755">
        <v>7.5199999999999987</v>
      </c>
      <c r="H147" s="755">
        <v>0</v>
      </c>
      <c r="I147" s="756">
        <v>0</v>
      </c>
      <c r="J147" s="757">
        <v>0</v>
      </c>
      <c r="K147" s="753" t="s">
        <v>9</v>
      </c>
      <c r="L147" s="750"/>
      <c r="M147" s="756">
        <f t="shared" si="0"/>
        <v>20303.999999999996</v>
      </c>
      <c r="N147" s="727"/>
      <c r="O147" s="727"/>
    </row>
    <row r="148" spans="1:15" ht="14.5">
      <c r="A148" s="751">
        <v>42892</v>
      </c>
      <c r="B148" s="752" t="s">
        <v>48</v>
      </c>
      <c r="C148" s="753" t="s">
        <v>69</v>
      </c>
      <c r="D148" s="754" t="s">
        <v>115</v>
      </c>
      <c r="E148" s="753" t="s">
        <v>71</v>
      </c>
      <c r="F148" s="754">
        <v>2700</v>
      </c>
      <c r="G148" s="755">
        <v>7.59</v>
      </c>
      <c r="H148" s="755">
        <v>7.53</v>
      </c>
      <c r="I148" s="756">
        <v>182.75</v>
      </c>
      <c r="J148" s="757">
        <v>0.89</v>
      </c>
      <c r="K148" s="753" t="s">
        <v>9</v>
      </c>
      <c r="L148" s="750"/>
      <c r="M148" s="756" t="str">
        <f t="shared" si="0"/>
        <v/>
      </c>
      <c r="N148" s="727"/>
      <c r="O148" s="727"/>
    </row>
    <row r="149" spans="1:15" ht="14.5">
      <c r="A149" s="782">
        <v>42892</v>
      </c>
      <c r="B149" s="783" t="s">
        <v>47</v>
      </c>
      <c r="C149" s="784" t="s">
        <v>69</v>
      </c>
      <c r="D149" s="785" t="s">
        <v>133</v>
      </c>
      <c r="E149" s="784" t="s">
        <v>71</v>
      </c>
      <c r="F149" s="785">
        <v>4700</v>
      </c>
      <c r="G149" s="786">
        <v>4.41</v>
      </c>
      <c r="H149" s="786">
        <v>0</v>
      </c>
      <c r="I149" s="787">
        <v>0</v>
      </c>
      <c r="J149" s="788">
        <v>0</v>
      </c>
      <c r="K149" s="784" t="s">
        <v>9</v>
      </c>
      <c r="L149" s="750"/>
      <c r="M149" s="787">
        <f t="shared" si="0"/>
        <v>20727</v>
      </c>
      <c r="N149" s="727"/>
      <c r="O149" s="727"/>
    </row>
    <row r="150" spans="1:15" ht="14.5">
      <c r="A150" s="782">
        <v>42893</v>
      </c>
      <c r="B150" s="783" t="s">
        <v>48</v>
      </c>
      <c r="C150" s="784" t="s">
        <v>69</v>
      </c>
      <c r="D150" s="785" t="s">
        <v>133</v>
      </c>
      <c r="E150" s="784" t="s">
        <v>71</v>
      </c>
      <c r="F150" s="785">
        <v>4700</v>
      </c>
      <c r="G150" s="786">
        <v>4.45</v>
      </c>
      <c r="H150" s="786">
        <v>4.41</v>
      </c>
      <c r="I150" s="787">
        <v>201.47</v>
      </c>
      <c r="J150" s="788">
        <v>0.97</v>
      </c>
      <c r="K150" s="784" t="s">
        <v>9</v>
      </c>
      <c r="L150" s="750"/>
      <c r="M150" s="787" t="str">
        <f t="shared" si="0"/>
        <v/>
      </c>
      <c r="N150" s="727"/>
      <c r="O150" s="727"/>
    </row>
    <row r="151" spans="1:15" ht="14.5">
      <c r="A151" s="751">
        <v>42893</v>
      </c>
      <c r="B151" s="752" t="s">
        <v>47</v>
      </c>
      <c r="C151" s="753" t="s">
        <v>69</v>
      </c>
      <c r="D151" s="754" t="s">
        <v>115</v>
      </c>
      <c r="E151" s="753" t="s">
        <v>71</v>
      </c>
      <c r="F151" s="754">
        <v>2500</v>
      </c>
      <c r="G151" s="755">
        <v>8.3699999999999992</v>
      </c>
      <c r="H151" s="755">
        <v>0</v>
      </c>
      <c r="I151" s="756">
        <v>0</v>
      </c>
      <c r="J151" s="757">
        <v>0</v>
      </c>
      <c r="K151" s="753" t="s">
        <v>9</v>
      </c>
      <c r="L151" s="750"/>
      <c r="M151" s="756">
        <f t="shared" si="0"/>
        <v>20924.999999999996</v>
      </c>
      <c r="N151" s="727"/>
      <c r="O151" s="727"/>
    </row>
    <row r="152" spans="1:15" ht="14.5">
      <c r="A152" s="751">
        <v>42894</v>
      </c>
      <c r="B152" s="752" t="s">
        <v>48</v>
      </c>
      <c r="C152" s="753" t="s">
        <v>69</v>
      </c>
      <c r="D152" s="754" t="s">
        <v>115</v>
      </c>
      <c r="E152" s="753" t="s">
        <v>71</v>
      </c>
      <c r="F152" s="754">
        <v>2500</v>
      </c>
      <c r="G152" s="755">
        <v>8.0399999999999991</v>
      </c>
      <c r="H152" s="755">
        <v>8.3800000000000008</v>
      </c>
      <c r="I152" s="756">
        <v>-833.30999999999983</v>
      </c>
      <c r="J152" s="757">
        <v>-3.97</v>
      </c>
      <c r="K152" s="753" t="s">
        <v>9</v>
      </c>
      <c r="L152" s="750"/>
      <c r="M152" s="756" t="str">
        <f t="shared" si="0"/>
        <v/>
      </c>
      <c r="N152" s="727"/>
      <c r="O152" s="727"/>
    </row>
    <row r="153" spans="1:15" ht="14.5">
      <c r="A153" s="767">
        <v>42895</v>
      </c>
      <c r="B153" s="768" t="s">
        <v>47</v>
      </c>
      <c r="C153" s="769" t="s">
        <v>69</v>
      </c>
      <c r="D153" s="770" t="s">
        <v>131</v>
      </c>
      <c r="E153" s="769" t="s">
        <v>71</v>
      </c>
      <c r="F153" s="770">
        <v>4200</v>
      </c>
      <c r="G153" s="771">
        <v>2.0499999999999998</v>
      </c>
      <c r="H153" s="771">
        <v>0</v>
      </c>
      <c r="I153" s="772">
        <v>0</v>
      </c>
      <c r="J153" s="773">
        <v>0</v>
      </c>
      <c r="K153" s="769" t="s">
        <v>9</v>
      </c>
      <c r="L153" s="750"/>
      <c r="M153" s="772">
        <f t="shared" si="0"/>
        <v>8610</v>
      </c>
      <c r="N153" s="727"/>
      <c r="O153" s="727"/>
    </row>
    <row r="154" spans="1:15" ht="14.5">
      <c r="A154" s="767">
        <v>42898</v>
      </c>
      <c r="B154" s="768" t="s">
        <v>48</v>
      </c>
      <c r="C154" s="769" t="s">
        <v>69</v>
      </c>
      <c r="D154" s="770" t="s">
        <v>131</v>
      </c>
      <c r="E154" s="769" t="s">
        <v>71</v>
      </c>
      <c r="F154" s="770">
        <v>4200</v>
      </c>
      <c r="G154" s="771">
        <v>2.0299999999999998</v>
      </c>
      <c r="H154" s="771">
        <v>2.0499999999999998</v>
      </c>
      <c r="I154" s="772">
        <v>-67.569999999999993</v>
      </c>
      <c r="J154" s="773">
        <v>-0.78</v>
      </c>
      <c r="K154" s="769" t="s">
        <v>9</v>
      </c>
      <c r="L154" s="750"/>
      <c r="M154" s="772" t="str">
        <f t="shared" si="0"/>
        <v/>
      </c>
      <c r="N154" s="727"/>
      <c r="O154" s="727"/>
    </row>
    <row r="155" spans="1:15" ht="14.5">
      <c r="A155" s="751">
        <v>42898</v>
      </c>
      <c r="B155" s="752" t="s">
        <v>47</v>
      </c>
      <c r="C155" s="753" t="s">
        <v>69</v>
      </c>
      <c r="D155" s="754" t="s">
        <v>115</v>
      </c>
      <c r="E155" s="753" t="s">
        <v>71</v>
      </c>
      <c r="F155" s="754">
        <v>2600</v>
      </c>
      <c r="G155" s="755">
        <v>7.8099999999999987</v>
      </c>
      <c r="H155" s="755">
        <v>0</v>
      </c>
      <c r="I155" s="756">
        <v>0</v>
      </c>
      <c r="J155" s="757">
        <v>0</v>
      </c>
      <c r="K155" s="753" t="s">
        <v>9</v>
      </c>
      <c r="L155" s="750"/>
      <c r="M155" s="756">
        <f t="shared" si="0"/>
        <v>20305.999999999996</v>
      </c>
      <c r="N155" s="727"/>
      <c r="O155" s="727"/>
    </row>
    <row r="156" spans="1:15" ht="14.5">
      <c r="A156" s="751">
        <v>42899</v>
      </c>
      <c r="B156" s="752" t="s">
        <v>48</v>
      </c>
      <c r="C156" s="753" t="s">
        <v>69</v>
      </c>
      <c r="D156" s="754" t="s">
        <v>115</v>
      </c>
      <c r="E156" s="753" t="s">
        <v>71</v>
      </c>
      <c r="F156" s="754">
        <v>2600</v>
      </c>
      <c r="G156" s="755">
        <v>7.94</v>
      </c>
      <c r="H156" s="755">
        <v>7.82</v>
      </c>
      <c r="I156" s="756">
        <v>330.28</v>
      </c>
      <c r="J156" s="757">
        <v>1.62</v>
      </c>
      <c r="K156" s="753" t="s">
        <v>9</v>
      </c>
      <c r="L156" s="750"/>
      <c r="M156" s="756" t="str">
        <f t="shared" si="0"/>
        <v/>
      </c>
      <c r="N156" s="727"/>
      <c r="O156" s="727"/>
    </row>
    <row r="157" spans="1:15" ht="14.5">
      <c r="A157" s="767">
        <v>42899</v>
      </c>
      <c r="B157" s="768" t="s">
        <v>47</v>
      </c>
      <c r="C157" s="769" t="s">
        <v>69</v>
      </c>
      <c r="D157" s="770" t="s">
        <v>131</v>
      </c>
      <c r="E157" s="769" t="s">
        <v>71</v>
      </c>
      <c r="F157" s="770">
        <v>12000</v>
      </c>
      <c r="G157" s="771">
        <v>2.0299999999999998</v>
      </c>
      <c r="H157" s="771">
        <v>0</v>
      </c>
      <c r="I157" s="772">
        <v>0</v>
      </c>
      <c r="J157" s="773">
        <v>0</v>
      </c>
      <c r="K157" s="769" t="s">
        <v>9</v>
      </c>
      <c r="L157" s="750"/>
      <c r="M157" s="772">
        <f t="shared" si="0"/>
        <v>24359.999999999996</v>
      </c>
      <c r="N157" s="727"/>
      <c r="O157" s="727"/>
    </row>
    <row r="158" spans="1:15" ht="14.5">
      <c r="A158" s="767">
        <v>42900</v>
      </c>
      <c r="B158" s="768" t="s">
        <v>48</v>
      </c>
      <c r="C158" s="769" t="s">
        <v>69</v>
      </c>
      <c r="D158" s="770" t="s">
        <v>131</v>
      </c>
      <c r="E158" s="769" t="s">
        <v>71</v>
      </c>
      <c r="F158" s="770">
        <v>12000</v>
      </c>
      <c r="G158" s="771">
        <v>2.0099999999999998</v>
      </c>
      <c r="H158" s="771">
        <v>2.0299999999999998</v>
      </c>
      <c r="I158" s="772">
        <v>-155.76</v>
      </c>
      <c r="J158" s="773">
        <v>-0.63</v>
      </c>
      <c r="K158" s="769" t="s">
        <v>9</v>
      </c>
      <c r="L158" s="750"/>
      <c r="M158" s="772" t="str">
        <f t="shared" si="0"/>
        <v/>
      </c>
      <c r="N158" s="727"/>
      <c r="O158" s="727"/>
    </row>
    <row r="159" spans="1:15" ht="14.5">
      <c r="A159" s="751">
        <v>42900</v>
      </c>
      <c r="B159" s="752" t="s">
        <v>47</v>
      </c>
      <c r="C159" s="753" t="s">
        <v>69</v>
      </c>
      <c r="D159" s="754" t="s">
        <v>115</v>
      </c>
      <c r="E159" s="753" t="s">
        <v>71</v>
      </c>
      <c r="F159" s="754">
        <v>3200</v>
      </c>
      <c r="G159" s="755">
        <v>7.75</v>
      </c>
      <c r="H159" s="755">
        <v>0</v>
      </c>
      <c r="I159" s="756">
        <v>0</v>
      </c>
      <c r="J159" s="757">
        <v>0</v>
      </c>
      <c r="K159" s="753" t="s">
        <v>9</v>
      </c>
      <c r="L159" s="750"/>
      <c r="M159" s="756">
        <f t="shared" si="0"/>
        <v>24800</v>
      </c>
      <c r="N159" s="727"/>
      <c r="O159" s="727"/>
    </row>
    <row r="160" spans="1:15" ht="14.5">
      <c r="A160" s="751">
        <v>42902</v>
      </c>
      <c r="B160" s="752" t="s">
        <v>48</v>
      </c>
      <c r="C160" s="753" t="s">
        <v>69</v>
      </c>
      <c r="D160" s="754" t="s">
        <v>115</v>
      </c>
      <c r="E160" s="753" t="s">
        <v>71</v>
      </c>
      <c r="F160" s="754">
        <v>3200</v>
      </c>
      <c r="G160" s="755">
        <v>7.7699999999999987</v>
      </c>
      <c r="H160" s="755">
        <v>7.76</v>
      </c>
      <c r="I160" s="756">
        <v>59.88</v>
      </c>
      <c r="J160" s="757">
        <v>0.24</v>
      </c>
      <c r="K160" s="753" t="s">
        <v>9</v>
      </c>
      <c r="L160" s="750"/>
      <c r="M160" s="756" t="str">
        <f t="shared" si="0"/>
        <v/>
      </c>
      <c r="N160" s="727"/>
      <c r="O160" s="727"/>
    </row>
    <row r="161" spans="1:15" ht="14.5">
      <c r="A161" s="767">
        <v>42902</v>
      </c>
      <c r="B161" s="768" t="s">
        <v>47</v>
      </c>
      <c r="C161" s="769" t="s">
        <v>69</v>
      </c>
      <c r="D161" s="770" t="s">
        <v>131</v>
      </c>
      <c r="E161" s="769" t="s">
        <v>71</v>
      </c>
      <c r="F161" s="770">
        <v>10000</v>
      </c>
      <c r="G161" s="771">
        <v>2.0099999999999998</v>
      </c>
      <c r="H161" s="771">
        <v>0</v>
      </c>
      <c r="I161" s="772">
        <v>0</v>
      </c>
      <c r="J161" s="773">
        <v>0</v>
      </c>
      <c r="K161" s="769" t="s">
        <v>9</v>
      </c>
      <c r="L161" s="750"/>
      <c r="M161" s="772">
        <f t="shared" si="0"/>
        <v>20099.999999999996</v>
      </c>
      <c r="N161" s="727"/>
      <c r="O161" s="727"/>
    </row>
    <row r="162" spans="1:15" ht="14.5">
      <c r="A162" s="767">
        <v>42905</v>
      </c>
      <c r="B162" s="768" t="s">
        <v>48</v>
      </c>
      <c r="C162" s="769" t="s">
        <v>69</v>
      </c>
      <c r="D162" s="770" t="s">
        <v>131</v>
      </c>
      <c r="E162" s="769" t="s">
        <v>71</v>
      </c>
      <c r="F162" s="770">
        <v>10000</v>
      </c>
      <c r="G162" s="771">
        <v>1.99</v>
      </c>
      <c r="H162" s="771">
        <v>2.0099999999999998</v>
      </c>
      <c r="I162" s="772">
        <v>-133</v>
      </c>
      <c r="J162" s="773">
        <v>-0.66000000000000014</v>
      </c>
      <c r="K162" s="769" t="s">
        <v>9</v>
      </c>
      <c r="L162" s="750"/>
      <c r="M162" s="772" t="str">
        <f t="shared" si="0"/>
        <v/>
      </c>
      <c r="N162" s="727"/>
      <c r="O162" s="727"/>
    </row>
    <row r="163" spans="1:15" ht="14.5">
      <c r="A163" s="751">
        <v>42905</v>
      </c>
      <c r="B163" s="752" t="s">
        <v>47</v>
      </c>
      <c r="C163" s="753" t="s">
        <v>69</v>
      </c>
      <c r="D163" s="754" t="s">
        <v>115</v>
      </c>
      <c r="E163" s="753" t="s">
        <v>71</v>
      </c>
      <c r="F163" s="754">
        <v>5000</v>
      </c>
      <c r="G163" s="755">
        <v>7.69</v>
      </c>
      <c r="H163" s="755">
        <v>0</v>
      </c>
      <c r="I163" s="756">
        <v>0</v>
      </c>
      <c r="J163" s="757">
        <v>0</v>
      </c>
      <c r="K163" s="753" t="s">
        <v>9</v>
      </c>
      <c r="L163" s="750"/>
      <c r="M163" s="756">
        <f t="shared" si="0"/>
        <v>38450</v>
      </c>
      <c r="N163" s="727"/>
      <c r="O163" s="727"/>
    </row>
    <row r="164" spans="1:15" ht="15" customHeight="1">
      <c r="A164" s="751">
        <v>42906</v>
      </c>
      <c r="B164" s="752" t="s">
        <v>48</v>
      </c>
      <c r="C164" s="753" t="s">
        <v>69</v>
      </c>
      <c r="D164" s="754" t="s">
        <v>115</v>
      </c>
      <c r="E164" s="753" t="s">
        <v>71</v>
      </c>
      <c r="F164" s="754">
        <v>5000</v>
      </c>
      <c r="G164" s="755">
        <v>7.7699999999999987</v>
      </c>
      <c r="H164" s="755">
        <v>7.69</v>
      </c>
      <c r="I164" s="756">
        <v>404.91</v>
      </c>
      <c r="J164" s="757">
        <v>1.05</v>
      </c>
      <c r="K164" s="753" t="s">
        <v>9</v>
      </c>
      <c r="L164" s="750"/>
      <c r="M164" s="756" t="str">
        <f t="shared" si="0"/>
        <v/>
      </c>
      <c r="N164" s="727"/>
      <c r="O164" s="727"/>
    </row>
    <row r="165" spans="1:15" ht="15" customHeight="1">
      <c r="A165" s="761">
        <v>42906</v>
      </c>
      <c r="B165" s="762" t="s">
        <v>47</v>
      </c>
      <c r="C165" s="763" t="s">
        <v>69</v>
      </c>
      <c r="D165" s="763" t="s">
        <v>139</v>
      </c>
      <c r="E165" s="763" t="s">
        <v>71</v>
      </c>
      <c r="F165" s="766">
        <v>500</v>
      </c>
      <c r="G165" s="764">
        <v>3.28</v>
      </c>
      <c r="H165" s="764">
        <v>0</v>
      </c>
      <c r="I165" s="750">
        <v>0</v>
      </c>
      <c r="J165" s="765">
        <v>0</v>
      </c>
      <c r="K165" s="763" t="s">
        <v>9</v>
      </c>
      <c r="L165" s="750"/>
      <c r="M165" s="750">
        <f t="shared" si="0"/>
        <v>1640</v>
      </c>
      <c r="N165" s="727"/>
      <c r="O165" s="727"/>
    </row>
    <row r="166" spans="1:15" ht="15" customHeight="1">
      <c r="A166" s="761">
        <v>42906</v>
      </c>
      <c r="B166" s="762" t="s">
        <v>47</v>
      </c>
      <c r="C166" s="763" t="s">
        <v>69</v>
      </c>
      <c r="D166" s="766" t="s">
        <v>139</v>
      </c>
      <c r="E166" s="763" t="s">
        <v>71</v>
      </c>
      <c r="F166" s="766">
        <v>11500</v>
      </c>
      <c r="G166" s="764">
        <v>3.28</v>
      </c>
      <c r="H166" s="764">
        <v>0</v>
      </c>
      <c r="I166" s="750">
        <v>0</v>
      </c>
      <c r="J166" s="765">
        <v>0</v>
      </c>
      <c r="K166" s="763" t="s">
        <v>9</v>
      </c>
      <c r="L166" s="750"/>
      <c r="M166" s="750">
        <f t="shared" si="0"/>
        <v>37720</v>
      </c>
      <c r="N166" s="727"/>
      <c r="O166" s="727"/>
    </row>
    <row r="167" spans="1:15" ht="14.5">
      <c r="A167" s="761">
        <v>42907</v>
      </c>
      <c r="B167" s="762" t="s">
        <v>48</v>
      </c>
      <c r="C167" s="763" t="s">
        <v>69</v>
      </c>
      <c r="D167" s="766" t="s">
        <v>139</v>
      </c>
      <c r="E167" s="763" t="s">
        <v>71</v>
      </c>
      <c r="F167" s="766">
        <v>12000</v>
      </c>
      <c r="G167" s="764">
        <v>3.28</v>
      </c>
      <c r="H167" s="764">
        <v>3.28</v>
      </c>
      <c r="I167" s="750">
        <v>74.430000000000007</v>
      </c>
      <c r="J167" s="765">
        <v>0.17999999999999997</v>
      </c>
      <c r="K167" s="763" t="s">
        <v>9</v>
      </c>
      <c r="L167" s="750"/>
      <c r="M167" s="750" t="str">
        <f t="shared" si="0"/>
        <v/>
      </c>
      <c r="N167" s="727"/>
      <c r="O167" s="727"/>
    </row>
    <row r="168" spans="1:15" ht="14.5">
      <c r="A168" s="751">
        <v>42907</v>
      </c>
      <c r="B168" s="752" t="s">
        <v>47</v>
      </c>
      <c r="C168" s="753" t="s">
        <v>69</v>
      </c>
      <c r="D168" s="754" t="s">
        <v>115</v>
      </c>
      <c r="E168" s="753" t="s">
        <v>71</v>
      </c>
      <c r="F168" s="754">
        <v>5200</v>
      </c>
      <c r="G168" s="755">
        <v>7.46</v>
      </c>
      <c r="H168" s="755">
        <v>0</v>
      </c>
      <c r="I168" s="756">
        <v>0</v>
      </c>
      <c r="J168" s="757">
        <v>0</v>
      </c>
      <c r="K168" s="753" t="s">
        <v>9</v>
      </c>
      <c r="L168" s="750"/>
      <c r="M168" s="756">
        <f t="shared" si="0"/>
        <v>38792</v>
      </c>
      <c r="N168" s="727"/>
      <c r="O168" s="727"/>
    </row>
    <row r="169" spans="1:15" ht="14.5">
      <c r="A169" s="751">
        <v>42908</v>
      </c>
      <c r="B169" s="752" t="s">
        <v>48</v>
      </c>
      <c r="C169" s="753" t="s">
        <v>69</v>
      </c>
      <c r="D169" s="754" t="s">
        <v>115</v>
      </c>
      <c r="E169" s="753" t="s">
        <v>71</v>
      </c>
      <c r="F169" s="754">
        <v>5200</v>
      </c>
      <c r="G169" s="755">
        <v>7.5</v>
      </c>
      <c r="H169" s="755">
        <v>7.46</v>
      </c>
      <c r="I169" s="756">
        <v>214.75</v>
      </c>
      <c r="J169" s="757">
        <v>0.55000000000000004</v>
      </c>
      <c r="K169" s="753" t="s">
        <v>9</v>
      </c>
      <c r="L169" s="750"/>
      <c r="M169" s="756" t="str">
        <f t="shared" si="0"/>
        <v/>
      </c>
      <c r="N169" s="727"/>
      <c r="O169" s="727"/>
    </row>
    <row r="170" spans="1:15" ht="14.5">
      <c r="A170" s="761">
        <v>42908</v>
      </c>
      <c r="B170" s="762" t="s">
        <v>47</v>
      </c>
      <c r="C170" s="763" t="s">
        <v>69</v>
      </c>
      <c r="D170" s="766" t="s">
        <v>139</v>
      </c>
      <c r="E170" s="763" t="s">
        <v>71</v>
      </c>
      <c r="F170" s="766">
        <v>11500</v>
      </c>
      <c r="G170" s="764">
        <v>3.34</v>
      </c>
      <c r="H170" s="764">
        <v>0</v>
      </c>
      <c r="I170" s="750">
        <v>0</v>
      </c>
      <c r="J170" s="765">
        <v>0</v>
      </c>
      <c r="K170" s="763" t="s">
        <v>9</v>
      </c>
      <c r="L170" s="750"/>
      <c r="M170" s="750">
        <f t="shared" si="0"/>
        <v>38410</v>
      </c>
      <c r="N170" s="727"/>
      <c r="O170" s="727"/>
    </row>
    <row r="171" spans="1:15" ht="14.5">
      <c r="A171" s="761">
        <v>42909</v>
      </c>
      <c r="B171" s="762" t="s">
        <v>48</v>
      </c>
      <c r="C171" s="763" t="s">
        <v>69</v>
      </c>
      <c r="D171" s="766" t="s">
        <v>139</v>
      </c>
      <c r="E171" s="763" t="s">
        <v>71</v>
      </c>
      <c r="F171" s="766">
        <v>11500</v>
      </c>
      <c r="G171" s="764">
        <v>3.4</v>
      </c>
      <c r="H171" s="764">
        <v>3.34</v>
      </c>
      <c r="I171" s="750">
        <v>759.82</v>
      </c>
      <c r="J171" s="765">
        <v>1.97</v>
      </c>
      <c r="K171" s="763" t="s">
        <v>9</v>
      </c>
      <c r="L171" s="750"/>
      <c r="M171" s="750" t="str">
        <f t="shared" si="0"/>
        <v/>
      </c>
      <c r="N171" s="727"/>
      <c r="O171" s="727"/>
    </row>
    <row r="172" spans="1:15" ht="14.5">
      <c r="A172" s="751">
        <v>42909</v>
      </c>
      <c r="B172" s="752" t="s">
        <v>47</v>
      </c>
      <c r="C172" s="753" t="s">
        <v>69</v>
      </c>
      <c r="D172" s="754" t="s">
        <v>115</v>
      </c>
      <c r="E172" s="753" t="s">
        <v>71</v>
      </c>
      <c r="F172" s="754">
        <v>2600</v>
      </c>
      <c r="G172" s="755">
        <v>7.63</v>
      </c>
      <c r="H172" s="755">
        <v>0</v>
      </c>
      <c r="I172" s="756">
        <v>0</v>
      </c>
      <c r="J172" s="757">
        <v>0</v>
      </c>
      <c r="K172" s="753" t="s">
        <v>9</v>
      </c>
      <c r="L172" s="750"/>
      <c r="M172" s="756">
        <f t="shared" si="0"/>
        <v>19838</v>
      </c>
      <c r="N172" s="727"/>
      <c r="O172" s="727"/>
    </row>
    <row r="173" spans="1:15" ht="14.5">
      <c r="A173" s="751">
        <v>42912</v>
      </c>
      <c r="B173" s="752" t="s">
        <v>48</v>
      </c>
      <c r="C173" s="753" t="s">
        <v>69</v>
      </c>
      <c r="D173" s="754" t="s">
        <v>115</v>
      </c>
      <c r="E173" s="753" t="s">
        <v>71</v>
      </c>
      <c r="F173" s="754">
        <v>2600</v>
      </c>
      <c r="G173" s="755">
        <v>7.8</v>
      </c>
      <c r="H173" s="755">
        <v>7.6399999999999988</v>
      </c>
      <c r="I173" s="756">
        <v>434.98</v>
      </c>
      <c r="J173" s="757">
        <v>2.19</v>
      </c>
      <c r="K173" s="753" t="s">
        <v>9</v>
      </c>
      <c r="L173" s="750"/>
      <c r="M173" s="756" t="str">
        <f t="shared" si="0"/>
        <v/>
      </c>
      <c r="N173" s="727"/>
      <c r="O173" s="727"/>
    </row>
    <row r="174" spans="1:15" ht="14.5">
      <c r="A174" s="761">
        <v>42912</v>
      </c>
      <c r="B174" s="762" t="s">
        <v>47</v>
      </c>
      <c r="C174" s="763" t="s">
        <v>69</v>
      </c>
      <c r="D174" s="766" t="s">
        <v>139</v>
      </c>
      <c r="E174" s="763" t="s">
        <v>71</v>
      </c>
      <c r="F174" s="766">
        <v>11500</v>
      </c>
      <c r="G174" s="764">
        <v>3.38</v>
      </c>
      <c r="H174" s="764">
        <v>0</v>
      </c>
      <c r="I174" s="750">
        <v>0</v>
      </c>
      <c r="J174" s="765">
        <v>0</v>
      </c>
      <c r="K174" s="763" t="s">
        <v>9</v>
      </c>
      <c r="L174" s="750"/>
      <c r="M174" s="750">
        <f t="shared" si="0"/>
        <v>38870</v>
      </c>
      <c r="N174" s="727"/>
      <c r="O174" s="727"/>
    </row>
    <row r="175" spans="1:15" ht="14.5">
      <c r="A175" s="761">
        <v>42913</v>
      </c>
      <c r="B175" s="762" t="s">
        <v>48</v>
      </c>
      <c r="C175" s="763" t="s">
        <v>69</v>
      </c>
      <c r="D175" s="766" t="s">
        <v>139</v>
      </c>
      <c r="E175" s="763" t="s">
        <v>71</v>
      </c>
      <c r="F175" s="766">
        <v>11500</v>
      </c>
      <c r="G175" s="764">
        <v>3.35</v>
      </c>
      <c r="H175" s="764">
        <v>3.38</v>
      </c>
      <c r="I175" s="750">
        <v>-275.13</v>
      </c>
      <c r="J175" s="765">
        <v>-0.7</v>
      </c>
      <c r="K175" s="763" t="s">
        <v>9</v>
      </c>
      <c r="L175" s="750"/>
      <c r="M175" s="750" t="str">
        <f t="shared" si="0"/>
        <v/>
      </c>
      <c r="N175" s="727"/>
      <c r="O175" s="727"/>
    </row>
    <row r="176" spans="1:15" ht="14.5">
      <c r="A176" s="751">
        <v>42913</v>
      </c>
      <c r="B176" s="752" t="s">
        <v>47</v>
      </c>
      <c r="C176" s="753" t="s">
        <v>69</v>
      </c>
      <c r="D176" s="754" t="s">
        <v>115</v>
      </c>
      <c r="E176" s="753" t="s">
        <v>71</v>
      </c>
      <c r="F176" s="754">
        <v>5200</v>
      </c>
      <c r="G176" s="755">
        <v>7.47</v>
      </c>
      <c r="H176" s="755">
        <v>0</v>
      </c>
      <c r="I176" s="756">
        <v>0</v>
      </c>
      <c r="J176" s="757">
        <v>0</v>
      </c>
      <c r="K176" s="753" t="s">
        <v>9</v>
      </c>
      <c r="L176" s="750"/>
      <c r="M176" s="756">
        <f t="shared" si="0"/>
        <v>38844</v>
      </c>
      <c r="N176" s="727"/>
      <c r="O176" s="727"/>
    </row>
    <row r="177" spans="1:15" ht="14.5">
      <c r="A177" s="751">
        <v>42914</v>
      </c>
      <c r="B177" s="752" t="s">
        <v>48</v>
      </c>
      <c r="C177" s="753" t="s">
        <v>69</v>
      </c>
      <c r="D177" s="754" t="s">
        <v>115</v>
      </c>
      <c r="E177" s="753" t="s">
        <v>71</v>
      </c>
      <c r="F177" s="754">
        <v>5200</v>
      </c>
      <c r="G177" s="755">
        <v>7.5199999999999987</v>
      </c>
      <c r="H177" s="755">
        <v>7.47</v>
      </c>
      <c r="I177" s="756">
        <v>266.7</v>
      </c>
      <c r="J177" s="757">
        <v>0.68000000000000016</v>
      </c>
      <c r="K177" s="753" t="s">
        <v>9</v>
      </c>
      <c r="L177" s="750"/>
      <c r="M177" s="756" t="str">
        <f t="shared" si="0"/>
        <v/>
      </c>
      <c r="N177" s="727"/>
      <c r="O177" s="727"/>
    </row>
    <row r="178" spans="1:15" ht="14.5">
      <c r="A178" s="782">
        <v>42914</v>
      </c>
      <c r="B178" s="783" t="s">
        <v>47</v>
      </c>
      <c r="C178" s="784" t="s">
        <v>69</v>
      </c>
      <c r="D178" s="785" t="s">
        <v>133</v>
      </c>
      <c r="E178" s="784" t="s">
        <v>71</v>
      </c>
      <c r="F178" s="785">
        <v>8000</v>
      </c>
      <c r="G178" s="786">
        <v>4.96</v>
      </c>
      <c r="H178" s="786">
        <v>0</v>
      </c>
      <c r="I178" s="787">
        <v>0</v>
      </c>
      <c r="J178" s="788">
        <v>0</v>
      </c>
      <c r="K178" s="784" t="s">
        <v>9</v>
      </c>
      <c r="L178" s="750"/>
      <c r="M178" s="787">
        <f t="shared" si="0"/>
        <v>39680</v>
      </c>
      <c r="N178" s="727"/>
      <c r="O178" s="727"/>
    </row>
    <row r="179" spans="1:15" ht="14.5">
      <c r="A179" s="782">
        <v>42915</v>
      </c>
      <c r="B179" s="783" t="s">
        <v>48</v>
      </c>
      <c r="C179" s="784" t="s">
        <v>69</v>
      </c>
      <c r="D179" s="785" t="s">
        <v>133</v>
      </c>
      <c r="E179" s="784" t="s">
        <v>71</v>
      </c>
      <c r="F179" s="785">
        <v>8000</v>
      </c>
      <c r="G179" s="786">
        <v>5.07</v>
      </c>
      <c r="H179" s="786">
        <v>4.96</v>
      </c>
      <c r="I179" s="787">
        <v>913.94</v>
      </c>
      <c r="J179" s="788">
        <v>2.2999999999999998</v>
      </c>
      <c r="K179" s="784" t="s">
        <v>9</v>
      </c>
      <c r="L179" s="750"/>
      <c r="M179" s="787" t="str">
        <f t="shared" si="0"/>
        <v/>
      </c>
      <c r="N179" s="727"/>
      <c r="O179" s="727"/>
    </row>
    <row r="180" spans="1:15" ht="14.5">
      <c r="A180" s="751">
        <v>42915</v>
      </c>
      <c r="B180" s="752" t="s">
        <v>47</v>
      </c>
      <c r="C180" s="753" t="s">
        <v>69</v>
      </c>
      <c r="D180" s="753" t="s">
        <v>115</v>
      </c>
      <c r="E180" s="753" t="s">
        <v>71</v>
      </c>
      <c r="F180" s="754">
        <v>100</v>
      </c>
      <c r="G180" s="755">
        <v>7.49</v>
      </c>
      <c r="H180" s="755">
        <v>0</v>
      </c>
      <c r="I180" s="756">
        <v>0</v>
      </c>
      <c r="J180" s="757">
        <v>0</v>
      </c>
      <c r="K180" s="753" t="s">
        <v>9</v>
      </c>
      <c r="L180" s="750"/>
      <c r="M180" s="756">
        <f t="shared" si="0"/>
        <v>749</v>
      </c>
      <c r="N180" s="727"/>
      <c r="O180" s="727"/>
    </row>
    <row r="181" spans="1:15" ht="14.5">
      <c r="A181" s="751">
        <v>42915</v>
      </c>
      <c r="B181" s="752" t="s">
        <v>47</v>
      </c>
      <c r="C181" s="753" t="s">
        <v>69</v>
      </c>
      <c r="D181" s="754" t="s">
        <v>115</v>
      </c>
      <c r="E181" s="753" t="s">
        <v>71</v>
      </c>
      <c r="F181" s="754">
        <v>5300</v>
      </c>
      <c r="G181" s="755">
        <v>7.41</v>
      </c>
      <c r="H181" s="755">
        <v>0</v>
      </c>
      <c r="I181" s="756">
        <v>0</v>
      </c>
      <c r="J181" s="757">
        <v>0</v>
      </c>
      <c r="K181" s="753" t="s">
        <v>9</v>
      </c>
      <c r="L181" s="750"/>
      <c r="M181" s="756">
        <f t="shared" si="0"/>
        <v>39273</v>
      </c>
      <c r="N181" s="549" t="s">
        <v>21</v>
      </c>
      <c r="O181" s="550">
        <f>AVERAGE(M141:M181)</f>
        <v>25203.409090909092</v>
      </c>
    </row>
    <row r="182" spans="1:15" ht="14.5">
      <c r="A182" s="751">
        <v>42916</v>
      </c>
      <c r="B182" s="752" t="s">
        <v>48</v>
      </c>
      <c r="C182" s="753" t="s">
        <v>69</v>
      </c>
      <c r="D182" s="754" t="s">
        <v>115</v>
      </c>
      <c r="E182" s="753" t="s">
        <v>71</v>
      </c>
      <c r="F182" s="754">
        <v>5400</v>
      </c>
      <c r="G182" s="755">
        <v>7.41</v>
      </c>
      <c r="H182" s="755">
        <v>7.42</v>
      </c>
      <c r="I182" s="756">
        <v>0.02</v>
      </c>
      <c r="J182" s="757">
        <v>0</v>
      </c>
      <c r="K182" s="753" t="s">
        <v>9</v>
      </c>
      <c r="L182" s="750"/>
      <c r="M182" s="756" t="str">
        <f t="shared" si="0"/>
        <v/>
      </c>
      <c r="N182" s="551" t="s">
        <v>102</v>
      </c>
      <c r="O182" s="552">
        <v>0</v>
      </c>
    </row>
    <row r="183" spans="1:15" ht="14.5">
      <c r="A183" s="782">
        <v>42916</v>
      </c>
      <c r="B183" s="783" t="s">
        <v>47</v>
      </c>
      <c r="C183" s="784" t="s">
        <v>69</v>
      </c>
      <c r="D183" s="785" t="s">
        <v>133</v>
      </c>
      <c r="E183" s="784" t="s">
        <v>71</v>
      </c>
      <c r="F183" s="785">
        <v>8000</v>
      </c>
      <c r="G183" s="786">
        <v>5</v>
      </c>
      <c r="H183" s="786">
        <v>0</v>
      </c>
      <c r="I183" s="787">
        <v>0</v>
      </c>
      <c r="J183" s="788">
        <v>0</v>
      </c>
      <c r="K183" s="784" t="s">
        <v>9</v>
      </c>
      <c r="L183" s="760">
        <f>SUM(I142:I183)</f>
        <v>2427.8000000000006</v>
      </c>
      <c r="M183" s="787">
        <f t="shared" si="0"/>
        <v>40000</v>
      </c>
      <c r="N183" s="553" t="s">
        <v>126</v>
      </c>
      <c r="O183" s="554">
        <f>(L183-O182)/O181</f>
        <v>9.6328238423734183E-2</v>
      </c>
    </row>
    <row r="184" spans="1:15" ht="14.5">
      <c r="A184" s="789">
        <v>42919</v>
      </c>
      <c r="B184" s="790" t="s">
        <v>48</v>
      </c>
      <c r="C184" s="791" t="s">
        <v>69</v>
      </c>
      <c r="D184" s="792" t="s">
        <v>133</v>
      </c>
      <c r="E184" s="791" t="s">
        <v>71</v>
      </c>
      <c r="F184" s="792">
        <v>8000</v>
      </c>
      <c r="G184" s="793">
        <v>5.0199999999999996</v>
      </c>
      <c r="H184" s="793">
        <v>5</v>
      </c>
      <c r="I184" s="793">
        <v>193.97</v>
      </c>
      <c r="J184" s="794">
        <v>0</v>
      </c>
      <c r="K184" s="791" t="s">
        <v>9</v>
      </c>
      <c r="L184" s="795"/>
      <c r="M184" s="793" t="str">
        <f t="shared" si="0"/>
        <v/>
      </c>
      <c r="N184" s="727"/>
      <c r="O184" s="727"/>
    </row>
    <row r="185" spans="1:15" ht="14.5">
      <c r="A185" s="736">
        <v>42919</v>
      </c>
      <c r="B185" s="737" t="s">
        <v>47</v>
      </c>
      <c r="C185" s="738" t="s">
        <v>69</v>
      </c>
      <c r="D185" s="739" t="s">
        <v>132</v>
      </c>
      <c r="E185" s="738" t="s">
        <v>71</v>
      </c>
      <c r="F185" s="739">
        <v>8500</v>
      </c>
      <c r="G185" s="740">
        <v>4.71</v>
      </c>
      <c r="H185" s="740">
        <v>0</v>
      </c>
      <c r="I185" s="726">
        <v>0</v>
      </c>
      <c r="J185" s="741">
        <v>0</v>
      </c>
      <c r="K185" s="726" t="s">
        <v>9</v>
      </c>
      <c r="L185" s="726"/>
      <c r="M185" s="726">
        <f t="shared" si="0"/>
        <v>40035</v>
      </c>
      <c r="N185" s="727"/>
      <c r="O185" s="727"/>
    </row>
    <row r="186" spans="1:15" ht="14.5">
      <c r="A186" s="736">
        <v>42920</v>
      </c>
      <c r="B186" s="737" t="s">
        <v>48</v>
      </c>
      <c r="C186" s="738" t="s">
        <v>69</v>
      </c>
      <c r="D186" s="739" t="s">
        <v>132</v>
      </c>
      <c r="E186" s="738" t="s">
        <v>71</v>
      </c>
      <c r="F186" s="739">
        <v>8500</v>
      </c>
      <c r="G186" s="740">
        <v>4.5999999999999996</v>
      </c>
      <c r="H186" s="740">
        <v>4.71</v>
      </c>
      <c r="I186" s="726">
        <v>-895.71</v>
      </c>
      <c r="J186" s="741">
        <v>-2.23</v>
      </c>
      <c r="K186" s="738" t="s">
        <v>9</v>
      </c>
      <c r="L186" s="726"/>
      <c r="M186" s="726" t="str">
        <f t="shared" si="0"/>
        <v/>
      </c>
      <c r="N186" s="727"/>
      <c r="O186" s="727"/>
    </row>
    <row r="187" spans="1:15" ht="14.5">
      <c r="A187" s="719">
        <v>42920</v>
      </c>
      <c r="B187" s="720" t="s">
        <v>47</v>
      </c>
      <c r="C187" s="721" t="s">
        <v>69</v>
      </c>
      <c r="D187" s="722" t="s">
        <v>115</v>
      </c>
      <c r="E187" s="721" t="s">
        <v>71</v>
      </c>
      <c r="F187" s="722">
        <v>5400</v>
      </c>
      <c r="G187" s="723">
        <v>7.3499999999999988</v>
      </c>
      <c r="H187" s="723">
        <v>0</v>
      </c>
      <c r="I187" s="724">
        <v>0</v>
      </c>
      <c r="J187" s="725">
        <v>0</v>
      </c>
      <c r="K187" s="721" t="s">
        <v>9</v>
      </c>
      <c r="L187" s="726"/>
      <c r="M187" s="724">
        <f t="shared" si="0"/>
        <v>39689.999999999993</v>
      </c>
      <c r="N187" s="727"/>
      <c r="O187" s="727"/>
    </row>
    <row r="188" spans="1:15" ht="14.5">
      <c r="A188" s="719">
        <v>42921</v>
      </c>
      <c r="B188" s="720" t="s">
        <v>48</v>
      </c>
      <c r="C188" s="721" t="s">
        <v>69</v>
      </c>
      <c r="D188" s="722" t="s">
        <v>115</v>
      </c>
      <c r="E188" s="721" t="s">
        <v>71</v>
      </c>
      <c r="F188" s="722">
        <v>5400</v>
      </c>
      <c r="G188" s="723">
        <v>7.48</v>
      </c>
      <c r="H188" s="723">
        <v>7.3499999999999988</v>
      </c>
      <c r="I188" s="724">
        <v>709.14</v>
      </c>
      <c r="J188" s="725">
        <v>1.78</v>
      </c>
      <c r="K188" s="721" t="s">
        <v>9</v>
      </c>
      <c r="L188" s="726"/>
      <c r="M188" s="724" t="str">
        <f t="shared" si="0"/>
        <v/>
      </c>
      <c r="N188" s="727"/>
      <c r="O188" s="727"/>
    </row>
    <row r="189" spans="1:15" ht="14.5">
      <c r="A189" s="736">
        <v>42921</v>
      </c>
      <c r="B189" s="737" t="s">
        <v>47</v>
      </c>
      <c r="C189" s="738" t="s">
        <v>69</v>
      </c>
      <c r="D189" s="739" t="s">
        <v>132</v>
      </c>
      <c r="E189" s="738" t="s">
        <v>71</v>
      </c>
      <c r="F189" s="739">
        <v>8500</v>
      </c>
      <c r="G189" s="740">
        <v>4.71</v>
      </c>
      <c r="H189" s="740">
        <v>0</v>
      </c>
      <c r="I189" s="726">
        <v>0</v>
      </c>
      <c r="J189" s="741">
        <v>0</v>
      </c>
      <c r="K189" s="726" t="s">
        <v>9</v>
      </c>
      <c r="L189" s="726"/>
      <c r="M189" s="726">
        <f t="shared" si="0"/>
        <v>40035</v>
      </c>
      <c r="N189" s="727"/>
      <c r="O189" s="727"/>
    </row>
    <row r="190" spans="1:15" ht="14.5">
      <c r="A190" s="736">
        <v>42922</v>
      </c>
      <c r="B190" s="737" t="s">
        <v>48</v>
      </c>
      <c r="C190" s="738" t="s">
        <v>69</v>
      </c>
      <c r="D190" s="739" t="s">
        <v>132</v>
      </c>
      <c r="E190" s="738" t="s">
        <v>71</v>
      </c>
      <c r="F190" s="739">
        <v>8500</v>
      </c>
      <c r="G190" s="740">
        <v>4.6900000000000004</v>
      </c>
      <c r="H190" s="740">
        <v>4.71</v>
      </c>
      <c r="I190" s="726">
        <v>-130.99</v>
      </c>
      <c r="J190" s="741">
        <v>-0.32</v>
      </c>
      <c r="K190" s="726" t="s">
        <v>9</v>
      </c>
      <c r="L190" s="726"/>
      <c r="M190" s="726" t="str">
        <f t="shared" si="0"/>
        <v/>
      </c>
      <c r="N190" s="727"/>
      <c r="O190" s="727"/>
    </row>
    <row r="191" spans="1:15" ht="14.5">
      <c r="A191" s="719">
        <v>42922</v>
      </c>
      <c r="B191" s="720" t="s">
        <v>47</v>
      </c>
      <c r="C191" s="721" t="s">
        <v>69</v>
      </c>
      <c r="D191" s="722" t="s">
        <v>115</v>
      </c>
      <c r="E191" s="721" t="s">
        <v>71</v>
      </c>
      <c r="F191" s="722">
        <v>4700</v>
      </c>
      <c r="G191" s="723">
        <v>8.23</v>
      </c>
      <c r="H191" s="723">
        <v>0</v>
      </c>
      <c r="I191" s="724">
        <v>0</v>
      </c>
      <c r="J191" s="725">
        <v>0</v>
      </c>
      <c r="K191" s="721" t="s">
        <v>9</v>
      </c>
      <c r="L191" s="726"/>
      <c r="M191" s="724">
        <f t="shared" si="0"/>
        <v>38681</v>
      </c>
      <c r="N191" s="727"/>
      <c r="O191" s="727"/>
    </row>
    <row r="192" spans="1:15" ht="14.5">
      <c r="A192" s="719">
        <v>42923</v>
      </c>
      <c r="B192" s="720" t="s">
        <v>48</v>
      </c>
      <c r="C192" s="721" t="s">
        <v>69</v>
      </c>
      <c r="D192" s="722" t="s">
        <v>115</v>
      </c>
      <c r="E192" s="721" t="s">
        <v>134</v>
      </c>
      <c r="F192" s="722">
        <v>4700</v>
      </c>
      <c r="G192" s="723">
        <v>8.3499999999999979</v>
      </c>
      <c r="H192" s="723">
        <v>8.23</v>
      </c>
      <c r="I192" s="724">
        <v>565.35</v>
      </c>
      <c r="J192" s="725">
        <v>1.46</v>
      </c>
      <c r="K192" s="721" t="s">
        <v>9</v>
      </c>
      <c r="L192" s="726"/>
      <c r="M192" s="724" t="str">
        <f t="shared" si="0"/>
        <v/>
      </c>
      <c r="N192" s="727"/>
      <c r="O192" s="727"/>
    </row>
    <row r="193" spans="1:15" ht="14.5">
      <c r="A193" s="789">
        <v>42923</v>
      </c>
      <c r="B193" s="790" t="s">
        <v>47</v>
      </c>
      <c r="C193" s="791" t="s">
        <v>69</v>
      </c>
      <c r="D193" s="792" t="s">
        <v>133</v>
      </c>
      <c r="E193" s="791" t="s">
        <v>134</v>
      </c>
      <c r="F193" s="792">
        <v>7500</v>
      </c>
      <c r="G193" s="793">
        <v>5.24</v>
      </c>
      <c r="H193" s="793">
        <v>0</v>
      </c>
      <c r="I193" s="793">
        <v>0</v>
      </c>
      <c r="J193" s="794">
        <v>0</v>
      </c>
      <c r="K193" s="791" t="s">
        <v>9</v>
      </c>
      <c r="L193" s="795"/>
      <c r="M193" s="795">
        <f t="shared" si="0"/>
        <v>39300</v>
      </c>
      <c r="N193" s="727"/>
      <c r="O193" s="727"/>
    </row>
    <row r="194" spans="1:15" ht="14.5">
      <c r="A194" s="789">
        <v>42926</v>
      </c>
      <c r="B194" s="790" t="s">
        <v>48</v>
      </c>
      <c r="C194" s="791" t="s">
        <v>69</v>
      </c>
      <c r="D194" s="792" t="s">
        <v>133</v>
      </c>
      <c r="E194" s="791" t="s">
        <v>71</v>
      </c>
      <c r="F194" s="792">
        <v>7500</v>
      </c>
      <c r="G194" s="793">
        <v>5.26</v>
      </c>
      <c r="H194" s="793">
        <v>5.24</v>
      </c>
      <c r="I194" s="793">
        <v>179.38</v>
      </c>
      <c r="J194" s="794">
        <v>0.45</v>
      </c>
      <c r="K194" s="791" t="s">
        <v>9</v>
      </c>
      <c r="L194" s="795"/>
      <c r="M194" s="724" t="str">
        <f t="shared" si="0"/>
        <v/>
      </c>
      <c r="N194" s="727"/>
      <c r="O194" s="727"/>
    </row>
    <row r="195" spans="1:15" ht="14.5">
      <c r="A195" s="719">
        <v>42926</v>
      </c>
      <c r="B195" s="720" t="s">
        <v>47</v>
      </c>
      <c r="C195" s="721" t="s">
        <v>69</v>
      </c>
      <c r="D195" s="722" t="s">
        <v>115</v>
      </c>
      <c r="E195" s="721" t="s">
        <v>71</v>
      </c>
      <c r="F195" s="722">
        <v>4400</v>
      </c>
      <c r="G195" s="723">
        <v>9.16</v>
      </c>
      <c r="H195" s="723">
        <v>0</v>
      </c>
      <c r="I195" s="724">
        <v>0</v>
      </c>
      <c r="J195" s="725">
        <v>0</v>
      </c>
      <c r="K195" s="721" t="s">
        <v>9</v>
      </c>
      <c r="L195" s="726"/>
      <c r="M195" s="724">
        <f t="shared" si="0"/>
        <v>40304</v>
      </c>
      <c r="N195" s="727"/>
      <c r="O195" s="727"/>
    </row>
    <row r="196" spans="1:15" ht="14.5">
      <c r="A196" s="719">
        <v>42928</v>
      </c>
      <c r="B196" s="720" t="s">
        <v>48</v>
      </c>
      <c r="C196" s="721" t="s">
        <v>69</v>
      </c>
      <c r="D196" s="722" t="s">
        <v>115</v>
      </c>
      <c r="E196" s="721" t="s">
        <v>71</v>
      </c>
      <c r="F196" s="722">
        <v>4400</v>
      </c>
      <c r="G196" s="723">
        <v>9.16</v>
      </c>
      <c r="H196" s="723">
        <v>9.17</v>
      </c>
      <c r="I196" s="724">
        <v>-2.21</v>
      </c>
      <c r="J196" s="725">
        <v>0</v>
      </c>
      <c r="K196" s="721" t="s">
        <v>9</v>
      </c>
      <c r="L196" s="726"/>
      <c r="M196" s="724" t="str">
        <f t="shared" si="0"/>
        <v/>
      </c>
      <c r="N196" s="727"/>
      <c r="O196" s="727"/>
    </row>
    <row r="197" spans="1:15" ht="14.5">
      <c r="A197" s="719">
        <v>42930</v>
      </c>
      <c r="B197" s="720" t="s">
        <v>47</v>
      </c>
      <c r="C197" s="721" t="s">
        <v>69</v>
      </c>
      <c r="D197" s="721" t="s">
        <v>115</v>
      </c>
      <c r="E197" s="721" t="s">
        <v>71</v>
      </c>
      <c r="F197" s="722">
        <v>200</v>
      </c>
      <c r="G197" s="723">
        <v>9.2100000000000009</v>
      </c>
      <c r="H197" s="723">
        <v>0</v>
      </c>
      <c r="I197" s="724">
        <v>0</v>
      </c>
      <c r="J197" s="725">
        <v>0</v>
      </c>
      <c r="K197" s="721" t="s">
        <v>9</v>
      </c>
      <c r="L197" s="726"/>
      <c r="M197" s="724"/>
      <c r="N197" s="727"/>
      <c r="O197" s="727"/>
    </row>
    <row r="198" spans="1:15" ht="14.5">
      <c r="A198" s="719">
        <v>42930</v>
      </c>
      <c r="B198" s="720" t="s">
        <v>47</v>
      </c>
      <c r="C198" s="721" t="s">
        <v>69</v>
      </c>
      <c r="D198" s="722" t="s">
        <v>115</v>
      </c>
      <c r="E198" s="721" t="s">
        <v>71</v>
      </c>
      <c r="F198" s="722">
        <v>4200</v>
      </c>
      <c r="G198" s="723">
        <v>9.19</v>
      </c>
      <c r="H198" s="723">
        <v>0</v>
      </c>
      <c r="I198" s="724">
        <v>0</v>
      </c>
      <c r="J198" s="725">
        <v>0</v>
      </c>
      <c r="K198" s="721" t="s">
        <v>9</v>
      </c>
      <c r="L198" s="726"/>
      <c r="M198" s="724">
        <v>40440</v>
      </c>
      <c r="N198" s="727"/>
      <c r="O198" s="727"/>
    </row>
    <row r="199" spans="1:15" ht="14.5">
      <c r="A199" s="719">
        <v>42933</v>
      </c>
      <c r="B199" s="720" t="s">
        <v>48</v>
      </c>
      <c r="C199" s="721" t="s">
        <v>69</v>
      </c>
      <c r="D199" s="722" t="s">
        <v>115</v>
      </c>
      <c r="E199" s="721" t="s">
        <v>71</v>
      </c>
      <c r="F199" s="722">
        <v>4400</v>
      </c>
      <c r="G199" s="723">
        <v>9.24</v>
      </c>
      <c r="H199" s="723">
        <v>9.1999999999999993</v>
      </c>
      <c r="I199" s="724">
        <v>213.63</v>
      </c>
      <c r="J199" s="725">
        <v>0.52</v>
      </c>
      <c r="K199" s="721" t="s">
        <v>9</v>
      </c>
      <c r="L199" s="726"/>
      <c r="M199" s="724" t="str">
        <f t="shared" ref="M199:M398" si="1">IF(B199="Compra",F199*G199,"")</f>
        <v/>
      </c>
      <c r="N199" s="727"/>
      <c r="O199" s="727"/>
    </row>
    <row r="200" spans="1:15" ht="14.5">
      <c r="A200" s="775">
        <v>42933</v>
      </c>
      <c r="B200" s="776" t="s">
        <v>47</v>
      </c>
      <c r="C200" s="777" t="s">
        <v>69</v>
      </c>
      <c r="D200" s="778" t="s">
        <v>131</v>
      </c>
      <c r="E200" s="777" t="s">
        <v>71</v>
      </c>
      <c r="F200" s="778">
        <v>18000</v>
      </c>
      <c r="G200" s="779">
        <v>2.23</v>
      </c>
      <c r="H200" s="779">
        <v>0</v>
      </c>
      <c r="I200" s="780">
        <v>0</v>
      </c>
      <c r="J200" s="781">
        <v>0</v>
      </c>
      <c r="K200" s="777" t="s">
        <v>9</v>
      </c>
      <c r="L200" s="726"/>
      <c r="M200" s="780">
        <f t="shared" si="1"/>
        <v>40140</v>
      </c>
      <c r="N200" s="727"/>
      <c r="O200" s="727"/>
    </row>
    <row r="201" spans="1:15" ht="14.5">
      <c r="A201" s="775">
        <v>42934</v>
      </c>
      <c r="B201" s="776" t="s">
        <v>48</v>
      </c>
      <c r="C201" s="777" t="s">
        <v>69</v>
      </c>
      <c r="D201" s="778" t="s">
        <v>131</v>
      </c>
      <c r="E201" s="777" t="s">
        <v>71</v>
      </c>
      <c r="F201" s="778">
        <v>18000</v>
      </c>
      <c r="G201" s="779">
        <v>2.13</v>
      </c>
      <c r="H201" s="779">
        <v>2.23</v>
      </c>
      <c r="I201" s="780">
        <v>-1665.56</v>
      </c>
      <c r="J201" s="781">
        <v>-4.1399999999999997</v>
      </c>
      <c r="K201" s="777" t="s">
        <v>9</v>
      </c>
      <c r="L201" s="726"/>
      <c r="M201" s="780" t="str">
        <f t="shared" si="1"/>
        <v/>
      </c>
      <c r="N201" s="727"/>
      <c r="O201" s="727"/>
    </row>
    <row r="202" spans="1:15" ht="14.5">
      <c r="A202" s="719">
        <v>42934</v>
      </c>
      <c r="B202" s="720" t="s">
        <v>47</v>
      </c>
      <c r="C202" s="721" t="s">
        <v>69</v>
      </c>
      <c r="D202" s="722" t="s">
        <v>115</v>
      </c>
      <c r="E202" s="721" t="s">
        <v>71</v>
      </c>
      <c r="F202" s="722">
        <v>4200</v>
      </c>
      <c r="G202" s="723">
        <v>9.52</v>
      </c>
      <c r="H202" s="723">
        <v>0</v>
      </c>
      <c r="I202" s="724">
        <v>0</v>
      </c>
      <c r="J202" s="725">
        <v>0</v>
      </c>
      <c r="K202" s="721" t="s">
        <v>9</v>
      </c>
      <c r="L202" s="726"/>
      <c r="M202" s="724">
        <f t="shared" si="1"/>
        <v>39984</v>
      </c>
      <c r="N202" s="727"/>
      <c r="O202" s="727"/>
    </row>
    <row r="203" spans="1:15" ht="14.5">
      <c r="A203" s="719">
        <v>42935</v>
      </c>
      <c r="B203" s="720" t="s">
        <v>48</v>
      </c>
      <c r="C203" s="721" t="s">
        <v>69</v>
      </c>
      <c r="D203" s="722" t="s">
        <v>115</v>
      </c>
      <c r="E203" s="721" t="s">
        <v>71</v>
      </c>
      <c r="F203" s="722">
        <v>1600</v>
      </c>
      <c r="G203" s="723">
        <v>9.5299999999999994</v>
      </c>
      <c r="H203" s="723">
        <v>9.5299999999999994</v>
      </c>
      <c r="I203" s="724">
        <v>8.27</v>
      </c>
      <c r="J203" s="725">
        <v>0.05</v>
      </c>
      <c r="K203" s="721" t="s">
        <v>9</v>
      </c>
      <c r="L203" s="726"/>
      <c r="M203" s="724" t="str">
        <f t="shared" si="1"/>
        <v/>
      </c>
      <c r="N203" s="727"/>
      <c r="O203" s="727"/>
    </row>
    <row r="204" spans="1:15" ht="14.5">
      <c r="A204" s="719">
        <v>42935</v>
      </c>
      <c r="B204" s="720" t="s">
        <v>48</v>
      </c>
      <c r="C204" s="721" t="s">
        <v>69</v>
      </c>
      <c r="D204" s="722" t="s">
        <v>115</v>
      </c>
      <c r="E204" s="721" t="s">
        <v>71</v>
      </c>
      <c r="F204" s="722">
        <v>2600</v>
      </c>
      <c r="G204" s="723">
        <v>9.49</v>
      </c>
      <c r="H204" s="723">
        <v>9.5299999999999994</v>
      </c>
      <c r="I204" s="724">
        <v>-84.26</v>
      </c>
      <c r="J204" s="725">
        <v>-0.34000000000000008</v>
      </c>
      <c r="K204" s="721" t="s">
        <v>9</v>
      </c>
      <c r="L204" s="726"/>
      <c r="M204" s="724" t="str">
        <f t="shared" si="1"/>
        <v/>
      </c>
      <c r="N204" s="727"/>
      <c r="O204" s="727"/>
    </row>
    <row r="205" spans="1:15" ht="14.5">
      <c r="A205" s="796">
        <v>42935</v>
      </c>
      <c r="B205" s="797" t="s">
        <v>47</v>
      </c>
      <c r="C205" s="798" t="s">
        <v>69</v>
      </c>
      <c r="D205" s="799" t="s">
        <v>142</v>
      </c>
      <c r="E205" s="798" t="s">
        <v>71</v>
      </c>
      <c r="F205" s="799">
        <v>13000</v>
      </c>
      <c r="G205" s="800">
        <v>2.94</v>
      </c>
      <c r="H205" s="800">
        <v>0</v>
      </c>
      <c r="I205" s="801">
        <v>0</v>
      </c>
      <c r="J205" s="802">
        <v>0</v>
      </c>
      <c r="K205" s="798" t="s">
        <v>9</v>
      </c>
      <c r="L205" s="801"/>
      <c r="M205" s="801">
        <f t="shared" si="1"/>
        <v>38220</v>
      </c>
      <c r="N205" s="727"/>
      <c r="O205" s="727"/>
    </row>
    <row r="206" spans="1:15" ht="14.5">
      <c r="A206" s="796">
        <v>42936</v>
      </c>
      <c r="B206" s="797" t="s">
        <v>48</v>
      </c>
      <c r="C206" s="798" t="s">
        <v>69</v>
      </c>
      <c r="D206" s="799" t="s">
        <v>142</v>
      </c>
      <c r="E206" s="798" t="s">
        <v>71</v>
      </c>
      <c r="F206" s="799">
        <v>13000</v>
      </c>
      <c r="G206" s="800">
        <v>2.99</v>
      </c>
      <c r="H206" s="800">
        <v>2.94</v>
      </c>
      <c r="I206" s="801">
        <v>734.89999999999986</v>
      </c>
      <c r="J206" s="802">
        <v>1.92</v>
      </c>
      <c r="K206" s="798" t="s">
        <v>9</v>
      </c>
      <c r="L206" s="801"/>
      <c r="M206" s="801" t="str">
        <f t="shared" si="1"/>
        <v/>
      </c>
      <c r="N206" s="727"/>
      <c r="O206" s="727"/>
    </row>
    <row r="207" spans="1:15" ht="14.5">
      <c r="A207" s="719">
        <v>42936</v>
      </c>
      <c r="B207" s="720" t="s">
        <v>47</v>
      </c>
      <c r="C207" s="721" t="s">
        <v>69</v>
      </c>
      <c r="D207" s="722" t="s">
        <v>115</v>
      </c>
      <c r="E207" s="721" t="s">
        <v>71</v>
      </c>
      <c r="F207" s="722">
        <v>4300</v>
      </c>
      <c r="G207" s="723">
        <v>9.36</v>
      </c>
      <c r="H207" s="723">
        <v>0</v>
      </c>
      <c r="I207" s="724">
        <v>0</v>
      </c>
      <c r="J207" s="725">
        <v>0</v>
      </c>
      <c r="K207" s="721" t="s">
        <v>9</v>
      </c>
      <c r="L207" s="726"/>
      <c r="M207" s="724">
        <f t="shared" si="1"/>
        <v>40248</v>
      </c>
      <c r="N207" s="727"/>
      <c r="O207" s="727"/>
    </row>
    <row r="208" spans="1:15" ht="14.5">
      <c r="A208" s="719">
        <v>42937</v>
      </c>
      <c r="B208" s="720" t="s">
        <v>48</v>
      </c>
      <c r="C208" s="721" t="s">
        <v>69</v>
      </c>
      <c r="D208" s="722" t="s">
        <v>115</v>
      </c>
      <c r="E208" s="721" t="s">
        <v>71</v>
      </c>
      <c r="F208" s="722">
        <v>4300</v>
      </c>
      <c r="G208" s="723">
        <v>9.14</v>
      </c>
      <c r="H208" s="723">
        <v>9.36</v>
      </c>
      <c r="I208" s="724">
        <v>-946.86</v>
      </c>
      <c r="J208" s="725">
        <v>-2.35</v>
      </c>
      <c r="K208" s="721" t="s">
        <v>9</v>
      </c>
      <c r="L208" s="726"/>
      <c r="M208" s="724" t="str">
        <f t="shared" si="1"/>
        <v/>
      </c>
      <c r="N208" s="727"/>
      <c r="O208" s="727"/>
    </row>
    <row r="209" spans="1:15" ht="14.5">
      <c r="A209" s="796">
        <v>42937</v>
      </c>
      <c r="B209" s="797" t="s">
        <v>47</v>
      </c>
      <c r="C209" s="798" t="s">
        <v>69</v>
      </c>
      <c r="D209" s="799" t="s">
        <v>142</v>
      </c>
      <c r="E209" s="798" t="s">
        <v>71</v>
      </c>
      <c r="F209" s="799">
        <v>13000</v>
      </c>
      <c r="G209" s="800">
        <v>2.97</v>
      </c>
      <c r="H209" s="800">
        <v>0</v>
      </c>
      <c r="I209" s="801">
        <v>0</v>
      </c>
      <c r="J209" s="802">
        <v>0</v>
      </c>
      <c r="K209" s="798" t="s">
        <v>9</v>
      </c>
      <c r="L209" s="801"/>
      <c r="M209" s="801">
        <f t="shared" si="1"/>
        <v>38610</v>
      </c>
      <c r="N209" s="727"/>
      <c r="O209" s="727"/>
    </row>
    <row r="210" spans="1:15" ht="14.5">
      <c r="A210" s="796">
        <v>42940</v>
      </c>
      <c r="B210" s="797" t="s">
        <v>48</v>
      </c>
      <c r="C210" s="798" t="s">
        <v>69</v>
      </c>
      <c r="D210" s="799" t="s">
        <v>142</v>
      </c>
      <c r="E210" s="798" t="s">
        <v>71</v>
      </c>
      <c r="F210" s="799">
        <v>13000</v>
      </c>
      <c r="G210" s="800">
        <v>2.97</v>
      </c>
      <c r="H210" s="800">
        <v>2.97</v>
      </c>
      <c r="I210" s="801">
        <v>84.86</v>
      </c>
      <c r="J210" s="802">
        <v>0.21000000000000002</v>
      </c>
      <c r="K210" s="798" t="s">
        <v>9</v>
      </c>
      <c r="L210" s="801"/>
      <c r="M210" s="801" t="str">
        <f t="shared" si="1"/>
        <v/>
      </c>
      <c r="N210" s="727"/>
      <c r="O210" s="727"/>
    </row>
    <row r="211" spans="1:15" ht="14.5">
      <c r="A211" s="719">
        <v>42940</v>
      </c>
      <c r="B211" s="720" t="s">
        <v>47</v>
      </c>
      <c r="C211" s="721" t="s">
        <v>69</v>
      </c>
      <c r="D211" s="722" t="s">
        <v>115</v>
      </c>
      <c r="E211" s="721" t="s">
        <v>71</v>
      </c>
      <c r="F211" s="722">
        <v>4500</v>
      </c>
      <c r="G211" s="723">
        <v>9.02</v>
      </c>
      <c r="H211" s="723">
        <v>0</v>
      </c>
      <c r="I211" s="724">
        <v>0</v>
      </c>
      <c r="J211" s="725">
        <v>0</v>
      </c>
      <c r="K211" s="721" t="s">
        <v>9</v>
      </c>
      <c r="L211" s="726"/>
      <c r="M211" s="724">
        <f t="shared" si="1"/>
        <v>40590</v>
      </c>
      <c r="N211" s="549" t="s">
        <v>21</v>
      </c>
      <c r="O211" s="550">
        <f>AVERAGE(M184:M213)</f>
        <v>39726.928571428572</v>
      </c>
    </row>
    <row r="212" spans="1:15" ht="14.5">
      <c r="A212" s="719">
        <v>42941</v>
      </c>
      <c r="B212" s="720" t="s">
        <v>48</v>
      </c>
      <c r="C212" s="721" t="s">
        <v>69</v>
      </c>
      <c r="D212" s="722" t="s">
        <v>115</v>
      </c>
      <c r="E212" s="721" t="s">
        <v>134</v>
      </c>
      <c r="F212" s="722">
        <v>4500</v>
      </c>
      <c r="G212" s="723">
        <v>9.08</v>
      </c>
      <c r="H212" s="723">
        <v>9.0299999999999994</v>
      </c>
      <c r="I212" s="724">
        <v>268.51</v>
      </c>
      <c r="J212" s="725">
        <v>0.66000000000000014</v>
      </c>
      <c r="K212" s="721" t="s">
        <v>9</v>
      </c>
      <c r="L212" s="726"/>
      <c r="M212" s="724" t="str">
        <f t="shared" si="1"/>
        <v/>
      </c>
      <c r="N212" s="551" t="s">
        <v>102</v>
      </c>
      <c r="O212" s="552">
        <v>0</v>
      </c>
    </row>
    <row r="213" spans="1:15" ht="14.5">
      <c r="A213" s="796">
        <v>42941</v>
      </c>
      <c r="B213" s="797" t="s">
        <v>47</v>
      </c>
      <c r="C213" s="798" t="s">
        <v>69</v>
      </c>
      <c r="D213" s="799" t="s">
        <v>142</v>
      </c>
      <c r="E213" s="798" t="s">
        <v>134</v>
      </c>
      <c r="F213" s="799">
        <v>14000</v>
      </c>
      <c r="G213" s="800">
        <v>2.85</v>
      </c>
      <c r="H213" s="800">
        <v>0</v>
      </c>
      <c r="I213" s="801">
        <v>0</v>
      </c>
      <c r="J213" s="802">
        <v>0</v>
      </c>
      <c r="K213" s="798" t="s">
        <v>9</v>
      </c>
      <c r="L213" s="801">
        <f>SUM(I183:I213)</f>
        <v>-767.58000000000038</v>
      </c>
      <c r="M213" s="801">
        <f t="shared" si="1"/>
        <v>39900</v>
      </c>
      <c r="N213" s="553" t="s">
        <v>126</v>
      </c>
      <c r="O213" s="555">
        <f>(L213-O212)/O211</f>
        <v>-1.9321403078516382E-2</v>
      </c>
    </row>
    <row r="214" spans="1:15" ht="14.5">
      <c r="A214" s="803">
        <v>42955</v>
      </c>
      <c r="B214" s="804" t="s">
        <v>48</v>
      </c>
      <c r="C214" s="805" t="s">
        <v>69</v>
      </c>
      <c r="D214" s="806" t="s">
        <v>142</v>
      </c>
      <c r="E214" s="805" t="s">
        <v>134</v>
      </c>
      <c r="F214" s="806">
        <v>3700</v>
      </c>
      <c r="G214" s="807">
        <v>2.0099999999999998</v>
      </c>
      <c r="H214" s="807">
        <v>2.85</v>
      </c>
      <c r="I214" s="808">
        <v>-3089.49</v>
      </c>
      <c r="J214" s="809">
        <v>-29.28</v>
      </c>
      <c r="K214" s="805" t="s">
        <v>9</v>
      </c>
      <c r="L214" s="808"/>
      <c r="M214" s="808" t="str">
        <f t="shared" si="1"/>
        <v/>
      </c>
      <c r="N214" s="727"/>
      <c r="O214" s="727"/>
    </row>
    <row r="215" spans="1:15" ht="14.5">
      <c r="A215" s="761">
        <v>42955</v>
      </c>
      <c r="B215" s="762" t="s">
        <v>47</v>
      </c>
      <c r="C215" s="763" t="s">
        <v>69</v>
      </c>
      <c r="D215" s="766" t="s">
        <v>143</v>
      </c>
      <c r="E215" s="763" t="s">
        <v>134</v>
      </c>
      <c r="F215" s="766">
        <v>11000</v>
      </c>
      <c r="G215" s="764">
        <v>0.67</v>
      </c>
      <c r="H215" s="764">
        <v>0</v>
      </c>
      <c r="I215" s="750">
        <v>0</v>
      </c>
      <c r="J215" s="765">
        <v>0</v>
      </c>
      <c r="K215" s="763" t="s">
        <v>9</v>
      </c>
      <c r="L215" s="750"/>
      <c r="M215" s="750">
        <f t="shared" si="1"/>
        <v>7370</v>
      </c>
      <c r="N215" s="727"/>
      <c r="O215" s="727"/>
    </row>
    <row r="216" spans="1:15" ht="14.5">
      <c r="A216" s="803">
        <v>42956</v>
      </c>
      <c r="B216" s="804" t="s">
        <v>48</v>
      </c>
      <c r="C216" s="805" t="s">
        <v>69</v>
      </c>
      <c r="D216" s="806" t="s">
        <v>142</v>
      </c>
      <c r="E216" s="805" t="s">
        <v>134</v>
      </c>
      <c r="F216" s="806">
        <v>10300</v>
      </c>
      <c r="G216" s="807">
        <v>1.6799999999999997</v>
      </c>
      <c r="H216" s="807">
        <v>2.85</v>
      </c>
      <c r="I216" s="808">
        <v>-11980.55</v>
      </c>
      <c r="J216" s="809">
        <v>-40.78</v>
      </c>
      <c r="K216" s="805" t="s">
        <v>9</v>
      </c>
      <c r="L216" s="808"/>
      <c r="M216" s="808" t="str">
        <f t="shared" si="1"/>
        <v/>
      </c>
      <c r="N216" s="727"/>
      <c r="O216" s="727"/>
    </row>
    <row r="217" spans="1:15" ht="14.5">
      <c r="A217" s="751">
        <v>42956</v>
      </c>
      <c r="B217" s="752" t="s">
        <v>47</v>
      </c>
      <c r="C217" s="753" t="s">
        <v>69</v>
      </c>
      <c r="D217" s="754" t="s">
        <v>115</v>
      </c>
      <c r="E217" s="753" t="s">
        <v>134</v>
      </c>
      <c r="F217" s="754">
        <v>1600</v>
      </c>
      <c r="G217" s="755">
        <v>10.4</v>
      </c>
      <c r="H217" s="755">
        <v>0</v>
      </c>
      <c r="I217" s="756">
        <v>0</v>
      </c>
      <c r="J217" s="757">
        <v>0</v>
      </c>
      <c r="K217" s="753" t="s">
        <v>9</v>
      </c>
      <c r="L217" s="750"/>
      <c r="M217" s="756">
        <f t="shared" si="1"/>
        <v>16640</v>
      </c>
      <c r="N217" s="727"/>
      <c r="O217" s="727"/>
    </row>
    <row r="218" spans="1:15" ht="14.5">
      <c r="A218" s="751">
        <v>42958</v>
      </c>
      <c r="B218" s="752" t="s">
        <v>48</v>
      </c>
      <c r="C218" s="753" t="s">
        <v>69</v>
      </c>
      <c r="D218" s="754" t="s">
        <v>115</v>
      </c>
      <c r="E218" s="753" t="s">
        <v>134</v>
      </c>
      <c r="F218" s="754">
        <v>1600</v>
      </c>
      <c r="G218" s="755">
        <v>9.7100000000000009</v>
      </c>
      <c r="H218" s="755">
        <v>10.41</v>
      </c>
      <c r="I218" s="756">
        <v>-1118.46</v>
      </c>
      <c r="J218" s="757">
        <v>-6.71</v>
      </c>
      <c r="K218" s="753" t="s">
        <v>9</v>
      </c>
      <c r="L218" s="750"/>
      <c r="M218" s="756" t="str">
        <f t="shared" si="1"/>
        <v/>
      </c>
      <c r="N218" s="727"/>
      <c r="O218" s="727"/>
    </row>
    <row r="219" spans="1:15" ht="14.5">
      <c r="A219" s="803">
        <v>42958</v>
      </c>
      <c r="B219" s="804" t="s">
        <v>47</v>
      </c>
      <c r="C219" s="805" t="s">
        <v>69</v>
      </c>
      <c r="D219" s="806" t="s">
        <v>142</v>
      </c>
      <c r="E219" s="805" t="s">
        <v>134</v>
      </c>
      <c r="F219" s="806">
        <v>8000</v>
      </c>
      <c r="G219" s="807">
        <v>1.92</v>
      </c>
      <c r="H219" s="807">
        <v>0</v>
      </c>
      <c r="I219" s="808">
        <v>0</v>
      </c>
      <c r="J219" s="809">
        <v>0</v>
      </c>
      <c r="K219" s="805" t="s">
        <v>9</v>
      </c>
      <c r="L219" s="808"/>
      <c r="M219" s="808">
        <f t="shared" si="1"/>
        <v>15360</v>
      </c>
      <c r="N219" s="727"/>
      <c r="O219" s="727"/>
    </row>
    <row r="220" spans="1:15" ht="14.5">
      <c r="A220" s="803">
        <v>42963</v>
      </c>
      <c r="B220" s="804" t="s">
        <v>48</v>
      </c>
      <c r="C220" s="805" t="s">
        <v>69</v>
      </c>
      <c r="D220" s="806" t="s">
        <v>142</v>
      </c>
      <c r="E220" s="805" t="s">
        <v>134</v>
      </c>
      <c r="F220" s="806">
        <v>8000</v>
      </c>
      <c r="G220" s="807">
        <v>2.08</v>
      </c>
      <c r="H220" s="807">
        <v>1.92</v>
      </c>
      <c r="I220" s="808">
        <v>1329.57</v>
      </c>
      <c r="J220" s="809">
        <v>0.09</v>
      </c>
      <c r="K220" s="805" t="s">
        <v>9</v>
      </c>
      <c r="L220" s="808"/>
      <c r="M220" s="808" t="str">
        <f t="shared" si="1"/>
        <v/>
      </c>
      <c r="N220" s="727"/>
      <c r="O220" s="727"/>
    </row>
    <row r="221" spans="1:15" ht="14.5">
      <c r="A221" s="810">
        <v>42963</v>
      </c>
      <c r="B221" s="811" t="s">
        <v>47</v>
      </c>
      <c r="C221" s="812" t="s">
        <v>69</v>
      </c>
      <c r="D221" s="813" t="s">
        <v>92</v>
      </c>
      <c r="E221" s="812" t="s">
        <v>134</v>
      </c>
      <c r="F221" s="813">
        <v>10000</v>
      </c>
      <c r="G221" s="814">
        <v>1.59</v>
      </c>
      <c r="H221" s="814">
        <v>0</v>
      </c>
      <c r="I221" s="815">
        <v>0</v>
      </c>
      <c r="J221" s="816">
        <v>0</v>
      </c>
      <c r="K221" s="812" t="s">
        <v>9</v>
      </c>
      <c r="L221" s="815"/>
      <c r="M221" s="815">
        <f t="shared" si="1"/>
        <v>15900</v>
      </c>
      <c r="N221" s="727"/>
      <c r="O221" s="727"/>
    </row>
    <row r="222" spans="1:15" ht="14.5">
      <c r="A222" s="810">
        <v>42969</v>
      </c>
      <c r="B222" s="811" t="s">
        <v>48</v>
      </c>
      <c r="C222" s="812" t="s">
        <v>69</v>
      </c>
      <c r="D222" s="813" t="s">
        <v>92</v>
      </c>
      <c r="E222" s="812" t="s">
        <v>134</v>
      </c>
      <c r="F222" s="813">
        <v>10000</v>
      </c>
      <c r="G222" s="814">
        <v>1.59</v>
      </c>
      <c r="H222" s="814">
        <v>1.59</v>
      </c>
      <c r="I222" s="815">
        <v>69.63</v>
      </c>
      <c r="J222" s="816">
        <v>0.43</v>
      </c>
      <c r="K222" s="812" t="s">
        <v>9</v>
      </c>
      <c r="L222" s="815"/>
      <c r="M222" s="815" t="str">
        <f t="shared" si="1"/>
        <v/>
      </c>
      <c r="N222" s="727"/>
      <c r="O222" s="727"/>
    </row>
    <row r="223" spans="1:15" ht="14.5">
      <c r="A223" s="761">
        <v>42969</v>
      </c>
      <c r="B223" s="762" t="s">
        <v>47</v>
      </c>
      <c r="C223" s="763" t="s">
        <v>69</v>
      </c>
      <c r="D223" s="766" t="s">
        <v>132</v>
      </c>
      <c r="E223" s="763" t="s">
        <v>134</v>
      </c>
      <c r="F223" s="766">
        <v>2500</v>
      </c>
      <c r="G223" s="764">
        <v>6.24</v>
      </c>
      <c r="H223" s="764">
        <v>0</v>
      </c>
      <c r="I223" s="750">
        <v>0</v>
      </c>
      <c r="J223" s="765">
        <v>0</v>
      </c>
      <c r="K223" s="763" t="s">
        <v>9</v>
      </c>
      <c r="L223" s="750"/>
      <c r="M223" s="750">
        <f t="shared" si="1"/>
        <v>15600</v>
      </c>
      <c r="N223" s="727"/>
      <c r="O223" s="727"/>
    </row>
    <row r="224" spans="1:15" ht="14.5">
      <c r="A224" s="761">
        <v>42970</v>
      </c>
      <c r="B224" s="762" t="s">
        <v>48</v>
      </c>
      <c r="C224" s="763" t="s">
        <v>69</v>
      </c>
      <c r="D224" s="766" t="s">
        <v>132</v>
      </c>
      <c r="E224" s="763" t="s">
        <v>134</v>
      </c>
      <c r="F224" s="766">
        <v>2500</v>
      </c>
      <c r="G224" s="764">
        <v>6.28</v>
      </c>
      <c r="H224" s="764">
        <v>6.25</v>
      </c>
      <c r="I224" s="750">
        <v>94.81</v>
      </c>
      <c r="J224" s="765">
        <v>0.6</v>
      </c>
      <c r="K224" s="763" t="s">
        <v>9</v>
      </c>
      <c r="L224" s="750"/>
      <c r="M224" s="750" t="str">
        <f t="shared" si="1"/>
        <v/>
      </c>
      <c r="N224" s="727"/>
      <c r="O224" s="727"/>
    </row>
    <row r="225" spans="1:15" ht="14.5">
      <c r="A225" s="743">
        <v>42970</v>
      </c>
      <c r="B225" s="744" t="s">
        <v>47</v>
      </c>
      <c r="C225" s="745" t="s">
        <v>69</v>
      </c>
      <c r="D225" s="746" t="s">
        <v>129</v>
      </c>
      <c r="E225" s="745" t="s">
        <v>134</v>
      </c>
      <c r="F225" s="746">
        <v>2000</v>
      </c>
      <c r="G225" s="747">
        <v>8.259999999999998</v>
      </c>
      <c r="H225" s="747">
        <v>0</v>
      </c>
      <c r="I225" s="748">
        <v>0</v>
      </c>
      <c r="J225" s="749">
        <v>0</v>
      </c>
      <c r="K225" s="745" t="s">
        <v>9</v>
      </c>
      <c r="L225" s="750"/>
      <c r="M225" s="748">
        <f t="shared" si="1"/>
        <v>16519.999999999996</v>
      </c>
      <c r="N225" s="727"/>
      <c r="O225" s="727"/>
    </row>
    <row r="226" spans="1:15" ht="14.5">
      <c r="A226" s="743">
        <v>42971</v>
      </c>
      <c r="B226" s="744" t="s">
        <v>48</v>
      </c>
      <c r="C226" s="745" t="s">
        <v>69</v>
      </c>
      <c r="D226" s="746" t="s">
        <v>129</v>
      </c>
      <c r="E226" s="745" t="s">
        <v>134</v>
      </c>
      <c r="F226" s="746">
        <v>2000</v>
      </c>
      <c r="G226" s="747">
        <v>8.3800000000000008</v>
      </c>
      <c r="H226" s="747">
        <v>8.27</v>
      </c>
      <c r="I226" s="748">
        <v>229.17</v>
      </c>
      <c r="J226" s="749">
        <v>1.38</v>
      </c>
      <c r="K226" s="745" t="s">
        <v>9</v>
      </c>
      <c r="L226" s="750"/>
      <c r="M226" s="748" t="str">
        <f t="shared" si="1"/>
        <v/>
      </c>
      <c r="N226" s="727"/>
      <c r="O226" s="727"/>
    </row>
    <row r="227" spans="1:15" ht="14.5">
      <c r="A227" s="751">
        <v>42972</v>
      </c>
      <c r="B227" s="752" t="s">
        <v>47</v>
      </c>
      <c r="C227" s="753" t="s">
        <v>69</v>
      </c>
      <c r="D227" s="754" t="s">
        <v>115</v>
      </c>
      <c r="E227" s="753" t="s">
        <v>71</v>
      </c>
      <c r="F227" s="754">
        <v>1500</v>
      </c>
      <c r="G227" s="755">
        <v>10.79</v>
      </c>
      <c r="H227" s="755">
        <v>0</v>
      </c>
      <c r="I227" s="756">
        <v>0</v>
      </c>
      <c r="J227" s="757">
        <v>0</v>
      </c>
      <c r="K227" s="753" t="s">
        <v>9</v>
      </c>
      <c r="L227" s="750"/>
      <c r="M227" s="756">
        <f t="shared" si="1"/>
        <v>16184.999999999998</v>
      </c>
      <c r="N227" s="727"/>
      <c r="O227" s="727"/>
    </row>
    <row r="228" spans="1:15" ht="14.5">
      <c r="A228" s="751">
        <v>42975</v>
      </c>
      <c r="B228" s="752" t="s">
        <v>48</v>
      </c>
      <c r="C228" s="753" t="s">
        <v>69</v>
      </c>
      <c r="D228" s="754" t="s">
        <v>115</v>
      </c>
      <c r="E228" s="753" t="s">
        <v>71</v>
      </c>
      <c r="F228" s="754">
        <v>1500</v>
      </c>
      <c r="G228" s="755">
        <v>10.93</v>
      </c>
      <c r="H228" s="755">
        <v>10.79</v>
      </c>
      <c r="I228" s="756">
        <v>224.4</v>
      </c>
      <c r="J228" s="757">
        <v>1.38</v>
      </c>
      <c r="K228" s="753" t="s">
        <v>9</v>
      </c>
      <c r="L228" s="750"/>
      <c r="M228" s="756" t="str">
        <f t="shared" si="1"/>
        <v/>
      </c>
      <c r="N228" s="727"/>
      <c r="O228" s="727"/>
    </row>
    <row r="229" spans="1:15" ht="14.5">
      <c r="A229" s="743">
        <v>42975</v>
      </c>
      <c r="B229" s="744" t="s">
        <v>47</v>
      </c>
      <c r="C229" s="745" t="s">
        <v>69</v>
      </c>
      <c r="D229" s="746" t="s">
        <v>129</v>
      </c>
      <c r="E229" s="745" t="s">
        <v>71</v>
      </c>
      <c r="F229" s="746">
        <v>2000</v>
      </c>
      <c r="G229" s="747">
        <v>8.5</v>
      </c>
      <c r="H229" s="747">
        <v>0</v>
      </c>
      <c r="I229" s="748">
        <v>0</v>
      </c>
      <c r="J229" s="749">
        <v>0</v>
      </c>
      <c r="K229" s="745" t="s">
        <v>9</v>
      </c>
      <c r="L229" s="750"/>
      <c r="M229" s="748">
        <f t="shared" si="1"/>
        <v>17000</v>
      </c>
      <c r="N229" s="727"/>
      <c r="O229" s="727"/>
    </row>
    <row r="230" spans="1:15" ht="14.5">
      <c r="A230" s="743">
        <v>42976</v>
      </c>
      <c r="B230" s="744" t="s">
        <v>48</v>
      </c>
      <c r="C230" s="745" t="s">
        <v>69</v>
      </c>
      <c r="D230" s="746" t="s">
        <v>129</v>
      </c>
      <c r="E230" s="745" t="s">
        <v>71</v>
      </c>
      <c r="F230" s="746">
        <v>2000</v>
      </c>
      <c r="G230" s="747">
        <v>8.42</v>
      </c>
      <c r="H230" s="747">
        <v>8.5</v>
      </c>
      <c r="I230" s="748">
        <v>-164</v>
      </c>
      <c r="J230" s="749">
        <v>-0.96</v>
      </c>
      <c r="K230" s="745" t="s">
        <v>9</v>
      </c>
      <c r="L230" s="750"/>
      <c r="M230" s="748" t="str">
        <f t="shared" si="1"/>
        <v/>
      </c>
      <c r="N230" s="727"/>
      <c r="O230" s="727"/>
    </row>
    <row r="231" spans="1:15" ht="14.5">
      <c r="A231" s="751">
        <v>42976</v>
      </c>
      <c r="B231" s="752" t="s">
        <v>47</v>
      </c>
      <c r="C231" s="753" t="s">
        <v>69</v>
      </c>
      <c r="D231" s="754" t="s">
        <v>115</v>
      </c>
      <c r="E231" s="753" t="s">
        <v>71</v>
      </c>
      <c r="F231" s="754">
        <v>1500</v>
      </c>
      <c r="G231" s="755">
        <v>11.08</v>
      </c>
      <c r="H231" s="755">
        <v>0</v>
      </c>
      <c r="I231" s="756">
        <v>0</v>
      </c>
      <c r="J231" s="757">
        <v>0</v>
      </c>
      <c r="K231" s="753" t="s">
        <v>9</v>
      </c>
      <c r="L231" s="750"/>
      <c r="M231" s="756">
        <f t="shared" si="1"/>
        <v>16620</v>
      </c>
      <c r="N231" s="727"/>
      <c r="O231" s="727"/>
    </row>
    <row r="232" spans="1:15" ht="14.5">
      <c r="A232" s="751">
        <v>42977</v>
      </c>
      <c r="B232" s="752" t="s">
        <v>48</v>
      </c>
      <c r="C232" s="753" t="s">
        <v>69</v>
      </c>
      <c r="D232" s="754" t="s">
        <v>115</v>
      </c>
      <c r="E232" s="753" t="s">
        <v>71</v>
      </c>
      <c r="F232" s="754">
        <v>1500</v>
      </c>
      <c r="G232" s="755">
        <v>11.24</v>
      </c>
      <c r="H232" s="755">
        <v>11.08</v>
      </c>
      <c r="I232" s="756">
        <v>254.11</v>
      </c>
      <c r="J232" s="757">
        <v>1.52</v>
      </c>
      <c r="K232" s="753" t="s">
        <v>9</v>
      </c>
      <c r="L232" s="750"/>
      <c r="M232" s="756" t="str">
        <f t="shared" si="1"/>
        <v/>
      </c>
      <c r="N232" s="727"/>
      <c r="O232" s="727"/>
    </row>
    <row r="233" spans="1:15" ht="14.5">
      <c r="A233" s="761">
        <v>42977</v>
      </c>
      <c r="B233" s="762" t="s">
        <v>47</v>
      </c>
      <c r="C233" s="763" t="s">
        <v>69</v>
      </c>
      <c r="D233" s="766" t="s">
        <v>132</v>
      </c>
      <c r="E233" s="763" t="s">
        <v>71</v>
      </c>
      <c r="F233" s="766">
        <v>2500</v>
      </c>
      <c r="G233" s="764">
        <v>6.54</v>
      </c>
      <c r="H233" s="764">
        <v>0</v>
      </c>
      <c r="I233" s="750">
        <v>0</v>
      </c>
      <c r="J233" s="765">
        <v>0</v>
      </c>
      <c r="K233" s="763" t="s">
        <v>9</v>
      </c>
      <c r="L233" s="750"/>
      <c r="M233" s="750">
        <f t="shared" si="1"/>
        <v>16350</v>
      </c>
      <c r="N233" s="549" t="s">
        <v>21</v>
      </c>
      <c r="O233" s="550">
        <f>AVERAGE(M214:M235)</f>
        <v>15848.09090909091</v>
      </c>
    </row>
    <row r="234" spans="1:15" ht="14.5">
      <c r="A234" s="761">
        <v>42978</v>
      </c>
      <c r="B234" s="762" t="s">
        <v>48</v>
      </c>
      <c r="C234" s="763" t="s">
        <v>69</v>
      </c>
      <c r="D234" s="766" t="s">
        <v>132</v>
      </c>
      <c r="E234" s="763" t="s">
        <v>71</v>
      </c>
      <c r="F234" s="766">
        <v>2500</v>
      </c>
      <c r="G234" s="764">
        <v>6.71</v>
      </c>
      <c r="H234" s="764">
        <v>6.55</v>
      </c>
      <c r="I234" s="750">
        <v>419.22</v>
      </c>
      <c r="J234" s="765">
        <v>2.56</v>
      </c>
      <c r="K234" s="763" t="s">
        <v>9</v>
      </c>
      <c r="L234" s="750"/>
      <c r="M234" s="750" t="str">
        <f t="shared" si="1"/>
        <v/>
      </c>
      <c r="N234" s="551" t="s">
        <v>102</v>
      </c>
      <c r="O234" s="552">
        <v>0</v>
      </c>
    </row>
    <row r="235" spans="1:15" ht="14.5">
      <c r="A235" s="743">
        <v>42978</v>
      </c>
      <c r="B235" s="744" t="s">
        <v>47</v>
      </c>
      <c r="C235" s="745" t="s">
        <v>69</v>
      </c>
      <c r="D235" s="746" t="s">
        <v>129</v>
      </c>
      <c r="E235" s="745" t="s">
        <v>71</v>
      </c>
      <c r="F235" s="746">
        <v>2400</v>
      </c>
      <c r="G235" s="747">
        <v>8.66</v>
      </c>
      <c r="H235" s="747">
        <v>0</v>
      </c>
      <c r="I235" s="748">
        <v>0</v>
      </c>
      <c r="J235" s="749">
        <v>0</v>
      </c>
      <c r="K235" s="745" t="s">
        <v>9</v>
      </c>
      <c r="L235" s="750">
        <f>SUM(I213:I235)</f>
        <v>-13731.590000000002</v>
      </c>
      <c r="M235" s="748">
        <f t="shared" si="1"/>
        <v>20784</v>
      </c>
      <c r="N235" s="553" t="s">
        <v>126</v>
      </c>
      <c r="O235" s="555">
        <f>(L235-O234)/O233</f>
        <v>-0.86645073395705829</v>
      </c>
    </row>
    <row r="236" spans="1:15" ht="14.5">
      <c r="A236" s="729">
        <v>42979</v>
      </c>
      <c r="B236" s="730" t="s">
        <v>48</v>
      </c>
      <c r="C236" s="731" t="s">
        <v>69</v>
      </c>
      <c r="D236" s="732" t="s">
        <v>129</v>
      </c>
      <c r="E236" s="731" t="s">
        <v>71</v>
      </c>
      <c r="F236" s="732">
        <v>2400</v>
      </c>
      <c r="G236" s="733">
        <v>8.7899999999999991</v>
      </c>
      <c r="H236" s="733">
        <v>8.67</v>
      </c>
      <c r="I236" s="734">
        <v>302.38</v>
      </c>
      <c r="J236" s="735">
        <v>1.45</v>
      </c>
      <c r="K236" s="731" t="s">
        <v>9</v>
      </c>
      <c r="L236" s="726"/>
      <c r="M236" s="734" t="str">
        <f t="shared" si="1"/>
        <v/>
      </c>
      <c r="N236" s="727"/>
      <c r="O236" s="727"/>
    </row>
    <row r="237" spans="1:15" ht="14.5">
      <c r="A237" s="736">
        <v>42979</v>
      </c>
      <c r="B237" s="737" t="s">
        <v>47</v>
      </c>
      <c r="C237" s="738" t="s">
        <v>69</v>
      </c>
      <c r="D237" s="739" t="s">
        <v>132</v>
      </c>
      <c r="E237" s="738" t="s">
        <v>71</v>
      </c>
      <c r="F237" s="739">
        <v>2700</v>
      </c>
      <c r="G237" s="740">
        <v>7.59</v>
      </c>
      <c r="H237" s="740">
        <v>0</v>
      </c>
      <c r="I237" s="726">
        <v>0</v>
      </c>
      <c r="J237" s="741">
        <v>0</v>
      </c>
      <c r="K237" s="726" t="s">
        <v>9</v>
      </c>
      <c r="L237" s="726"/>
      <c r="M237" s="726">
        <f t="shared" si="1"/>
        <v>20493</v>
      </c>
      <c r="N237" s="727"/>
      <c r="O237" s="727"/>
    </row>
    <row r="238" spans="1:15" ht="14.5">
      <c r="A238" s="736">
        <v>42982</v>
      </c>
      <c r="B238" s="737" t="s">
        <v>48</v>
      </c>
      <c r="C238" s="738" t="s">
        <v>69</v>
      </c>
      <c r="D238" s="739" t="s">
        <v>132</v>
      </c>
      <c r="E238" s="738" t="s">
        <v>71</v>
      </c>
      <c r="F238" s="739">
        <v>2700</v>
      </c>
      <c r="G238" s="740">
        <v>7.54</v>
      </c>
      <c r="H238" s="740">
        <v>7.5999999999999988</v>
      </c>
      <c r="I238" s="726">
        <v>-141.28</v>
      </c>
      <c r="J238" s="741">
        <v>-0.68000000000000016</v>
      </c>
      <c r="K238" s="726" t="s">
        <v>9</v>
      </c>
      <c r="L238" s="726"/>
      <c r="M238" s="726" t="str">
        <f t="shared" si="1"/>
        <v/>
      </c>
      <c r="N238" s="727"/>
      <c r="O238" s="727"/>
    </row>
    <row r="239" spans="1:15" ht="14.5">
      <c r="A239" s="729">
        <v>42982</v>
      </c>
      <c r="B239" s="730" t="s">
        <v>47</v>
      </c>
      <c r="C239" s="731" t="s">
        <v>69</v>
      </c>
      <c r="D239" s="732" t="s">
        <v>129</v>
      </c>
      <c r="E239" s="731" t="s">
        <v>71</v>
      </c>
      <c r="F239" s="732">
        <v>2200</v>
      </c>
      <c r="G239" s="733">
        <v>9.3000000000000007</v>
      </c>
      <c r="H239" s="733">
        <v>0</v>
      </c>
      <c r="I239" s="734">
        <v>0</v>
      </c>
      <c r="J239" s="735">
        <v>0</v>
      </c>
      <c r="K239" s="731" t="s">
        <v>9</v>
      </c>
      <c r="L239" s="726"/>
      <c r="M239" s="734">
        <f t="shared" si="1"/>
        <v>20460</v>
      </c>
      <c r="N239" s="727"/>
      <c r="O239" s="727"/>
    </row>
    <row r="240" spans="1:15" ht="14.5">
      <c r="A240" s="729">
        <v>42983</v>
      </c>
      <c r="B240" s="730" t="s">
        <v>48</v>
      </c>
      <c r="C240" s="731" t="s">
        <v>69</v>
      </c>
      <c r="D240" s="732" t="s">
        <v>129</v>
      </c>
      <c r="E240" s="731" t="s">
        <v>71</v>
      </c>
      <c r="F240" s="732">
        <v>2200</v>
      </c>
      <c r="G240" s="733">
        <v>9.81</v>
      </c>
      <c r="H240" s="733">
        <v>9.31</v>
      </c>
      <c r="I240" s="734">
        <v>1110.32</v>
      </c>
      <c r="J240" s="735">
        <v>5.42</v>
      </c>
      <c r="K240" s="731" t="s">
        <v>9</v>
      </c>
      <c r="L240" s="726"/>
      <c r="M240" s="734" t="str">
        <f t="shared" si="1"/>
        <v/>
      </c>
      <c r="N240" s="727"/>
      <c r="O240" s="727"/>
    </row>
    <row r="241" spans="1:15" ht="14.5">
      <c r="A241" s="729">
        <v>42986</v>
      </c>
      <c r="B241" s="730" t="s">
        <v>47</v>
      </c>
      <c r="C241" s="731" t="s">
        <v>69</v>
      </c>
      <c r="D241" s="732" t="s">
        <v>129</v>
      </c>
      <c r="E241" s="731" t="s">
        <v>71</v>
      </c>
      <c r="F241" s="732">
        <v>2000</v>
      </c>
      <c r="G241" s="733">
        <v>10.11</v>
      </c>
      <c r="H241" s="733">
        <v>0</v>
      </c>
      <c r="I241" s="734">
        <v>0</v>
      </c>
      <c r="J241" s="735">
        <v>0</v>
      </c>
      <c r="K241" s="731" t="s">
        <v>9</v>
      </c>
      <c r="L241" s="726"/>
      <c r="M241" s="734">
        <f t="shared" si="1"/>
        <v>20220</v>
      </c>
      <c r="N241" s="727"/>
      <c r="O241" s="727"/>
    </row>
    <row r="242" spans="1:15" ht="14.5">
      <c r="A242" s="729">
        <v>42991</v>
      </c>
      <c r="B242" s="730" t="s">
        <v>48</v>
      </c>
      <c r="C242" s="731" t="s">
        <v>69</v>
      </c>
      <c r="D242" s="732" t="s">
        <v>129</v>
      </c>
      <c r="E242" s="731" t="s">
        <v>71</v>
      </c>
      <c r="F242" s="732">
        <v>2000</v>
      </c>
      <c r="G242" s="733">
        <v>10.49</v>
      </c>
      <c r="H242" s="733">
        <v>10.119999999999999</v>
      </c>
      <c r="I242" s="734">
        <v>746.6</v>
      </c>
      <c r="J242" s="735">
        <v>3.68</v>
      </c>
      <c r="K242" s="731" t="s">
        <v>9</v>
      </c>
      <c r="L242" s="726"/>
      <c r="M242" s="734" t="str">
        <f t="shared" si="1"/>
        <v/>
      </c>
      <c r="N242" s="727"/>
      <c r="O242" s="727"/>
    </row>
    <row r="243" spans="1:15" ht="14.5">
      <c r="A243" s="719">
        <v>42991</v>
      </c>
      <c r="B243" s="720" t="s">
        <v>47</v>
      </c>
      <c r="C243" s="721" t="s">
        <v>69</v>
      </c>
      <c r="D243" s="722" t="s">
        <v>115</v>
      </c>
      <c r="E243" s="721" t="s">
        <v>71</v>
      </c>
      <c r="F243" s="722">
        <v>1600</v>
      </c>
      <c r="G243" s="723">
        <v>12.94</v>
      </c>
      <c r="H243" s="723">
        <v>0</v>
      </c>
      <c r="I243" s="724">
        <v>0</v>
      </c>
      <c r="J243" s="725">
        <v>0</v>
      </c>
      <c r="K243" s="721" t="s">
        <v>9</v>
      </c>
      <c r="L243" s="726"/>
      <c r="M243" s="724">
        <f t="shared" si="1"/>
        <v>20704</v>
      </c>
      <c r="N243" s="727"/>
      <c r="O243" s="727"/>
    </row>
    <row r="244" spans="1:15" ht="14.5">
      <c r="A244" s="719">
        <v>42992</v>
      </c>
      <c r="B244" s="720" t="s">
        <v>48</v>
      </c>
      <c r="C244" s="721" t="s">
        <v>69</v>
      </c>
      <c r="D244" s="722" t="s">
        <v>115</v>
      </c>
      <c r="E244" s="721" t="s">
        <v>71</v>
      </c>
      <c r="F244" s="722">
        <v>1600</v>
      </c>
      <c r="G244" s="723">
        <v>12.83</v>
      </c>
      <c r="H244" s="723">
        <v>12.94</v>
      </c>
      <c r="I244" s="724">
        <v>-161.4</v>
      </c>
      <c r="J244" s="725">
        <v>-0.77</v>
      </c>
      <c r="K244" s="721" t="s">
        <v>9</v>
      </c>
      <c r="L244" s="726"/>
      <c r="M244" s="724" t="str">
        <f t="shared" si="1"/>
        <v/>
      </c>
      <c r="N244" s="727"/>
      <c r="O244" s="727"/>
    </row>
    <row r="245" spans="1:15" ht="14.5">
      <c r="A245" s="729">
        <v>42992</v>
      </c>
      <c r="B245" s="730" t="s">
        <v>48</v>
      </c>
      <c r="C245" s="731" t="s">
        <v>69</v>
      </c>
      <c r="D245" s="732" t="s">
        <v>144</v>
      </c>
      <c r="E245" s="731" t="s">
        <v>71</v>
      </c>
      <c r="F245" s="732">
        <v>1222</v>
      </c>
      <c r="G245" s="733">
        <v>2.8</v>
      </c>
      <c r="H245" s="733">
        <v>0</v>
      </c>
      <c r="I245" s="734">
        <v>-3947.3</v>
      </c>
      <c r="J245" s="735">
        <v>100</v>
      </c>
      <c r="K245" s="731" t="s">
        <v>9</v>
      </c>
      <c r="L245" s="726"/>
      <c r="M245" s="734" t="str">
        <f t="shared" si="1"/>
        <v/>
      </c>
      <c r="N245" s="727"/>
      <c r="O245" s="727"/>
    </row>
    <row r="246" spans="1:15" ht="14.5">
      <c r="A246" s="817">
        <v>42992</v>
      </c>
      <c r="B246" s="818" t="s">
        <v>47</v>
      </c>
      <c r="C246" s="819" t="s">
        <v>69</v>
      </c>
      <c r="D246" s="820" t="s">
        <v>92</v>
      </c>
      <c r="E246" s="819" t="s">
        <v>71</v>
      </c>
      <c r="F246" s="820">
        <v>14000</v>
      </c>
      <c r="G246" s="821">
        <v>1.66</v>
      </c>
      <c r="H246" s="821">
        <v>0</v>
      </c>
      <c r="I246" s="822">
        <v>0</v>
      </c>
      <c r="J246" s="823">
        <v>0</v>
      </c>
      <c r="K246" s="819" t="s">
        <v>9</v>
      </c>
      <c r="L246" s="822"/>
      <c r="M246" s="822">
        <f t="shared" si="1"/>
        <v>23240</v>
      </c>
      <c r="N246" s="727"/>
      <c r="O246" s="727"/>
    </row>
    <row r="247" spans="1:15" ht="14.5">
      <c r="A247" s="817">
        <v>42993</v>
      </c>
      <c r="B247" s="818" t="s">
        <v>48</v>
      </c>
      <c r="C247" s="819" t="s">
        <v>69</v>
      </c>
      <c r="D247" s="820" t="s">
        <v>92</v>
      </c>
      <c r="E247" s="819" t="s">
        <v>71</v>
      </c>
      <c r="F247" s="820">
        <v>14000</v>
      </c>
      <c r="G247" s="821">
        <v>1.67</v>
      </c>
      <c r="H247" s="821">
        <v>1.66</v>
      </c>
      <c r="I247" s="822">
        <v>244.8</v>
      </c>
      <c r="J247" s="823">
        <v>1.05</v>
      </c>
      <c r="K247" s="819" t="s">
        <v>9</v>
      </c>
      <c r="L247" s="822"/>
      <c r="M247" s="822" t="str">
        <f t="shared" si="1"/>
        <v/>
      </c>
      <c r="N247" s="727"/>
      <c r="O247" s="727"/>
    </row>
    <row r="248" spans="1:15" ht="14.5">
      <c r="A248" s="729">
        <v>42993</v>
      </c>
      <c r="B248" s="730" t="s">
        <v>47</v>
      </c>
      <c r="C248" s="731" t="s">
        <v>69</v>
      </c>
      <c r="D248" s="732" t="s">
        <v>129</v>
      </c>
      <c r="E248" s="731" t="s">
        <v>71</v>
      </c>
      <c r="F248" s="732">
        <v>2500</v>
      </c>
      <c r="G248" s="733">
        <v>10.8</v>
      </c>
      <c r="H248" s="733">
        <v>0</v>
      </c>
      <c r="I248" s="734">
        <v>0</v>
      </c>
      <c r="J248" s="735">
        <v>0</v>
      </c>
      <c r="K248" s="731" t="s">
        <v>9</v>
      </c>
      <c r="L248" s="726"/>
      <c r="M248" s="734">
        <f t="shared" si="1"/>
        <v>27000</v>
      </c>
      <c r="N248" s="727"/>
      <c r="O248" s="727"/>
    </row>
    <row r="249" spans="1:15" ht="14.5">
      <c r="A249" s="729">
        <v>42997</v>
      </c>
      <c r="B249" s="730" t="s">
        <v>48</v>
      </c>
      <c r="C249" s="731" t="s">
        <v>69</v>
      </c>
      <c r="D249" s="732" t="s">
        <v>129</v>
      </c>
      <c r="E249" s="731" t="s">
        <v>71</v>
      </c>
      <c r="F249" s="732">
        <v>2500</v>
      </c>
      <c r="G249" s="733">
        <v>10.85</v>
      </c>
      <c r="H249" s="733">
        <v>10.81</v>
      </c>
      <c r="I249" s="734">
        <v>112.4</v>
      </c>
      <c r="J249" s="735">
        <v>0.41</v>
      </c>
      <c r="K249" s="731" t="s">
        <v>9</v>
      </c>
      <c r="L249" s="726"/>
      <c r="M249" s="734" t="str">
        <f t="shared" si="1"/>
        <v/>
      </c>
      <c r="N249" s="549" t="s">
        <v>21</v>
      </c>
      <c r="O249" s="550">
        <f>AVERAGE(M236:M251)</f>
        <v>22736.714285714286</v>
      </c>
    </row>
    <row r="250" spans="1:15" ht="14.5">
      <c r="A250" s="817">
        <v>42997</v>
      </c>
      <c r="B250" s="818" t="s">
        <v>47</v>
      </c>
      <c r="C250" s="819" t="s">
        <v>69</v>
      </c>
      <c r="D250" s="820" t="s">
        <v>92</v>
      </c>
      <c r="E250" s="819" t="s">
        <v>71</v>
      </c>
      <c r="F250" s="820">
        <v>16000</v>
      </c>
      <c r="G250" s="821">
        <v>1.69</v>
      </c>
      <c r="H250" s="821">
        <v>0</v>
      </c>
      <c r="I250" s="822">
        <v>0</v>
      </c>
      <c r="J250" s="823">
        <v>0</v>
      </c>
      <c r="K250" s="819" t="s">
        <v>9</v>
      </c>
      <c r="L250" s="822"/>
      <c r="M250" s="822">
        <f t="shared" si="1"/>
        <v>27040</v>
      </c>
      <c r="N250" s="551" t="s">
        <v>102</v>
      </c>
      <c r="O250" s="552">
        <v>0</v>
      </c>
    </row>
    <row r="251" spans="1:15" ht="14.5">
      <c r="A251" s="817">
        <v>42999</v>
      </c>
      <c r="B251" s="818" t="s">
        <v>48</v>
      </c>
      <c r="C251" s="819" t="s">
        <v>69</v>
      </c>
      <c r="D251" s="820" t="s">
        <v>92</v>
      </c>
      <c r="E251" s="819" t="s">
        <v>71</v>
      </c>
      <c r="F251" s="820">
        <v>16000</v>
      </c>
      <c r="G251" s="821">
        <v>1.65</v>
      </c>
      <c r="H251" s="821">
        <v>1.69</v>
      </c>
      <c r="I251" s="822">
        <v>-517.41999999999996</v>
      </c>
      <c r="J251" s="823">
        <v>-1.91</v>
      </c>
      <c r="K251" s="819" t="s">
        <v>9</v>
      </c>
      <c r="L251" s="822">
        <f>SUM(I236:I251)</f>
        <v>-2250.9</v>
      </c>
      <c r="M251" s="822" t="str">
        <f t="shared" si="1"/>
        <v/>
      </c>
      <c r="N251" s="553" t="s">
        <v>126</v>
      </c>
      <c r="O251" s="555">
        <f>(L251-O250)/O249</f>
        <v>-9.8998473205702542E-2</v>
      </c>
    </row>
    <row r="252" spans="1:15" ht="14.5">
      <c r="A252" s="743">
        <v>43010</v>
      </c>
      <c r="B252" s="744" t="s">
        <v>47</v>
      </c>
      <c r="C252" s="745" t="s">
        <v>69</v>
      </c>
      <c r="D252" s="746" t="s">
        <v>129</v>
      </c>
      <c r="E252" s="745" t="s">
        <v>71</v>
      </c>
      <c r="F252" s="746">
        <v>3000</v>
      </c>
      <c r="G252" s="747">
        <v>9.91</v>
      </c>
      <c r="H252" s="747">
        <v>0</v>
      </c>
      <c r="I252" s="748">
        <v>0</v>
      </c>
      <c r="J252" s="749">
        <v>0</v>
      </c>
      <c r="K252" s="745" t="s">
        <v>9</v>
      </c>
      <c r="L252" s="750"/>
      <c r="M252" s="748">
        <f t="shared" si="1"/>
        <v>29730</v>
      </c>
      <c r="N252" s="727"/>
      <c r="O252" s="727"/>
    </row>
    <row r="253" spans="1:15" ht="14.5">
      <c r="A253" s="743">
        <v>43012</v>
      </c>
      <c r="B253" s="744" t="s">
        <v>48</v>
      </c>
      <c r="C253" s="745" t="s">
        <v>69</v>
      </c>
      <c r="D253" s="746" t="s">
        <v>129</v>
      </c>
      <c r="E253" s="745" t="s">
        <v>71</v>
      </c>
      <c r="F253" s="746">
        <v>3000</v>
      </c>
      <c r="G253" s="747">
        <v>10.65</v>
      </c>
      <c r="H253" s="747">
        <v>9.92</v>
      </c>
      <c r="I253" s="748">
        <v>2209.96</v>
      </c>
      <c r="J253" s="749">
        <v>7.42</v>
      </c>
      <c r="K253" s="745" t="s">
        <v>9</v>
      </c>
      <c r="L253" s="750"/>
      <c r="M253" s="748" t="str">
        <f t="shared" si="1"/>
        <v/>
      </c>
      <c r="N253" s="727"/>
      <c r="O253" s="727"/>
    </row>
    <row r="254" spans="1:15" ht="14.5">
      <c r="A254" s="761">
        <v>43012</v>
      </c>
      <c r="B254" s="762" t="s">
        <v>47</v>
      </c>
      <c r="C254" s="763" t="s">
        <v>69</v>
      </c>
      <c r="D254" s="766" t="s">
        <v>132</v>
      </c>
      <c r="E254" s="763" t="s">
        <v>71</v>
      </c>
      <c r="F254" s="766">
        <v>3500</v>
      </c>
      <c r="G254" s="764">
        <v>9.02</v>
      </c>
      <c r="H254" s="764">
        <v>0</v>
      </c>
      <c r="I254" s="750">
        <v>0</v>
      </c>
      <c r="J254" s="765">
        <v>0</v>
      </c>
      <c r="K254" s="763" t="s">
        <v>9</v>
      </c>
      <c r="L254" s="750"/>
      <c r="M254" s="750">
        <f t="shared" si="1"/>
        <v>31570</v>
      </c>
      <c r="N254" s="727"/>
      <c r="O254" s="727"/>
    </row>
    <row r="255" spans="1:15" ht="14.5">
      <c r="A255" s="761">
        <v>43014</v>
      </c>
      <c r="B255" s="762" t="s">
        <v>48</v>
      </c>
      <c r="C255" s="763" t="s">
        <v>69</v>
      </c>
      <c r="D255" s="766" t="s">
        <v>132</v>
      </c>
      <c r="E255" s="763" t="s">
        <v>71</v>
      </c>
      <c r="F255" s="766">
        <v>3500</v>
      </c>
      <c r="G255" s="764">
        <v>8.73</v>
      </c>
      <c r="H255" s="764">
        <v>9.0299999999999994</v>
      </c>
      <c r="I255" s="750">
        <v>-1020.16</v>
      </c>
      <c r="J255" s="765">
        <v>-3.22</v>
      </c>
      <c r="K255" s="763" t="s">
        <v>9</v>
      </c>
      <c r="L255" s="750"/>
      <c r="M255" s="750" t="str">
        <f t="shared" si="1"/>
        <v/>
      </c>
      <c r="N255" s="727"/>
      <c r="O255" s="727"/>
    </row>
    <row r="256" spans="1:15" ht="14.5">
      <c r="A256" s="751">
        <v>43017</v>
      </c>
      <c r="B256" s="752" t="s">
        <v>47</v>
      </c>
      <c r="C256" s="753" t="s">
        <v>69</v>
      </c>
      <c r="D256" s="754" t="s">
        <v>115</v>
      </c>
      <c r="E256" s="753" t="s">
        <v>71</v>
      </c>
      <c r="F256" s="754">
        <v>2000</v>
      </c>
      <c r="G256" s="755">
        <v>15.32</v>
      </c>
      <c r="H256" s="755">
        <v>0</v>
      </c>
      <c r="I256" s="756">
        <v>0</v>
      </c>
      <c r="J256" s="757">
        <v>0</v>
      </c>
      <c r="K256" s="753" t="s">
        <v>9</v>
      </c>
      <c r="L256" s="750"/>
      <c r="M256" s="756">
        <f t="shared" si="1"/>
        <v>30640</v>
      </c>
      <c r="N256" s="727"/>
      <c r="O256" s="727"/>
    </row>
    <row r="257" spans="1:15" ht="14.5">
      <c r="A257" s="751">
        <v>43018</v>
      </c>
      <c r="B257" s="752" t="s">
        <v>48</v>
      </c>
      <c r="C257" s="753" t="s">
        <v>69</v>
      </c>
      <c r="D257" s="754" t="s">
        <v>115</v>
      </c>
      <c r="E257" s="753" t="s">
        <v>71</v>
      </c>
      <c r="F257" s="754">
        <v>2000</v>
      </c>
      <c r="G257" s="755">
        <v>15.63</v>
      </c>
      <c r="H257" s="755">
        <v>15.33</v>
      </c>
      <c r="I257" s="756">
        <v>619.9</v>
      </c>
      <c r="J257" s="757">
        <v>2.02</v>
      </c>
      <c r="K257" s="753" t="s">
        <v>9</v>
      </c>
      <c r="L257" s="750"/>
      <c r="M257" s="756" t="str">
        <f t="shared" si="1"/>
        <v/>
      </c>
      <c r="N257" s="727"/>
      <c r="O257" s="727"/>
    </row>
    <row r="258" spans="1:15" ht="14.5">
      <c r="A258" s="761">
        <v>43018</v>
      </c>
      <c r="B258" s="762" t="s">
        <v>47</v>
      </c>
      <c r="C258" s="763" t="s">
        <v>69</v>
      </c>
      <c r="D258" s="766" t="s">
        <v>132</v>
      </c>
      <c r="E258" s="763" t="s">
        <v>71</v>
      </c>
      <c r="F258" s="766">
        <v>3300</v>
      </c>
      <c r="G258" s="764">
        <v>9.44</v>
      </c>
      <c r="H258" s="764">
        <v>0</v>
      </c>
      <c r="I258" s="750">
        <v>0</v>
      </c>
      <c r="J258" s="765">
        <v>0</v>
      </c>
      <c r="K258" s="763" t="s">
        <v>9</v>
      </c>
      <c r="L258" s="750"/>
      <c r="M258" s="750">
        <f t="shared" si="1"/>
        <v>31152</v>
      </c>
      <c r="N258" s="727"/>
      <c r="O258" s="727"/>
    </row>
    <row r="259" spans="1:15" ht="14.5">
      <c r="A259" s="761">
        <v>43019</v>
      </c>
      <c r="B259" s="762" t="s">
        <v>48</v>
      </c>
      <c r="C259" s="763" t="s">
        <v>69</v>
      </c>
      <c r="D259" s="766" t="s">
        <v>132</v>
      </c>
      <c r="E259" s="763" t="s">
        <v>71</v>
      </c>
      <c r="F259" s="766">
        <v>3300</v>
      </c>
      <c r="G259" s="764">
        <v>9.52</v>
      </c>
      <c r="H259" s="764">
        <v>9.4499999999999993</v>
      </c>
      <c r="I259" s="750">
        <v>256.69</v>
      </c>
      <c r="J259" s="765">
        <v>0.82</v>
      </c>
      <c r="K259" s="763" t="s">
        <v>9</v>
      </c>
      <c r="L259" s="750"/>
      <c r="M259" s="750" t="str">
        <f t="shared" si="1"/>
        <v/>
      </c>
      <c r="N259" s="727"/>
      <c r="O259" s="727"/>
    </row>
    <row r="260" spans="1:15" ht="14.5">
      <c r="A260" s="751">
        <v>43019</v>
      </c>
      <c r="B260" s="752" t="s">
        <v>47</v>
      </c>
      <c r="C260" s="753" t="s">
        <v>69</v>
      </c>
      <c r="D260" s="754" t="s">
        <v>115</v>
      </c>
      <c r="E260" s="753" t="s">
        <v>71</v>
      </c>
      <c r="F260" s="754">
        <v>2000</v>
      </c>
      <c r="G260" s="755">
        <v>15.6</v>
      </c>
      <c r="H260" s="755">
        <v>0</v>
      </c>
      <c r="I260" s="756">
        <v>0</v>
      </c>
      <c r="J260" s="757">
        <v>0</v>
      </c>
      <c r="K260" s="753" t="s">
        <v>9</v>
      </c>
      <c r="L260" s="750"/>
      <c r="M260" s="756">
        <f t="shared" si="1"/>
        <v>31200</v>
      </c>
      <c r="N260" s="727"/>
      <c r="O260" s="727"/>
    </row>
    <row r="261" spans="1:15" ht="14.5">
      <c r="A261" s="751">
        <v>43021</v>
      </c>
      <c r="B261" s="752" t="s">
        <v>48</v>
      </c>
      <c r="C261" s="753" t="s">
        <v>69</v>
      </c>
      <c r="D261" s="754" t="s">
        <v>115</v>
      </c>
      <c r="E261" s="753" t="s">
        <v>71</v>
      </c>
      <c r="F261" s="754">
        <v>2000</v>
      </c>
      <c r="G261" s="755">
        <v>15.63</v>
      </c>
      <c r="H261" s="755">
        <v>15.6</v>
      </c>
      <c r="I261" s="756">
        <v>79.73</v>
      </c>
      <c r="J261" s="757">
        <v>0.25</v>
      </c>
      <c r="K261" s="753" t="s">
        <v>9</v>
      </c>
      <c r="L261" s="750"/>
      <c r="M261" s="756" t="str">
        <f t="shared" si="1"/>
        <v/>
      </c>
      <c r="N261" s="727"/>
      <c r="O261" s="727"/>
    </row>
    <row r="262" spans="1:15" ht="14.5">
      <c r="A262" s="761">
        <v>43021</v>
      </c>
      <c r="B262" s="762" t="s">
        <v>47</v>
      </c>
      <c r="C262" s="763" t="s">
        <v>69</v>
      </c>
      <c r="D262" s="766" t="s">
        <v>132</v>
      </c>
      <c r="E262" s="763" t="s">
        <v>71</v>
      </c>
      <c r="F262" s="766">
        <v>3000</v>
      </c>
      <c r="G262" s="764">
        <v>10.25</v>
      </c>
      <c r="H262" s="764">
        <v>0</v>
      </c>
      <c r="I262" s="750">
        <v>0</v>
      </c>
      <c r="J262" s="765">
        <v>0</v>
      </c>
      <c r="K262" s="763" t="s">
        <v>9</v>
      </c>
      <c r="L262" s="750"/>
      <c r="M262" s="750">
        <f t="shared" si="1"/>
        <v>30750</v>
      </c>
      <c r="N262" s="727"/>
      <c r="O262" s="727"/>
    </row>
    <row r="263" spans="1:15" ht="14.5">
      <c r="A263" s="751">
        <v>43021</v>
      </c>
      <c r="B263" s="752" t="s">
        <v>48</v>
      </c>
      <c r="C263" s="753" t="s">
        <v>69</v>
      </c>
      <c r="D263" s="754" t="s">
        <v>115</v>
      </c>
      <c r="E263" s="753" t="s">
        <v>71</v>
      </c>
      <c r="F263" s="754">
        <v>2000</v>
      </c>
      <c r="G263" s="755">
        <v>15.63</v>
      </c>
      <c r="H263" s="755">
        <v>15.6</v>
      </c>
      <c r="I263" s="756">
        <v>79.73</v>
      </c>
      <c r="J263" s="757">
        <v>0.25</v>
      </c>
      <c r="K263" s="753" t="s">
        <v>9</v>
      </c>
      <c r="L263" s="750"/>
      <c r="M263" s="756" t="str">
        <f t="shared" si="1"/>
        <v/>
      </c>
      <c r="N263" s="727"/>
      <c r="O263" s="727"/>
    </row>
    <row r="264" spans="1:15" ht="14.5">
      <c r="A264" s="761">
        <v>43021</v>
      </c>
      <c r="B264" s="762" t="s">
        <v>47</v>
      </c>
      <c r="C264" s="763" t="s">
        <v>69</v>
      </c>
      <c r="D264" s="766" t="s">
        <v>132</v>
      </c>
      <c r="E264" s="763" t="s">
        <v>71</v>
      </c>
      <c r="F264" s="766">
        <v>3000</v>
      </c>
      <c r="G264" s="764">
        <v>10.25</v>
      </c>
      <c r="H264" s="764">
        <v>0</v>
      </c>
      <c r="I264" s="750">
        <v>0</v>
      </c>
      <c r="J264" s="765">
        <v>0</v>
      </c>
      <c r="K264" s="763" t="s">
        <v>9</v>
      </c>
      <c r="L264" s="750"/>
      <c r="M264" s="750">
        <f t="shared" si="1"/>
        <v>30750</v>
      </c>
      <c r="N264" s="727"/>
      <c r="O264" s="727"/>
    </row>
    <row r="265" spans="1:15" ht="14.5">
      <c r="A265" s="761">
        <v>43024</v>
      </c>
      <c r="B265" s="762" t="s">
        <v>48</v>
      </c>
      <c r="C265" s="763" t="s">
        <v>69</v>
      </c>
      <c r="D265" s="766" t="s">
        <v>132</v>
      </c>
      <c r="E265" s="763" t="s">
        <v>71</v>
      </c>
      <c r="F265" s="766">
        <v>3000</v>
      </c>
      <c r="G265" s="764">
        <v>10.26</v>
      </c>
      <c r="H265" s="764">
        <v>10.26</v>
      </c>
      <c r="I265" s="750">
        <v>20.02</v>
      </c>
      <c r="J265" s="765">
        <v>0.06</v>
      </c>
      <c r="K265" s="763" t="s">
        <v>9</v>
      </c>
      <c r="L265" s="750"/>
      <c r="M265" s="750" t="str">
        <f t="shared" si="1"/>
        <v/>
      </c>
      <c r="N265" s="727"/>
      <c r="O265" s="727"/>
    </row>
    <row r="266" spans="1:15" ht="14.5">
      <c r="A266" s="751">
        <v>43026</v>
      </c>
      <c r="B266" s="752" t="s">
        <v>47</v>
      </c>
      <c r="C266" s="753" t="s">
        <v>69</v>
      </c>
      <c r="D266" s="754" t="s">
        <v>115</v>
      </c>
      <c r="E266" s="753" t="s">
        <v>71</v>
      </c>
      <c r="F266" s="754">
        <v>2100</v>
      </c>
      <c r="G266" s="755">
        <v>14.99</v>
      </c>
      <c r="H266" s="755">
        <v>0</v>
      </c>
      <c r="I266" s="756">
        <v>0</v>
      </c>
      <c r="J266" s="757">
        <v>0</v>
      </c>
      <c r="K266" s="753" t="s">
        <v>9</v>
      </c>
      <c r="L266" s="750"/>
      <c r="M266" s="756">
        <f t="shared" si="1"/>
        <v>31479</v>
      </c>
      <c r="N266" s="727"/>
      <c r="O266" s="727"/>
    </row>
    <row r="267" spans="1:15" ht="14.5">
      <c r="A267" s="751">
        <v>43027</v>
      </c>
      <c r="B267" s="752" t="s">
        <v>48</v>
      </c>
      <c r="C267" s="753" t="s">
        <v>69</v>
      </c>
      <c r="D267" s="754" t="s">
        <v>115</v>
      </c>
      <c r="E267" s="753" t="s">
        <v>71</v>
      </c>
      <c r="F267" s="754">
        <v>2100</v>
      </c>
      <c r="G267" s="755">
        <v>14.82</v>
      </c>
      <c r="H267" s="755">
        <v>15</v>
      </c>
      <c r="I267" s="756">
        <v>-376.31</v>
      </c>
      <c r="J267" s="757">
        <v>-1.19</v>
      </c>
      <c r="K267" s="753" t="s">
        <v>9</v>
      </c>
      <c r="L267" s="750"/>
      <c r="M267" s="756" t="str">
        <f t="shared" si="1"/>
        <v/>
      </c>
      <c r="N267" s="727"/>
      <c r="O267" s="727"/>
    </row>
    <row r="268" spans="1:15" ht="14.5">
      <c r="A268" s="761">
        <v>43028</v>
      </c>
      <c r="B268" s="762" t="s">
        <v>47</v>
      </c>
      <c r="C268" s="763" t="s">
        <v>69</v>
      </c>
      <c r="D268" s="766" t="s">
        <v>132</v>
      </c>
      <c r="E268" s="763" t="s">
        <v>71</v>
      </c>
      <c r="F268" s="766">
        <v>3000</v>
      </c>
      <c r="G268" s="764">
        <v>10.24</v>
      </c>
      <c r="H268" s="764">
        <v>0</v>
      </c>
      <c r="I268" s="750">
        <v>0</v>
      </c>
      <c r="J268" s="765">
        <v>0</v>
      </c>
      <c r="K268" s="763" t="s">
        <v>9</v>
      </c>
      <c r="L268" s="750"/>
      <c r="M268" s="750">
        <f t="shared" si="1"/>
        <v>30720</v>
      </c>
      <c r="N268" s="549" t="s">
        <v>21</v>
      </c>
      <c r="O268" s="550">
        <f>AVERAGE(M252:M270)</f>
        <v>30755.1</v>
      </c>
    </row>
    <row r="269" spans="1:15" ht="14.5">
      <c r="A269" s="761">
        <v>43031</v>
      </c>
      <c r="B269" s="762" t="s">
        <v>48</v>
      </c>
      <c r="C269" s="763" t="s">
        <v>69</v>
      </c>
      <c r="D269" s="766" t="s">
        <v>132</v>
      </c>
      <c r="E269" s="763" t="s">
        <v>71</v>
      </c>
      <c r="F269" s="766">
        <v>3000</v>
      </c>
      <c r="G269" s="764">
        <v>10.02</v>
      </c>
      <c r="H269" s="764">
        <v>10.25</v>
      </c>
      <c r="I269" s="750">
        <v>-669.72</v>
      </c>
      <c r="J269" s="765">
        <v>-2.17</v>
      </c>
      <c r="K269" s="763" t="s">
        <v>9</v>
      </c>
      <c r="L269" s="750"/>
      <c r="M269" s="750" t="str">
        <f t="shared" si="1"/>
        <v/>
      </c>
      <c r="N269" s="551" t="s">
        <v>102</v>
      </c>
      <c r="O269" s="552">
        <v>0</v>
      </c>
    </row>
    <row r="270" spans="1:15" ht="14.5">
      <c r="A270" s="751">
        <v>43031</v>
      </c>
      <c r="B270" s="752" t="s">
        <v>47</v>
      </c>
      <c r="C270" s="753" t="s">
        <v>69</v>
      </c>
      <c r="D270" s="754" t="s">
        <v>115</v>
      </c>
      <c r="E270" s="753" t="s">
        <v>71</v>
      </c>
      <c r="F270" s="754">
        <v>2000</v>
      </c>
      <c r="G270" s="755">
        <v>14.78</v>
      </c>
      <c r="H270" s="755">
        <v>0</v>
      </c>
      <c r="I270" s="756">
        <v>0</v>
      </c>
      <c r="J270" s="757">
        <v>0</v>
      </c>
      <c r="K270" s="753" t="s">
        <v>9</v>
      </c>
      <c r="L270" s="750"/>
      <c r="M270" s="756">
        <f t="shared" si="1"/>
        <v>29560</v>
      </c>
      <c r="N270" s="553" t="s">
        <v>126</v>
      </c>
      <c r="O270" s="555">
        <f>(L273-O269)/O268</f>
        <v>3.7095636170911502E-2</v>
      </c>
    </row>
    <row r="271" spans="1:15" ht="14.5">
      <c r="A271" s="751">
        <v>43032</v>
      </c>
      <c r="B271" s="752" t="s">
        <v>48</v>
      </c>
      <c r="C271" s="753" t="s">
        <v>69</v>
      </c>
      <c r="D271" s="754" t="s">
        <v>115</v>
      </c>
      <c r="E271" s="753" t="s">
        <v>71</v>
      </c>
      <c r="F271" s="754">
        <v>2000</v>
      </c>
      <c r="G271" s="755">
        <v>14.94</v>
      </c>
      <c r="H271" s="755">
        <v>14.79</v>
      </c>
      <c r="I271" s="756">
        <v>300.70999999999998</v>
      </c>
      <c r="J271" s="757">
        <v>1.01</v>
      </c>
      <c r="K271" s="753" t="s">
        <v>9</v>
      </c>
      <c r="L271" s="750"/>
      <c r="M271" s="756" t="str">
        <f t="shared" si="1"/>
        <v/>
      </c>
      <c r="N271" s="727"/>
      <c r="O271" s="727"/>
    </row>
    <row r="272" spans="1:15" ht="14.5">
      <c r="A272" s="761">
        <v>43038</v>
      </c>
      <c r="B272" s="762" t="s">
        <v>47</v>
      </c>
      <c r="C272" s="763" t="s">
        <v>69</v>
      </c>
      <c r="D272" s="766" t="s">
        <v>139</v>
      </c>
      <c r="E272" s="763" t="s">
        <v>71</v>
      </c>
      <c r="F272" s="766">
        <v>8000</v>
      </c>
      <c r="G272" s="764">
        <v>3.81</v>
      </c>
      <c r="H272" s="764">
        <v>0</v>
      </c>
      <c r="I272" s="750">
        <v>0</v>
      </c>
      <c r="J272" s="765">
        <v>0</v>
      </c>
      <c r="K272" s="763" t="s">
        <v>9</v>
      </c>
      <c r="L272" s="750"/>
      <c r="M272" s="750">
        <f t="shared" si="1"/>
        <v>30480</v>
      </c>
      <c r="N272" s="727"/>
      <c r="O272" s="727"/>
    </row>
    <row r="273" spans="1:15" ht="14.5">
      <c r="A273" s="761">
        <v>43039</v>
      </c>
      <c r="B273" s="762" t="s">
        <v>48</v>
      </c>
      <c r="C273" s="763" t="s">
        <v>69</v>
      </c>
      <c r="D273" s="766" t="s">
        <v>139</v>
      </c>
      <c r="E273" s="763" t="s">
        <v>71</v>
      </c>
      <c r="F273" s="766">
        <v>8000</v>
      </c>
      <c r="G273" s="764">
        <v>3.76</v>
      </c>
      <c r="H273" s="764">
        <v>3.81</v>
      </c>
      <c r="I273" s="750">
        <v>-359.67</v>
      </c>
      <c r="J273" s="765">
        <v>-1.17</v>
      </c>
      <c r="K273" s="763" t="s">
        <v>9</v>
      </c>
      <c r="L273" s="750">
        <f>SUM(I252:I273)</f>
        <v>1140.8800000000003</v>
      </c>
      <c r="M273" s="750" t="str">
        <f t="shared" si="1"/>
        <v/>
      </c>
      <c r="N273" s="727"/>
      <c r="O273" s="727"/>
    </row>
    <row r="274" spans="1:15" ht="14.5">
      <c r="A274" s="736">
        <v>43042</v>
      </c>
      <c r="B274" s="737" t="s">
        <v>47</v>
      </c>
      <c r="C274" s="738" t="s">
        <v>69</v>
      </c>
      <c r="D274" s="739" t="s">
        <v>139</v>
      </c>
      <c r="E274" s="738" t="s">
        <v>71</v>
      </c>
      <c r="F274" s="739">
        <v>2800</v>
      </c>
      <c r="G274" s="740">
        <v>4.5</v>
      </c>
      <c r="H274" s="740">
        <v>0</v>
      </c>
      <c r="I274" s="726">
        <v>0</v>
      </c>
      <c r="J274" s="741">
        <v>0</v>
      </c>
      <c r="K274" s="726" t="s">
        <v>9</v>
      </c>
      <c r="L274" s="726"/>
      <c r="M274" s="726">
        <f t="shared" si="1"/>
        <v>12600</v>
      </c>
      <c r="N274" s="727"/>
      <c r="O274" s="727"/>
    </row>
    <row r="275" spans="1:15" ht="14.5">
      <c r="A275" s="736">
        <v>43045</v>
      </c>
      <c r="B275" s="737" t="s">
        <v>48</v>
      </c>
      <c r="C275" s="738" t="s">
        <v>69</v>
      </c>
      <c r="D275" s="739" t="s">
        <v>139</v>
      </c>
      <c r="E275" s="738" t="s">
        <v>71</v>
      </c>
      <c r="F275" s="739">
        <v>2800</v>
      </c>
      <c r="G275" s="740">
        <v>4.2699999999999996</v>
      </c>
      <c r="H275" s="740">
        <v>4.51</v>
      </c>
      <c r="I275" s="726">
        <v>-643.97</v>
      </c>
      <c r="J275" s="741">
        <v>-5.0999999999999996</v>
      </c>
      <c r="K275" s="726" t="s">
        <v>9</v>
      </c>
      <c r="L275" s="726"/>
      <c r="M275" s="726" t="str">
        <f t="shared" si="1"/>
        <v/>
      </c>
      <c r="N275" s="727"/>
      <c r="O275" s="727"/>
    </row>
    <row r="276" spans="1:15" ht="14.5">
      <c r="A276" s="736">
        <v>43045</v>
      </c>
      <c r="B276" s="737" t="s">
        <v>47</v>
      </c>
      <c r="C276" s="738" t="s">
        <v>69</v>
      </c>
      <c r="D276" s="739" t="s">
        <v>132</v>
      </c>
      <c r="E276" s="738" t="s">
        <v>71</v>
      </c>
      <c r="F276" s="739">
        <v>2300</v>
      </c>
      <c r="G276" s="740">
        <v>8.81</v>
      </c>
      <c r="H276" s="740">
        <v>0</v>
      </c>
      <c r="I276" s="726">
        <v>0</v>
      </c>
      <c r="J276" s="741">
        <v>0</v>
      </c>
      <c r="K276" s="726" t="s">
        <v>9</v>
      </c>
      <c r="L276" s="726"/>
      <c r="M276" s="726">
        <f t="shared" si="1"/>
        <v>20263</v>
      </c>
      <c r="N276" s="727"/>
      <c r="O276" s="727"/>
    </row>
    <row r="277" spans="1:15" ht="14.5">
      <c r="A277" s="736">
        <v>43046</v>
      </c>
      <c r="B277" s="737" t="s">
        <v>48</v>
      </c>
      <c r="C277" s="738" t="s">
        <v>69</v>
      </c>
      <c r="D277" s="739" t="s">
        <v>132</v>
      </c>
      <c r="E277" s="738" t="s">
        <v>71</v>
      </c>
      <c r="F277" s="739">
        <v>2300</v>
      </c>
      <c r="G277" s="740">
        <v>8.82</v>
      </c>
      <c r="H277" s="740">
        <v>8.82</v>
      </c>
      <c r="I277" s="726">
        <v>12.83</v>
      </c>
      <c r="J277" s="741">
        <v>0.06</v>
      </c>
      <c r="K277" s="726" t="s">
        <v>9</v>
      </c>
      <c r="L277" s="726"/>
      <c r="M277" s="726" t="str">
        <f t="shared" si="1"/>
        <v/>
      </c>
      <c r="N277" s="727"/>
      <c r="O277" s="727"/>
    </row>
    <row r="278" spans="1:15" ht="14.5">
      <c r="A278" s="719">
        <v>43048</v>
      </c>
      <c r="B278" s="720" t="s">
        <v>47</v>
      </c>
      <c r="C278" s="721" t="s">
        <v>69</v>
      </c>
      <c r="D278" s="722" t="s">
        <v>115</v>
      </c>
      <c r="E278" s="721" t="s">
        <v>71</v>
      </c>
      <c r="F278" s="722">
        <v>1800</v>
      </c>
      <c r="G278" s="723">
        <v>13.72</v>
      </c>
      <c r="H278" s="723">
        <v>0</v>
      </c>
      <c r="I278" s="724">
        <v>0</v>
      </c>
      <c r="J278" s="725">
        <v>0</v>
      </c>
      <c r="K278" s="721" t="s">
        <v>9</v>
      </c>
      <c r="L278" s="726"/>
      <c r="M278" s="724">
        <f t="shared" si="1"/>
        <v>24696</v>
      </c>
      <c r="N278" s="727"/>
      <c r="O278" s="727"/>
    </row>
    <row r="279" spans="1:15" ht="14.5">
      <c r="A279" s="719">
        <v>43049</v>
      </c>
      <c r="B279" s="720" t="s">
        <v>48</v>
      </c>
      <c r="C279" s="721" t="s">
        <v>69</v>
      </c>
      <c r="D279" s="722" t="s">
        <v>115</v>
      </c>
      <c r="E279" s="721" t="s">
        <v>71</v>
      </c>
      <c r="F279" s="722">
        <v>1800</v>
      </c>
      <c r="G279" s="723">
        <v>13.29</v>
      </c>
      <c r="H279" s="723">
        <v>13.72</v>
      </c>
      <c r="I279" s="724">
        <v>-767.78999999999985</v>
      </c>
      <c r="J279" s="725">
        <v>-3.1</v>
      </c>
      <c r="K279" s="721" t="s">
        <v>9</v>
      </c>
      <c r="L279" s="726"/>
      <c r="M279" s="724" t="str">
        <f t="shared" si="1"/>
        <v/>
      </c>
      <c r="N279" s="727"/>
      <c r="O279" s="727"/>
    </row>
    <row r="280" spans="1:15" ht="14.5">
      <c r="A280" s="736">
        <v>43053</v>
      </c>
      <c r="B280" s="737" t="s">
        <v>47</v>
      </c>
      <c r="C280" s="738" t="s">
        <v>69</v>
      </c>
      <c r="D280" s="739" t="s">
        <v>132</v>
      </c>
      <c r="E280" s="738" t="s">
        <v>71</v>
      </c>
      <c r="F280" s="739">
        <v>2500</v>
      </c>
      <c r="G280" s="740">
        <v>8.3000000000000007</v>
      </c>
      <c r="H280" s="740">
        <v>0</v>
      </c>
      <c r="I280" s="726">
        <v>0</v>
      </c>
      <c r="J280" s="741">
        <v>0</v>
      </c>
      <c r="K280" s="726" t="s">
        <v>9</v>
      </c>
      <c r="L280" s="726"/>
      <c r="M280" s="726">
        <f t="shared" si="1"/>
        <v>20750</v>
      </c>
      <c r="N280" s="727"/>
      <c r="O280" s="727"/>
    </row>
    <row r="281" spans="1:15" ht="14.5">
      <c r="A281" s="736">
        <v>43055</v>
      </c>
      <c r="B281" s="737" t="s">
        <v>48</v>
      </c>
      <c r="C281" s="738" t="s">
        <v>69</v>
      </c>
      <c r="D281" s="739" t="s">
        <v>132</v>
      </c>
      <c r="E281" s="738" t="s">
        <v>71</v>
      </c>
      <c r="F281" s="739">
        <v>2500</v>
      </c>
      <c r="G281" s="740">
        <v>8.4600000000000009</v>
      </c>
      <c r="H281" s="740">
        <v>8.31</v>
      </c>
      <c r="I281" s="726">
        <v>391.37</v>
      </c>
      <c r="J281" s="741">
        <v>1.88</v>
      </c>
      <c r="K281" s="726" t="s">
        <v>9</v>
      </c>
      <c r="L281" s="726">
        <f>SUM(I274:I281)</f>
        <v>-1007.5599999999998</v>
      </c>
      <c r="M281" s="726" t="str">
        <f t="shared" si="1"/>
        <v/>
      </c>
      <c r="N281" s="727"/>
      <c r="O281" s="727"/>
    </row>
    <row r="282" spans="1:15" ht="14.5">
      <c r="A282" s="767">
        <v>43070</v>
      </c>
      <c r="B282" s="768" t="s">
        <v>47</v>
      </c>
      <c r="C282" s="769" t="s">
        <v>69</v>
      </c>
      <c r="D282" s="770" t="s">
        <v>131</v>
      </c>
      <c r="E282" s="769" t="s">
        <v>71</v>
      </c>
      <c r="F282" s="770">
        <v>8000</v>
      </c>
      <c r="G282" s="771">
        <v>2.29</v>
      </c>
      <c r="H282" s="771">
        <v>0</v>
      </c>
      <c r="I282" s="772">
        <v>0</v>
      </c>
      <c r="J282" s="773">
        <v>0</v>
      </c>
      <c r="K282" s="769" t="s">
        <v>9</v>
      </c>
      <c r="L282" s="750"/>
      <c r="M282" s="772">
        <f t="shared" si="1"/>
        <v>18320</v>
      </c>
      <c r="N282" s="727"/>
      <c r="O282" s="727"/>
    </row>
    <row r="283" spans="1:15" ht="14.5">
      <c r="A283" s="767">
        <v>43073</v>
      </c>
      <c r="B283" s="768" t="s">
        <v>48</v>
      </c>
      <c r="C283" s="769" t="s">
        <v>69</v>
      </c>
      <c r="D283" s="770" t="s">
        <v>131</v>
      </c>
      <c r="E283" s="769" t="s">
        <v>71</v>
      </c>
      <c r="F283" s="770">
        <v>8000</v>
      </c>
      <c r="G283" s="771">
        <v>2.33</v>
      </c>
      <c r="H283" s="771">
        <v>2.29</v>
      </c>
      <c r="I283" s="772">
        <v>367.98</v>
      </c>
      <c r="J283" s="773">
        <v>2</v>
      </c>
      <c r="K283" s="769" t="s">
        <v>9</v>
      </c>
      <c r="L283" s="750"/>
      <c r="M283" s="772" t="str">
        <f t="shared" si="1"/>
        <v/>
      </c>
      <c r="N283" s="727"/>
      <c r="O283" s="727"/>
    </row>
    <row r="284" spans="1:15" ht="14.5">
      <c r="A284" s="751">
        <v>43073</v>
      </c>
      <c r="B284" s="752" t="s">
        <v>47</v>
      </c>
      <c r="C284" s="753" t="s">
        <v>69</v>
      </c>
      <c r="D284" s="754" t="s">
        <v>115</v>
      </c>
      <c r="E284" s="753" t="s">
        <v>71</v>
      </c>
      <c r="F284" s="754">
        <v>1300</v>
      </c>
      <c r="G284" s="755">
        <v>14.49</v>
      </c>
      <c r="H284" s="755">
        <v>0</v>
      </c>
      <c r="I284" s="756">
        <v>0</v>
      </c>
      <c r="J284" s="757">
        <v>0</v>
      </c>
      <c r="K284" s="753" t="s">
        <v>9</v>
      </c>
      <c r="L284" s="750"/>
      <c r="M284" s="756">
        <f t="shared" si="1"/>
        <v>18837</v>
      </c>
      <c r="N284" s="727"/>
      <c r="O284" s="727"/>
    </row>
    <row r="285" spans="1:15" ht="14.5">
      <c r="A285" s="751">
        <v>43074</v>
      </c>
      <c r="B285" s="752" t="s">
        <v>48</v>
      </c>
      <c r="C285" s="753" t="s">
        <v>69</v>
      </c>
      <c r="D285" s="754" t="s">
        <v>115</v>
      </c>
      <c r="E285" s="753" t="s">
        <v>71</v>
      </c>
      <c r="F285" s="754">
        <v>1300</v>
      </c>
      <c r="G285" s="755">
        <v>14.68</v>
      </c>
      <c r="H285" s="755">
        <v>14.49</v>
      </c>
      <c r="I285" s="756">
        <v>253.7</v>
      </c>
      <c r="J285" s="757">
        <v>1.34</v>
      </c>
      <c r="K285" s="753" t="s">
        <v>9</v>
      </c>
      <c r="L285" s="750"/>
      <c r="M285" s="756" t="str">
        <f t="shared" si="1"/>
        <v/>
      </c>
      <c r="N285" s="727"/>
      <c r="O285" s="727"/>
    </row>
    <row r="286" spans="1:15" ht="14.5">
      <c r="A286" s="751">
        <v>43080</v>
      </c>
      <c r="B286" s="752" t="s">
        <v>47</v>
      </c>
      <c r="C286" s="753" t="s">
        <v>69</v>
      </c>
      <c r="D286" s="754" t="s">
        <v>115</v>
      </c>
      <c r="E286" s="753" t="s">
        <v>71</v>
      </c>
      <c r="F286" s="754">
        <v>1200</v>
      </c>
      <c r="G286" s="755">
        <v>13.92</v>
      </c>
      <c r="H286" s="755">
        <v>0</v>
      </c>
      <c r="I286" s="756">
        <v>0</v>
      </c>
      <c r="J286" s="757">
        <v>0</v>
      </c>
      <c r="K286" s="753" t="s">
        <v>9</v>
      </c>
      <c r="L286" s="750"/>
      <c r="M286" s="756">
        <f t="shared" si="1"/>
        <v>16704</v>
      </c>
      <c r="N286" s="727"/>
      <c r="O286" s="727"/>
    </row>
    <row r="287" spans="1:15" ht="14.5">
      <c r="A287" s="751">
        <v>43081</v>
      </c>
      <c r="B287" s="752" t="s">
        <v>48</v>
      </c>
      <c r="C287" s="753" t="s">
        <v>69</v>
      </c>
      <c r="D287" s="754" t="s">
        <v>115</v>
      </c>
      <c r="E287" s="753" t="s">
        <v>71</v>
      </c>
      <c r="F287" s="754">
        <v>1200</v>
      </c>
      <c r="G287" s="755">
        <v>13.43</v>
      </c>
      <c r="H287" s="755">
        <v>13.92</v>
      </c>
      <c r="I287" s="756">
        <v>-582.63</v>
      </c>
      <c r="J287" s="757">
        <v>-3.48</v>
      </c>
      <c r="K287" s="753" t="s">
        <v>9</v>
      </c>
      <c r="L287" s="750"/>
      <c r="M287" s="756" t="str">
        <f t="shared" si="1"/>
        <v/>
      </c>
      <c r="N287" s="727"/>
      <c r="O287" s="727"/>
    </row>
    <row r="288" spans="1:15" ht="14.5">
      <c r="A288" s="761">
        <v>43091</v>
      </c>
      <c r="B288" s="762" t="s">
        <v>47</v>
      </c>
      <c r="C288" s="763" t="s">
        <v>69</v>
      </c>
      <c r="D288" s="766" t="s">
        <v>132</v>
      </c>
      <c r="E288" s="763" t="s">
        <v>71</v>
      </c>
      <c r="F288" s="766">
        <v>2300</v>
      </c>
      <c r="G288" s="764">
        <v>8.9499999999999993</v>
      </c>
      <c r="H288" s="764">
        <v>0</v>
      </c>
      <c r="I288" s="750">
        <v>0</v>
      </c>
      <c r="J288" s="765">
        <v>0</v>
      </c>
      <c r="K288" s="763" t="s">
        <v>9</v>
      </c>
      <c r="L288" s="750"/>
      <c r="M288" s="750">
        <f t="shared" si="1"/>
        <v>20585</v>
      </c>
      <c r="N288" s="727"/>
      <c r="O288" s="727"/>
    </row>
    <row r="289" spans="1:15" ht="14.5">
      <c r="A289" s="761">
        <v>43095</v>
      </c>
      <c r="B289" s="762" t="s">
        <v>48</v>
      </c>
      <c r="C289" s="763" t="s">
        <v>69</v>
      </c>
      <c r="D289" s="766" t="s">
        <v>132</v>
      </c>
      <c r="E289" s="763" t="s">
        <v>71</v>
      </c>
      <c r="F289" s="766">
        <v>2300</v>
      </c>
      <c r="G289" s="764">
        <v>9.0299999999999994</v>
      </c>
      <c r="H289" s="764">
        <v>8.9600000000000009</v>
      </c>
      <c r="I289" s="750">
        <v>173.59</v>
      </c>
      <c r="J289" s="765">
        <v>0.84000000000000008</v>
      </c>
      <c r="K289" s="763" t="s">
        <v>9</v>
      </c>
      <c r="L289" s="750">
        <f>SUM(I268:I289)</f>
        <v>-1523.6000000000001</v>
      </c>
      <c r="M289" s="750" t="str">
        <f t="shared" si="1"/>
        <v/>
      </c>
      <c r="N289" s="727"/>
      <c r="O289" s="727"/>
    </row>
    <row r="290" spans="1:15" ht="14.5">
      <c r="B290" s="20"/>
      <c r="G290" s="556"/>
      <c r="H290" s="556"/>
      <c r="I290" s="557"/>
      <c r="M290" s="557" t="str">
        <f t="shared" si="1"/>
        <v/>
      </c>
    </row>
    <row r="291" spans="1:15" ht="14.5">
      <c r="B291" s="20"/>
      <c r="G291" s="556"/>
      <c r="H291" s="556"/>
      <c r="I291" s="557"/>
      <c r="M291" s="557" t="str">
        <f t="shared" si="1"/>
        <v/>
      </c>
    </row>
    <row r="292" spans="1:15" ht="14.5">
      <c r="B292" s="20"/>
      <c r="G292" s="556"/>
      <c r="H292" s="556"/>
      <c r="I292" s="557"/>
      <c r="M292" s="557" t="str">
        <f t="shared" si="1"/>
        <v/>
      </c>
    </row>
    <row r="293" spans="1:15" ht="14.5">
      <c r="B293" s="20"/>
      <c r="G293" s="556"/>
      <c r="H293" s="556"/>
      <c r="I293" s="557"/>
      <c r="M293" s="557" t="str">
        <f t="shared" si="1"/>
        <v/>
      </c>
    </row>
    <row r="294" spans="1:15" ht="14.5">
      <c r="B294" s="20"/>
      <c r="G294" s="556"/>
      <c r="H294" s="556"/>
      <c r="I294" s="557"/>
      <c r="M294" s="557" t="str">
        <f t="shared" si="1"/>
        <v/>
      </c>
    </row>
    <row r="295" spans="1:15" ht="14.5">
      <c r="B295" s="20"/>
      <c r="G295" s="556"/>
      <c r="H295" s="556"/>
      <c r="I295" s="557"/>
      <c r="M295" s="557" t="str">
        <f t="shared" si="1"/>
        <v/>
      </c>
    </row>
    <row r="296" spans="1:15" ht="14.5">
      <c r="B296" s="20"/>
      <c r="G296" s="556"/>
      <c r="H296" s="556"/>
      <c r="I296" s="557"/>
      <c r="M296" s="557" t="str">
        <f t="shared" si="1"/>
        <v/>
      </c>
    </row>
    <row r="297" spans="1:15" ht="14.5">
      <c r="B297" s="20"/>
      <c r="G297" s="556"/>
      <c r="H297" s="556"/>
      <c r="I297" s="557"/>
      <c r="M297" s="557" t="str">
        <f t="shared" si="1"/>
        <v/>
      </c>
    </row>
    <row r="298" spans="1:15" ht="14.5">
      <c r="B298" s="20"/>
      <c r="G298" s="556"/>
      <c r="H298" s="556"/>
      <c r="I298" s="557"/>
      <c r="M298" s="557" t="str">
        <f t="shared" si="1"/>
        <v/>
      </c>
    </row>
    <row r="299" spans="1:15" ht="14.5">
      <c r="B299" s="20"/>
      <c r="G299" s="556"/>
      <c r="H299" s="556"/>
      <c r="I299" s="557"/>
      <c r="M299" s="557" t="str">
        <f t="shared" si="1"/>
        <v/>
      </c>
    </row>
    <row r="300" spans="1:15" ht="14.5">
      <c r="B300" s="20"/>
      <c r="G300" s="556"/>
      <c r="H300" s="556"/>
      <c r="I300" s="557"/>
      <c r="M300" s="557" t="str">
        <f t="shared" si="1"/>
        <v/>
      </c>
    </row>
    <row r="301" spans="1:15" ht="14.5">
      <c r="B301" s="20"/>
      <c r="G301" s="556"/>
      <c r="H301" s="556"/>
      <c r="I301" s="557"/>
      <c r="M301" s="557" t="str">
        <f t="shared" si="1"/>
        <v/>
      </c>
    </row>
    <row r="302" spans="1:15" ht="14.5">
      <c r="B302" s="20"/>
      <c r="G302" s="556"/>
      <c r="H302" s="556"/>
      <c r="I302" s="557"/>
      <c r="M302" s="557" t="str">
        <f t="shared" si="1"/>
        <v/>
      </c>
    </row>
    <row r="303" spans="1:15" ht="14.5">
      <c r="B303" s="20"/>
      <c r="G303" s="556"/>
      <c r="H303" s="556"/>
      <c r="I303" s="557"/>
      <c r="M303" s="557" t="str">
        <f t="shared" si="1"/>
        <v/>
      </c>
    </row>
    <row r="304" spans="1:15" ht="14.5">
      <c r="B304" s="20"/>
      <c r="G304" s="556"/>
      <c r="H304" s="556"/>
      <c r="I304" s="557"/>
      <c r="M304" s="557" t="str">
        <f t="shared" si="1"/>
        <v/>
      </c>
    </row>
    <row r="305" spans="2:13" ht="14.5">
      <c r="B305" s="20"/>
      <c r="G305" s="556"/>
      <c r="H305" s="556"/>
      <c r="I305" s="557"/>
      <c r="M305" s="557" t="str">
        <f t="shared" si="1"/>
        <v/>
      </c>
    </row>
    <row r="306" spans="2:13" ht="14.5">
      <c r="B306" s="20"/>
      <c r="G306" s="556"/>
      <c r="H306" s="556"/>
      <c r="I306" s="557"/>
      <c r="M306" s="557" t="str">
        <f t="shared" si="1"/>
        <v/>
      </c>
    </row>
    <row r="307" spans="2:13" ht="14.5">
      <c r="B307" s="20"/>
      <c r="G307" s="556"/>
      <c r="H307" s="556"/>
      <c r="I307" s="557"/>
      <c r="M307" s="557" t="str">
        <f t="shared" si="1"/>
        <v/>
      </c>
    </row>
    <row r="308" spans="2:13" ht="14.5">
      <c r="B308" s="20"/>
      <c r="G308" s="556"/>
      <c r="H308" s="556"/>
      <c r="I308" s="557"/>
      <c r="M308" s="557" t="str">
        <f t="shared" si="1"/>
        <v/>
      </c>
    </row>
    <row r="309" spans="2:13" ht="14.5">
      <c r="B309" s="20"/>
      <c r="G309" s="556"/>
      <c r="H309" s="556"/>
      <c r="I309" s="557"/>
      <c r="M309" s="557" t="str">
        <f t="shared" si="1"/>
        <v/>
      </c>
    </row>
    <row r="310" spans="2:13" ht="14.5">
      <c r="B310" s="20"/>
      <c r="G310" s="556"/>
      <c r="H310" s="556"/>
      <c r="I310" s="557"/>
      <c r="M310" s="557" t="str">
        <f t="shared" si="1"/>
        <v/>
      </c>
    </row>
    <row r="311" spans="2:13" ht="14.5">
      <c r="B311" s="20"/>
      <c r="G311" s="556"/>
      <c r="H311" s="556"/>
      <c r="I311" s="557"/>
      <c r="M311" s="557" t="str">
        <f t="shared" si="1"/>
        <v/>
      </c>
    </row>
    <row r="312" spans="2:13" ht="14.5">
      <c r="B312" s="20"/>
      <c r="G312" s="556"/>
      <c r="H312" s="556"/>
      <c r="I312" s="557"/>
      <c r="M312" s="557" t="str">
        <f t="shared" si="1"/>
        <v/>
      </c>
    </row>
    <row r="313" spans="2:13" ht="14.5">
      <c r="B313" s="20"/>
      <c r="G313" s="556"/>
      <c r="H313" s="556"/>
      <c r="I313" s="557"/>
      <c r="M313" s="557" t="str">
        <f t="shared" si="1"/>
        <v/>
      </c>
    </row>
    <row r="314" spans="2:13" ht="14.5">
      <c r="B314" s="20"/>
      <c r="G314" s="556"/>
      <c r="H314" s="556"/>
      <c r="I314" s="557"/>
      <c r="M314" s="557" t="str">
        <f t="shared" si="1"/>
        <v/>
      </c>
    </row>
    <row r="315" spans="2:13" ht="14.5">
      <c r="B315" s="20"/>
      <c r="G315" s="556"/>
      <c r="H315" s="556"/>
      <c r="I315" s="557"/>
      <c r="M315" s="557" t="str">
        <f t="shared" si="1"/>
        <v/>
      </c>
    </row>
    <row r="316" spans="2:13" ht="14.5">
      <c r="B316" s="20"/>
      <c r="G316" s="556"/>
      <c r="H316" s="556"/>
      <c r="I316" s="557"/>
      <c r="M316" s="557" t="str">
        <f t="shared" si="1"/>
        <v/>
      </c>
    </row>
    <row r="317" spans="2:13" ht="14.5">
      <c r="B317" s="20"/>
      <c r="G317" s="556"/>
      <c r="H317" s="556"/>
      <c r="I317" s="557"/>
      <c r="M317" s="557" t="str">
        <f t="shared" si="1"/>
        <v/>
      </c>
    </row>
    <row r="318" spans="2:13" ht="14.5">
      <c r="B318" s="20"/>
      <c r="G318" s="556"/>
      <c r="H318" s="556"/>
      <c r="I318" s="557"/>
      <c r="M318" s="557" t="str">
        <f t="shared" si="1"/>
        <v/>
      </c>
    </row>
    <row r="319" spans="2:13" ht="14.5">
      <c r="B319" s="20"/>
      <c r="G319" s="556"/>
      <c r="H319" s="556"/>
      <c r="I319" s="557"/>
      <c r="M319" s="557" t="str">
        <f t="shared" si="1"/>
        <v/>
      </c>
    </row>
    <row r="320" spans="2:13" ht="14.5">
      <c r="B320" s="20"/>
      <c r="G320" s="556"/>
      <c r="H320" s="556"/>
      <c r="I320" s="557"/>
      <c r="M320" s="557" t="str">
        <f t="shared" si="1"/>
        <v/>
      </c>
    </row>
    <row r="321" spans="2:13" ht="14.5">
      <c r="B321" s="20"/>
      <c r="G321" s="556"/>
      <c r="H321" s="556"/>
      <c r="I321" s="557"/>
      <c r="M321" s="557" t="str">
        <f t="shared" si="1"/>
        <v/>
      </c>
    </row>
    <row r="322" spans="2:13" ht="14.5">
      <c r="B322" s="20"/>
      <c r="G322" s="556"/>
      <c r="H322" s="556"/>
      <c r="I322" s="557"/>
      <c r="M322" s="557" t="str">
        <f t="shared" si="1"/>
        <v/>
      </c>
    </row>
    <row r="323" spans="2:13" ht="14.5">
      <c r="B323" s="20"/>
      <c r="G323" s="556"/>
      <c r="H323" s="556"/>
      <c r="I323" s="557"/>
      <c r="M323" s="557" t="str">
        <f t="shared" si="1"/>
        <v/>
      </c>
    </row>
    <row r="324" spans="2:13" ht="14.5">
      <c r="B324" s="20"/>
      <c r="G324" s="556"/>
      <c r="H324" s="556"/>
      <c r="I324" s="557"/>
      <c r="M324" s="557" t="str">
        <f t="shared" si="1"/>
        <v/>
      </c>
    </row>
    <row r="325" spans="2:13" ht="14.5">
      <c r="B325" s="20"/>
      <c r="G325" s="556"/>
      <c r="H325" s="556"/>
      <c r="I325" s="557"/>
      <c r="M325" s="557" t="str">
        <f t="shared" si="1"/>
        <v/>
      </c>
    </row>
    <row r="326" spans="2:13" ht="14.5">
      <c r="B326" s="20"/>
      <c r="G326" s="556"/>
      <c r="H326" s="556"/>
      <c r="I326" s="557"/>
      <c r="M326" s="557" t="str">
        <f t="shared" si="1"/>
        <v/>
      </c>
    </row>
    <row r="327" spans="2:13" ht="14.5">
      <c r="B327" s="20"/>
      <c r="G327" s="556"/>
      <c r="H327" s="556"/>
      <c r="I327" s="557"/>
      <c r="M327" s="557" t="str">
        <f t="shared" si="1"/>
        <v/>
      </c>
    </row>
    <row r="328" spans="2:13" ht="14.5">
      <c r="B328" s="20"/>
      <c r="G328" s="556"/>
      <c r="H328" s="556"/>
      <c r="I328" s="557"/>
      <c r="M328" s="557" t="str">
        <f t="shared" si="1"/>
        <v/>
      </c>
    </row>
    <row r="329" spans="2:13" ht="14.5">
      <c r="B329" s="20"/>
      <c r="G329" s="556"/>
      <c r="H329" s="556"/>
      <c r="I329" s="557"/>
      <c r="M329" s="557" t="str">
        <f t="shared" si="1"/>
        <v/>
      </c>
    </row>
    <row r="330" spans="2:13" ht="14.5">
      <c r="B330" s="20"/>
      <c r="G330" s="556"/>
      <c r="H330" s="556"/>
      <c r="I330" s="557"/>
      <c r="M330" s="557" t="str">
        <f t="shared" si="1"/>
        <v/>
      </c>
    </row>
    <row r="331" spans="2:13" ht="14.5">
      <c r="B331" s="20"/>
      <c r="G331" s="556"/>
      <c r="H331" s="556"/>
      <c r="I331" s="557"/>
      <c r="M331" s="557" t="str">
        <f t="shared" si="1"/>
        <v/>
      </c>
    </row>
    <row r="332" spans="2:13" ht="14.5">
      <c r="B332" s="20"/>
      <c r="G332" s="556"/>
      <c r="H332" s="556"/>
      <c r="I332" s="557"/>
      <c r="M332" s="557" t="str">
        <f t="shared" si="1"/>
        <v/>
      </c>
    </row>
    <row r="333" spans="2:13" ht="14.5">
      <c r="B333" s="20"/>
      <c r="G333" s="556"/>
      <c r="H333" s="556"/>
      <c r="I333" s="557"/>
      <c r="M333" s="557" t="str">
        <f t="shared" si="1"/>
        <v/>
      </c>
    </row>
    <row r="334" spans="2:13" ht="14.5">
      <c r="B334" s="20"/>
      <c r="G334" s="556"/>
      <c r="H334" s="556"/>
      <c r="I334" s="557"/>
      <c r="M334" s="557" t="str">
        <f t="shared" si="1"/>
        <v/>
      </c>
    </row>
    <row r="335" spans="2:13" ht="14.5">
      <c r="B335" s="20"/>
      <c r="G335" s="556"/>
      <c r="H335" s="556"/>
      <c r="I335" s="557"/>
      <c r="M335" s="557" t="str">
        <f t="shared" si="1"/>
        <v/>
      </c>
    </row>
    <row r="336" spans="2:13" ht="14.5">
      <c r="B336" s="20"/>
      <c r="G336" s="556"/>
      <c r="H336" s="556"/>
      <c r="I336" s="557"/>
      <c r="M336" s="557" t="str">
        <f t="shared" si="1"/>
        <v/>
      </c>
    </row>
    <row r="337" spans="2:13" ht="14.5">
      <c r="B337" s="20"/>
      <c r="G337" s="556"/>
      <c r="H337" s="556"/>
      <c r="I337" s="557"/>
      <c r="M337" s="557" t="str">
        <f t="shared" si="1"/>
        <v/>
      </c>
    </row>
    <row r="338" spans="2:13" ht="14.5">
      <c r="B338" s="20"/>
      <c r="G338" s="556"/>
      <c r="H338" s="556"/>
      <c r="I338" s="557"/>
      <c r="M338" s="557" t="str">
        <f t="shared" si="1"/>
        <v/>
      </c>
    </row>
    <row r="339" spans="2:13" ht="14.5">
      <c r="B339" s="20"/>
      <c r="G339" s="556"/>
      <c r="H339" s="556"/>
      <c r="I339" s="557"/>
      <c r="M339" s="557" t="str">
        <f t="shared" si="1"/>
        <v/>
      </c>
    </row>
    <row r="340" spans="2:13" ht="14.5">
      <c r="B340" s="20"/>
      <c r="G340" s="556"/>
      <c r="H340" s="556"/>
      <c r="I340" s="557"/>
      <c r="M340" s="557" t="str">
        <f t="shared" si="1"/>
        <v/>
      </c>
    </row>
    <row r="341" spans="2:13" ht="14.5">
      <c r="B341" s="20"/>
      <c r="G341" s="556"/>
      <c r="H341" s="556"/>
      <c r="I341" s="557"/>
      <c r="M341" s="557" t="str">
        <f t="shared" si="1"/>
        <v/>
      </c>
    </row>
    <row r="342" spans="2:13" ht="14.5">
      <c r="B342" s="20"/>
      <c r="G342" s="556"/>
      <c r="H342" s="556"/>
      <c r="I342" s="557"/>
      <c r="M342" s="557" t="str">
        <f t="shared" si="1"/>
        <v/>
      </c>
    </row>
    <row r="343" spans="2:13" ht="14.5">
      <c r="B343" s="20"/>
      <c r="G343" s="556"/>
      <c r="H343" s="556"/>
      <c r="I343" s="557"/>
      <c r="M343" s="557" t="str">
        <f t="shared" si="1"/>
        <v/>
      </c>
    </row>
    <row r="344" spans="2:13" ht="14.5">
      <c r="B344" s="20"/>
      <c r="G344" s="556"/>
      <c r="H344" s="556"/>
      <c r="I344" s="557"/>
      <c r="M344" s="557" t="str">
        <f t="shared" si="1"/>
        <v/>
      </c>
    </row>
    <row r="345" spans="2:13" ht="14.5">
      <c r="B345" s="20"/>
      <c r="G345" s="556"/>
      <c r="H345" s="556"/>
      <c r="I345" s="557"/>
      <c r="M345" s="557" t="str">
        <f t="shared" si="1"/>
        <v/>
      </c>
    </row>
    <row r="346" spans="2:13" ht="14.5">
      <c r="B346" s="20"/>
      <c r="G346" s="556"/>
      <c r="H346" s="556"/>
      <c r="I346" s="557"/>
      <c r="M346" s="557" t="str">
        <f t="shared" si="1"/>
        <v/>
      </c>
    </row>
    <row r="347" spans="2:13" ht="14.5">
      <c r="B347" s="20"/>
      <c r="G347" s="556"/>
      <c r="H347" s="556"/>
      <c r="I347" s="557"/>
      <c r="M347" s="557" t="str">
        <f t="shared" si="1"/>
        <v/>
      </c>
    </row>
    <row r="348" spans="2:13" ht="14.5">
      <c r="B348" s="20"/>
      <c r="G348" s="556"/>
      <c r="H348" s="556"/>
      <c r="I348" s="557"/>
      <c r="M348" s="557" t="str">
        <f t="shared" si="1"/>
        <v/>
      </c>
    </row>
    <row r="349" spans="2:13" ht="14.5">
      <c r="B349" s="20"/>
      <c r="G349" s="556"/>
      <c r="H349" s="556"/>
      <c r="I349" s="557"/>
      <c r="M349" s="557" t="str">
        <f t="shared" si="1"/>
        <v/>
      </c>
    </row>
    <row r="350" spans="2:13" ht="14.5">
      <c r="B350" s="20"/>
      <c r="G350" s="556"/>
      <c r="H350" s="556"/>
      <c r="I350" s="557"/>
      <c r="M350" s="557" t="str">
        <f t="shared" si="1"/>
        <v/>
      </c>
    </row>
    <row r="351" spans="2:13" ht="14.5">
      <c r="B351" s="20"/>
      <c r="G351" s="556"/>
      <c r="H351" s="556"/>
      <c r="I351" s="557"/>
      <c r="M351" s="557" t="str">
        <f t="shared" si="1"/>
        <v/>
      </c>
    </row>
    <row r="352" spans="2:13" ht="14.5">
      <c r="B352" s="20"/>
      <c r="G352" s="556"/>
      <c r="H352" s="556"/>
      <c r="I352" s="557"/>
      <c r="M352" s="557" t="str">
        <f t="shared" si="1"/>
        <v/>
      </c>
    </row>
    <row r="353" spans="2:13" ht="14.5">
      <c r="B353" s="20"/>
      <c r="G353" s="556"/>
      <c r="H353" s="556"/>
      <c r="I353" s="557"/>
      <c r="M353" s="557" t="str">
        <f t="shared" si="1"/>
        <v/>
      </c>
    </row>
    <row r="354" spans="2:13" ht="14.5">
      <c r="B354" s="20"/>
      <c r="G354" s="556"/>
      <c r="H354" s="556"/>
      <c r="I354" s="557"/>
      <c r="M354" s="557" t="str">
        <f t="shared" si="1"/>
        <v/>
      </c>
    </row>
    <row r="355" spans="2:13" ht="14.5">
      <c r="B355" s="20"/>
      <c r="G355" s="556"/>
      <c r="H355" s="556"/>
      <c r="I355" s="557"/>
      <c r="M355" s="557" t="str">
        <f t="shared" si="1"/>
        <v/>
      </c>
    </row>
    <row r="356" spans="2:13" ht="14.5">
      <c r="B356" s="20"/>
      <c r="G356" s="556"/>
      <c r="H356" s="556"/>
      <c r="I356" s="557"/>
      <c r="M356" s="557" t="str">
        <f t="shared" si="1"/>
        <v/>
      </c>
    </row>
    <row r="357" spans="2:13" ht="14.5">
      <c r="B357" s="20"/>
      <c r="G357" s="556"/>
      <c r="H357" s="556"/>
      <c r="I357" s="557"/>
      <c r="M357" s="557" t="str">
        <f t="shared" si="1"/>
        <v/>
      </c>
    </row>
    <row r="358" spans="2:13" ht="14.5">
      <c r="B358" s="20"/>
      <c r="G358" s="556"/>
      <c r="H358" s="556"/>
      <c r="I358" s="557"/>
      <c r="M358" s="557" t="str">
        <f t="shared" si="1"/>
        <v/>
      </c>
    </row>
    <row r="359" spans="2:13" ht="14.5">
      <c r="B359" s="20"/>
      <c r="G359" s="556"/>
      <c r="H359" s="556"/>
      <c r="I359" s="557"/>
      <c r="M359" s="557" t="str">
        <f t="shared" si="1"/>
        <v/>
      </c>
    </row>
    <row r="360" spans="2:13" ht="14.5">
      <c r="B360" s="20"/>
      <c r="G360" s="556"/>
      <c r="H360" s="556"/>
      <c r="I360" s="557"/>
      <c r="M360" s="557" t="str">
        <f t="shared" si="1"/>
        <v/>
      </c>
    </row>
    <row r="361" spans="2:13" ht="14.5">
      <c r="B361" s="20"/>
      <c r="G361" s="556"/>
      <c r="H361" s="556"/>
      <c r="I361" s="557"/>
      <c r="M361" s="557" t="str">
        <f t="shared" si="1"/>
        <v/>
      </c>
    </row>
    <row r="362" spans="2:13" ht="14.5">
      <c r="B362" s="20"/>
      <c r="G362" s="556"/>
      <c r="H362" s="556"/>
      <c r="I362" s="557"/>
      <c r="M362" s="557" t="str">
        <f t="shared" si="1"/>
        <v/>
      </c>
    </row>
    <row r="363" spans="2:13" ht="14.5">
      <c r="B363" s="20"/>
      <c r="G363" s="556"/>
      <c r="H363" s="556"/>
      <c r="I363" s="557"/>
      <c r="M363" s="557" t="str">
        <f t="shared" si="1"/>
        <v/>
      </c>
    </row>
    <row r="364" spans="2:13" ht="14.5">
      <c r="B364" s="20"/>
      <c r="G364" s="556"/>
      <c r="H364" s="556"/>
      <c r="I364" s="557"/>
      <c r="M364" s="557" t="str">
        <f t="shared" si="1"/>
        <v/>
      </c>
    </row>
    <row r="365" spans="2:13" ht="14.5">
      <c r="B365" s="20"/>
      <c r="G365" s="556"/>
      <c r="H365" s="556"/>
      <c r="I365" s="557"/>
      <c r="M365" s="557" t="str">
        <f t="shared" si="1"/>
        <v/>
      </c>
    </row>
    <row r="366" spans="2:13" ht="14.5">
      <c r="B366" s="20"/>
      <c r="G366" s="556"/>
      <c r="H366" s="556"/>
      <c r="I366" s="557"/>
      <c r="M366" s="557" t="str">
        <f t="shared" si="1"/>
        <v/>
      </c>
    </row>
    <row r="367" spans="2:13" ht="14.5">
      <c r="B367" s="20"/>
      <c r="G367" s="556"/>
      <c r="H367" s="556"/>
      <c r="I367" s="557"/>
      <c r="M367" s="557" t="str">
        <f t="shared" si="1"/>
        <v/>
      </c>
    </row>
    <row r="368" spans="2:13" ht="14.5">
      <c r="B368" s="20"/>
      <c r="G368" s="556"/>
      <c r="H368" s="556"/>
      <c r="I368" s="557"/>
      <c r="M368" s="557" t="str">
        <f t="shared" si="1"/>
        <v/>
      </c>
    </row>
    <row r="369" spans="2:13" ht="14.5">
      <c r="B369" s="20"/>
      <c r="G369" s="556"/>
      <c r="H369" s="556"/>
      <c r="I369" s="557"/>
      <c r="M369" s="557" t="str">
        <f t="shared" si="1"/>
        <v/>
      </c>
    </row>
    <row r="370" spans="2:13" ht="14.5">
      <c r="B370" s="20"/>
      <c r="G370" s="556"/>
      <c r="H370" s="556"/>
      <c r="I370" s="557"/>
      <c r="M370" s="557" t="str">
        <f t="shared" si="1"/>
        <v/>
      </c>
    </row>
    <row r="371" spans="2:13" ht="14.5">
      <c r="B371" s="20"/>
      <c r="G371" s="556"/>
      <c r="H371" s="556"/>
      <c r="I371" s="557"/>
      <c r="M371" s="557" t="str">
        <f t="shared" si="1"/>
        <v/>
      </c>
    </row>
    <row r="372" spans="2:13" ht="14.5">
      <c r="B372" s="20"/>
      <c r="G372" s="556"/>
      <c r="H372" s="556"/>
      <c r="I372" s="557"/>
      <c r="M372" s="557" t="str">
        <f t="shared" si="1"/>
        <v/>
      </c>
    </row>
    <row r="373" spans="2:13" ht="14.5">
      <c r="B373" s="20"/>
      <c r="G373" s="556"/>
      <c r="H373" s="556"/>
      <c r="I373" s="557"/>
      <c r="M373" s="557" t="str">
        <f t="shared" si="1"/>
        <v/>
      </c>
    </row>
    <row r="374" spans="2:13" ht="14.5">
      <c r="B374" s="20"/>
      <c r="G374" s="556"/>
      <c r="H374" s="556"/>
      <c r="I374" s="557"/>
      <c r="M374" s="557" t="str">
        <f t="shared" si="1"/>
        <v/>
      </c>
    </row>
    <row r="375" spans="2:13" ht="14.5">
      <c r="B375" s="20"/>
      <c r="G375" s="556"/>
      <c r="H375" s="556"/>
      <c r="I375" s="557"/>
      <c r="M375" s="557" t="str">
        <f t="shared" si="1"/>
        <v/>
      </c>
    </row>
    <row r="376" spans="2:13" ht="14.5">
      <c r="B376" s="20"/>
      <c r="G376" s="556"/>
      <c r="H376" s="556"/>
      <c r="I376" s="557"/>
      <c r="M376" s="557" t="str">
        <f t="shared" si="1"/>
        <v/>
      </c>
    </row>
    <row r="377" spans="2:13" ht="14.5">
      <c r="B377" s="20"/>
      <c r="G377" s="556"/>
      <c r="H377" s="556"/>
      <c r="I377" s="557"/>
      <c r="M377" s="557" t="str">
        <f t="shared" si="1"/>
        <v/>
      </c>
    </row>
    <row r="378" spans="2:13" ht="14.5">
      <c r="B378" s="20"/>
      <c r="G378" s="556"/>
      <c r="H378" s="556"/>
      <c r="I378" s="557"/>
      <c r="M378" s="557" t="str">
        <f t="shared" si="1"/>
        <v/>
      </c>
    </row>
    <row r="379" spans="2:13" ht="14.5">
      <c r="B379" s="20"/>
      <c r="G379" s="556"/>
      <c r="H379" s="556"/>
      <c r="I379" s="557"/>
      <c r="M379" s="557" t="str">
        <f t="shared" si="1"/>
        <v/>
      </c>
    </row>
    <row r="380" spans="2:13" ht="14.5">
      <c r="B380" s="20"/>
      <c r="G380" s="556"/>
      <c r="H380" s="556"/>
      <c r="I380" s="557"/>
      <c r="M380" s="557" t="str">
        <f t="shared" si="1"/>
        <v/>
      </c>
    </row>
    <row r="381" spans="2:13" ht="14.5">
      <c r="B381" s="20"/>
      <c r="G381" s="556"/>
      <c r="H381" s="556"/>
      <c r="I381" s="557"/>
      <c r="M381" s="557" t="str">
        <f t="shared" si="1"/>
        <v/>
      </c>
    </row>
    <row r="382" spans="2:13" ht="14.5">
      <c r="B382" s="20"/>
      <c r="G382" s="556"/>
      <c r="H382" s="556"/>
      <c r="I382" s="557"/>
      <c r="M382" s="557" t="str">
        <f t="shared" si="1"/>
        <v/>
      </c>
    </row>
    <row r="383" spans="2:13" ht="14.5">
      <c r="B383" s="20"/>
      <c r="G383" s="556"/>
      <c r="H383" s="556"/>
      <c r="I383" s="557"/>
      <c r="M383" s="557" t="str">
        <f t="shared" si="1"/>
        <v/>
      </c>
    </row>
    <row r="384" spans="2:13" ht="14.5">
      <c r="B384" s="20"/>
      <c r="G384" s="556"/>
      <c r="H384" s="556"/>
      <c r="I384" s="557"/>
      <c r="M384" s="557" t="str">
        <f t="shared" si="1"/>
        <v/>
      </c>
    </row>
    <row r="385" spans="2:13" ht="14.5">
      <c r="B385" s="20"/>
      <c r="G385" s="556"/>
      <c r="H385" s="556"/>
      <c r="I385" s="557"/>
      <c r="M385" s="557" t="str">
        <f t="shared" si="1"/>
        <v/>
      </c>
    </row>
    <row r="386" spans="2:13" ht="14.5">
      <c r="B386" s="20"/>
      <c r="G386" s="556"/>
      <c r="H386" s="556"/>
      <c r="I386" s="557"/>
      <c r="M386" s="557" t="str">
        <f t="shared" si="1"/>
        <v/>
      </c>
    </row>
    <row r="387" spans="2:13" ht="14.5">
      <c r="B387" s="20"/>
      <c r="G387" s="556"/>
      <c r="H387" s="556"/>
      <c r="I387" s="557"/>
      <c r="M387" s="557" t="str">
        <f t="shared" si="1"/>
        <v/>
      </c>
    </row>
    <row r="388" spans="2:13" ht="14.5">
      <c r="B388" s="20"/>
      <c r="G388" s="556"/>
      <c r="H388" s="556"/>
      <c r="I388" s="557"/>
      <c r="M388" s="557" t="str">
        <f t="shared" si="1"/>
        <v/>
      </c>
    </row>
    <row r="389" spans="2:13" ht="14.5">
      <c r="B389" s="20"/>
      <c r="G389" s="556"/>
      <c r="H389" s="556"/>
      <c r="I389" s="557"/>
      <c r="M389" s="557" t="str">
        <f t="shared" si="1"/>
        <v/>
      </c>
    </row>
    <row r="390" spans="2:13" ht="14.5">
      <c r="B390" s="20"/>
      <c r="G390" s="556"/>
      <c r="H390" s="556"/>
      <c r="I390" s="557"/>
      <c r="M390" s="557" t="str">
        <f t="shared" si="1"/>
        <v/>
      </c>
    </row>
    <row r="391" spans="2:13" ht="14.5">
      <c r="B391" s="20"/>
      <c r="G391" s="556"/>
      <c r="H391" s="556"/>
      <c r="I391" s="557"/>
      <c r="M391" s="557" t="str">
        <f t="shared" si="1"/>
        <v/>
      </c>
    </row>
    <row r="392" spans="2:13" ht="14.5">
      <c r="B392" s="20"/>
      <c r="G392" s="556"/>
      <c r="H392" s="556"/>
      <c r="I392" s="557"/>
      <c r="M392" s="557" t="str">
        <f t="shared" si="1"/>
        <v/>
      </c>
    </row>
    <row r="393" spans="2:13" ht="14.5">
      <c r="B393" s="20"/>
      <c r="G393" s="556"/>
      <c r="H393" s="556"/>
      <c r="I393" s="557"/>
      <c r="M393" s="557" t="str">
        <f t="shared" si="1"/>
        <v/>
      </c>
    </row>
    <row r="394" spans="2:13" ht="14.5">
      <c r="B394" s="20"/>
      <c r="G394" s="556"/>
      <c r="H394" s="556"/>
      <c r="I394" s="557"/>
      <c r="M394" s="557" t="str">
        <f t="shared" si="1"/>
        <v/>
      </c>
    </row>
    <row r="395" spans="2:13" ht="14.5">
      <c r="B395" s="20"/>
      <c r="G395" s="556"/>
      <c r="H395" s="556"/>
      <c r="I395" s="557"/>
      <c r="M395" s="557" t="str">
        <f t="shared" si="1"/>
        <v/>
      </c>
    </row>
    <row r="396" spans="2:13" ht="14.5">
      <c r="B396" s="20"/>
      <c r="G396" s="556"/>
      <c r="H396" s="556"/>
      <c r="I396" s="557"/>
      <c r="M396" s="557" t="str">
        <f t="shared" si="1"/>
        <v/>
      </c>
    </row>
    <row r="397" spans="2:13" ht="14.5">
      <c r="B397" s="20"/>
      <c r="G397" s="556"/>
      <c r="H397" s="556"/>
      <c r="I397" s="557"/>
      <c r="M397" s="557" t="str">
        <f t="shared" si="1"/>
        <v/>
      </c>
    </row>
    <row r="398" spans="2:13" ht="14.5">
      <c r="B398" s="20"/>
      <c r="G398" s="556"/>
      <c r="H398" s="556"/>
      <c r="I398" s="557"/>
      <c r="M398" s="557" t="str">
        <f t="shared" si="1"/>
        <v/>
      </c>
    </row>
    <row r="399" spans="2:13" ht="14.5">
      <c r="B399" s="20"/>
      <c r="G399" s="556"/>
      <c r="H399" s="556"/>
      <c r="I399" s="557"/>
      <c r="M399" s="557"/>
    </row>
    <row r="400" spans="2:13" ht="14.5">
      <c r="B400" s="20"/>
      <c r="G400" s="556"/>
      <c r="H400" s="556"/>
      <c r="I400" s="557"/>
      <c r="M400" s="557"/>
    </row>
    <row r="401" spans="2:13" ht="14.5">
      <c r="B401" s="20"/>
      <c r="G401" s="556"/>
      <c r="H401" s="556"/>
      <c r="I401" s="557"/>
      <c r="M401" s="557"/>
    </row>
    <row r="402" spans="2:13" ht="14.5">
      <c r="B402" s="20"/>
      <c r="G402" s="556"/>
      <c r="H402" s="556"/>
      <c r="I402" s="557"/>
      <c r="M402" s="557"/>
    </row>
    <row r="403" spans="2:13" ht="14.5">
      <c r="B403" s="20"/>
      <c r="G403" s="556"/>
      <c r="H403" s="556"/>
      <c r="I403" s="557"/>
      <c r="M403" s="557"/>
    </row>
    <row r="404" spans="2:13" ht="14.5">
      <c r="B404" s="20"/>
      <c r="G404" s="556"/>
      <c r="H404" s="556"/>
      <c r="I404" s="557"/>
      <c r="M404" s="557"/>
    </row>
    <row r="405" spans="2:13" ht="14.5">
      <c r="B405" s="20"/>
      <c r="G405" s="556"/>
      <c r="H405" s="556"/>
      <c r="I405" s="557"/>
      <c r="M405" s="557"/>
    </row>
    <row r="406" spans="2:13" ht="14.5">
      <c r="B406" s="20"/>
      <c r="G406" s="556"/>
      <c r="H406" s="556"/>
      <c r="I406" s="557"/>
      <c r="M406" s="557"/>
    </row>
    <row r="407" spans="2:13" ht="14.5">
      <c r="B407" s="20"/>
      <c r="G407" s="556"/>
      <c r="H407" s="556"/>
      <c r="I407" s="557"/>
      <c r="M407" s="557"/>
    </row>
    <row r="408" spans="2:13" ht="14.5">
      <c r="B408" s="20"/>
      <c r="G408" s="556"/>
      <c r="H408" s="556"/>
      <c r="I408" s="557"/>
      <c r="M408" s="557"/>
    </row>
    <row r="409" spans="2:13" ht="14.5">
      <c r="B409" s="20"/>
      <c r="G409" s="556"/>
      <c r="H409" s="556"/>
      <c r="I409" s="557"/>
      <c r="M409" s="557"/>
    </row>
    <row r="410" spans="2:13" ht="14.5">
      <c r="B410" s="20"/>
      <c r="G410" s="556"/>
      <c r="H410" s="556"/>
      <c r="I410" s="557"/>
      <c r="M410" s="557"/>
    </row>
    <row r="411" spans="2:13" ht="14.5">
      <c r="B411" s="20"/>
      <c r="G411" s="556"/>
      <c r="H411" s="556"/>
      <c r="I411" s="557"/>
      <c r="M411" s="557"/>
    </row>
    <row r="412" spans="2:13" ht="14.5">
      <c r="B412" s="20"/>
      <c r="G412" s="556"/>
      <c r="H412" s="556"/>
      <c r="I412" s="557"/>
      <c r="M412" s="557"/>
    </row>
    <row r="413" spans="2:13" ht="14.5">
      <c r="B413" s="20"/>
      <c r="G413" s="556"/>
      <c r="H413" s="556"/>
      <c r="I413" s="557"/>
      <c r="M413" s="557"/>
    </row>
    <row r="414" spans="2:13" ht="14.5">
      <c r="B414" s="20"/>
      <c r="G414" s="556"/>
      <c r="H414" s="556"/>
      <c r="I414" s="557"/>
      <c r="M414" s="557"/>
    </row>
    <row r="415" spans="2:13" ht="14.5">
      <c r="B415" s="20"/>
      <c r="G415" s="556"/>
      <c r="H415" s="556"/>
      <c r="I415" s="557"/>
      <c r="M415" s="557"/>
    </row>
    <row r="416" spans="2:13" ht="14.5">
      <c r="B416" s="20"/>
      <c r="G416" s="556"/>
      <c r="H416" s="556"/>
      <c r="I416" s="557"/>
      <c r="M416" s="557"/>
    </row>
    <row r="417" spans="2:13" ht="14.5">
      <c r="B417" s="20"/>
      <c r="G417" s="556"/>
      <c r="H417" s="556"/>
      <c r="I417" s="557"/>
      <c r="M417" s="557"/>
    </row>
    <row r="418" spans="2:13" ht="14.5">
      <c r="B418" s="20"/>
      <c r="G418" s="556"/>
      <c r="H418" s="556"/>
      <c r="I418" s="557"/>
      <c r="M418" s="557"/>
    </row>
    <row r="419" spans="2:13" ht="14.5">
      <c r="B419" s="20"/>
      <c r="G419" s="556"/>
      <c r="H419" s="556"/>
      <c r="I419" s="557"/>
      <c r="M419" s="557"/>
    </row>
    <row r="420" spans="2:13" ht="14.5">
      <c r="B420" s="20"/>
      <c r="G420" s="556"/>
      <c r="H420" s="556"/>
      <c r="I420" s="557"/>
      <c r="M420" s="557"/>
    </row>
    <row r="421" spans="2:13" ht="14.5">
      <c r="B421" s="20"/>
      <c r="G421" s="556"/>
      <c r="H421" s="556"/>
      <c r="I421" s="557"/>
      <c r="M421" s="557"/>
    </row>
    <row r="422" spans="2:13" ht="14.5">
      <c r="B422" s="20"/>
      <c r="G422" s="556"/>
      <c r="H422" s="556"/>
      <c r="I422" s="557"/>
      <c r="M422" s="557"/>
    </row>
    <row r="423" spans="2:13" ht="14.5">
      <c r="B423" s="20"/>
      <c r="G423" s="556"/>
      <c r="H423" s="556"/>
      <c r="I423" s="557"/>
      <c r="M423" s="557"/>
    </row>
    <row r="424" spans="2:13" ht="14.5">
      <c r="B424" s="20"/>
      <c r="G424" s="556"/>
      <c r="H424" s="556"/>
      <c r="I424" s="557"/>
      <c r="M424" s="557"/>
    </row>
    <row r="425" spans="2:13" ht="14.5">
      <c r="B425" s="20"/>
      <c r="G425" s="556"/>
      <c r="H425" s="556"/>
      <c r="I425" s="557"/>
      <c r="M425" s="557"/>
    </row>
    <row r="426" spans="2:13" ht="14.5">
      <c r="B426" s="20"/>
      <c r="G426" s="556"/>
      <c r="H426" s="556"/>
      <c r="I426" s="557"/>
      <c r="M426" s="557"/>
    </row>
    <row r="427" spans="2:13" ht="14.5">
      <c r="B427" s="20"/>
      <c r="G427" s="556"/>
      <c r="H427" s="556"/>
      <c r="I427" s="557"/>
      <c r="M427" s="557"/>
    </row>
    <row r="428" spans="2:13" ht="14.5">
      <c r="B428" s="20"/>
      <c r="G428" s="556"/>
      <c r="H428" s="556"/>
      <c r="I428" s="557"/>
      <c r="M428" s="557"/>
    </row>
    <row r="429" spans="2:13" ht="14.5">
      <c r="B429" s="20"/>
      <c r="G429" s="556"/>
      <c r="H429" s="556"/>
      <c r="I429" s="557"/>
      <c r="M429" s="557"/>
    </row>
    <row r="430" spans="2:13" ht="14.5">
      <c r="B430" s="20"/>
      <c r="G430" s="556"/>
      <c r="H430" s="556"/>
      <c r="I430" s="557"/>
      <c r="M430" s="557"/>
    </row>
    <row r="431" spans="2:13" ht="14.5">
      <c r="B431" s="20"/>
      <c r="G431" s="556"/>
      <c r="H431" s="556"/>
      <c r="I431" s="557"/>
      <c r="M431" s="557"/>
    </row>
    <row r="432" spans="2:13" ht="14.5">
      <c r="B432" s="20"/>
      <c r="G432" s="556"/>
      <c r="H432" s="556"/>
      <c r="I432" s="557"/>
      <c r="M432" s="557"/>
    </row>
    <row r="433" spans="2:13" ht="14.5">
      <c r="B433" s="20"/>
      <c r="G433" s="556"/>
      <c r="H433" s="556"/>
      <c r="I433" s="557"/>
      <c r="M433" s="557"/>
    </row>
    <row r="434" spans="2:13" ht="14.5">
      <c r="B434" s="20"/>
      <c r="G434" s="556"/>
      <c r="H434" s="556"/>
      <c r="I434" s="557"/>
      <c r="M434" s="557"/>
    </row>
    <row r="435" spans="2:13" ht="14.5">
      <c r="B435" s="20"/>
      <c r="G435" s="556"/>
      <c r="H435" s="556"/>
      <c r="I435" s="557"/>
      <c r="M435" s="557"/>
    </row>
    <row r="436" spans="2:13" ht="14.5">
      <c r="B436" s="20"/>
      <c r="G436" s="556"/>
      <c r="H436" s="556"/>
      <c r="I436" s="557"/>
      <c r="M436" s="557"/>
    </row>
    <row r="437" spans="2:13" ht="14.5">
      <c r="B437" s="20"/>
      <c r="G437" s="556"/>
      <c r="H437" s="556"/>
      <c r="I437" s="557"/>
      <c r="M437" s="557"/>
    </row>
    <row r="438" spans="2:13" ht="14.5">
      <c r="B438" s="20"/>
      <c r="G438" s="556"/>
      <c r="H438" s="556"/>
      <c r="I438" s="557"/>
      <c r="M438" s="557"/>
    </row>
    <row r="439" spans="2:13" ht="14.5">
      <c r="B439" s="20"/>
      <c r="G439" s="556"/>
      <c r="H439" s="556"/>
      <c r="I439" s="557"/>
      <c r="M439" s="557"/>
    </row>
    <row r="440" spans="2:13" ht="14.5">
      <c r="B440" s="20"/>
      <c r="G440" s="556"/>
      <c r="H440" s="556"/>
      <c r="I440" s="557"/>
      <c r="M440" s="557"/>
    </row>
    <row r="441" spans="2:13" ht="14.5">
      <c r="B441" s="20"/>
      <c r="G441" s="556"/>
      <c r="H441" s="556"/>
      <c r="I441" s="557"/>
      <c r="M441" s="557"/>
    </row>
    <row r="442" spans="2:13" ht="14.5">
      <c r="B442" s="20"/>
      <c r="G442" s="556"/>
      <c r="H442" s="556"/>
      <c r="I442" s="557"/>
      <c r="M442" s="557"/>
    </row>
    <row r="443" spans="2:13" ht="14.5">
      <c r="B443" s="20"/>
      <c r="G443" s="556"/>
      <c r="H443" s="556"/>
      <c r="I443" s="557"/>
      <c r="M443" s="557"/>
    </row>
    <row r="444" spans="2:13" ht="14.5">
      <c r="B444" s="20"/>
      <c r="G444" s="556"/>
      <c r="H444" s="556"/>
      <c r="I444" s="557"/>
      <c r="M444" s="557"/>
    </row>
    <row r="445" spans="2:13" ht="14.5">
      <c r="B445" s="20"/>
      <c r="G445" s="556"/>
      <c r="H445" s="556"/>
      <c r="I445" s="557"/>
      <c r="M445" s="557"/>
    </row>
    <row r="446" spans="2:13" ht="14.5">
      <c r="B446" s="20"/>
      <c r="G446" s="556"/>
      <c r="H446" s="556"/>
      <c r="I446" s="557"/>
      <c r="M446" s="557"/>
    </row>
    <row r="447" spans="2:13" ht="14.5">
      <c r="B447" s="20"/>
      <c r="G447" s="556"/>
      <c r="H447" s="556"/>
      <c r="I447" s="557"/>
      <c r="M447" s="557"/>
    </row>
    <row r="448" spans="2:13" ht="14.5">
      <c r="B448" s="20"/>
      <c r="G448" s="556"/>
      <c r="H448" s="556"/>
      <c r="I448" s="557"/>
      <c r="M448" s="557"/>
    </row>
    <row r="449" spans="2:13" ht="14.5">
      <c r="B449" s="20"/>
      <c r="G449" s="556"/>
      <c r="H449" s="556"/>
      <c r="I449" s="557"/>
      <c r="M449" s="557"/>
    </row>
    <row r="450" spans="2:13" ht="14.5">
      <c r="B450" s="20"/>
      <c r="G450" s="556"/>
      <c r="H450" s="556"/>
      <c r="I450" s="557"/>
      <c r="M450" s="557"/>
    </row>
    <row r="451" spans="2:13" ht="14.5">
      <c r="B451" s="20"/>
      <c r="G451" s="556"/>
      <c r="H451" s="556"/>
      <c r="I451" s="557"/>
      <c r="M451" s="557"/>
    </row>
    <row r="452" spans="2:13" ht="14.5">
      <c r="B452" s="20"/>
      <c r="G452" s="556"/>
      <c r="H452" s="556"/>
      <c r="I452" s="557"/>
      <c r="M452" s="557"/>
    </row>
    <row r="453" spans="2:13" ht="14.5">
      <c r="B453" s="20"/>
      <c r="G453" s="556"/>
      <c r="H453" s="556"/>
      <c r="I453" s="557"/>
      <c r="M453" s="557"/>
    </row>
    <row r="454" spans="2:13" ht="14.5">
      <c r="B454" s="20"/>
      <c r="G454" s="556"/>
      <c r="H454" s="556"/>
      <c r="I454" s="557"/>
      <c r="M454" s="557"/>
    </row>
    <row r="455" spans="2:13" ht="14.5">
      <c r="B455" s="20"/>
      <c r="G455" s="556"/>
      <c r="H455" s="556"/>
      <c r="I455" s="557"/>
      <c r="M455" s="557"/>
    </row>
    <row r="456" spans="2:13" ht="14.5">
      <c r="B456" s="20"/>
      <c r="G456" s="556"/>
      <c r="H456" s="556"/>
      <c r="I456" s="557"/>
      <c r="M456" s="557"/>
    </row>
    <row r="457" spans="2:13" ht="14.5">
      <c r="B457" s="20"/>
      <c r="G457" s="556"/>
      <c r="H457" s="556"/>
      <c r="I457" s="557"/>
      <c r="M457" s="557"/>
    </row>
    <row r="458" spans="2:13" ht="14.5">
      <c r="B458" s="20"/>
      <c r="G458" s="556"/>
      <c r="H458" s="556"/>
      <c r="I458" s="557"/>
      <c r="M458" s="557"/>
    </row>
    <row r="459" spans="2:13" ht="14.5">
      <c r="B459" s="20"/>
      <c r="G459" s="556"/>
      <c r="H459" s="556"/>
      <c r="I459" s="557"/>
      <c r="M459" s="557"/>
    </row>
    <row r="460" spans="2:13" ht="14.5">
      <c r="B460" s="20"/>
      <c r="G460" s="556"/>
      <c r="H460" s="556"/>
      <c r="I460" s="557"/>
      <c r="M460" s="557"/>
    </row>
    <row r="461" spans="2:13" ht="14.5">
      <c r="B461" s="20"/>
      <c r="G461" s="556"/>
      <c r="H461" s="556"/>
      <c r="I461" s="557"/>
      <c r="M461" s="557"/>
    </row>
    <row r="462" spans="2:13" ht="14.5">
      <c r="B462" s="20"/>
      <c r="G462" s="556"/>
      <c r="H462" s="556"/>
      <c r="I462" s="557"/>
      <c r="M462" s="557"/>
    </row>
    <row r="463" spans="2:13" ht="14.5">
      <c r="B463" s="20"/>
      <c r="G463" s="556"/>
      <c r="H463" s="556"/>
      <c r="I463" s="557"/>
      <c r="M463" s="557"/>
    </row>
    <row r="464" spans="2:13" ht="14.5">
      <c r="B464" s="20"/>
      <c r="G464" s="556"/>
      <c r="H464" s="556"/>
      <c r="I464" s="557"/>
      <c r="M464" s="557"/>
    </row>
    <row r="465" spans="2:13" ht="14.5">
      <c r="B465" s="20"/>
      <c r="G465" s="556"/>
      <c r="H465" s="556"/>
      <c r="I465" s="557"/>
      <c r="M465" s="557"/>
    </row>
    <row r="466" spans="2:13" ht="14.5">
      <c r="B466" s="20"/>
      <c r="G466" s="556"/>
      <c r="H466" s="556"/>
      <c r="I466" s="557"/>
      <c r="M466" s="557"/>
    </row>
    <row r="467" spans="2:13" ht="14.5">
      <c r="B467" s="20"/>
      <c r="G467" s="556"/>
      <c r="H467" s="556"/>
      <c r="I467" s="557"/>
      <c r="M467" s="557"/>
    </row>
    <row r="468" spans="2:13" ht="14.5">
      <c r="B468" s="20"/>
      <c r="G468" s="556"/>
      <c r="H468" s="556"/>
      <c r="I468" s="557"/>
      <c r="M468" s="557"/>
    </row>
    <row r="469" spans="2:13" ht="14.5">
      <c r="B469" s="20"/>
      <c r="G469" s="556"/>
      <c r="H469" s="556"/>
      <c r="I469" s="557"/>
      <c r="M469" s="557"/>
    </row>
    <row r="470" spans="2:13" ht="14.5">
      <c r="B470" s="20"/>
      <c r="G470" s="556"/>
      <c r="H470" s="556"/>
      <c r="I470" s="557"/>
      <c r="M470" s="557"/>
    </row>
    <row r="471" spans="2:13" ht="14.5">
      <c r="B471" s="20"/>
      <c r="G471" s="556"/>
      <c r="H471" s="556"/>
      <c r="I471" s="557"/>
      <c r="M471" s="557"/>
    </row>
    <row r="472" spans="2:13" ht="14.5">
      <c r="B472" s="20"/>
      <c r="G472" s="556"/>
      <c r="H472" s="556"/>
      <c r="I472" s="557"/>
      <c r="M472" s="557"/>
    </row>
    <row r="473" spans="2:13" ht="14.5">
      <c r="B473" s="20"/>
      <c r="G473" s="556"/>
      <c r="H473" s="556"/>
      <c r="I473" s="557"/>
      <c r="M473" s="557"/>
    </row>
    <row r="474" spans="2:13" ht="14.5">
      <c r="B474" s="20"/>
      <c r="G474" s="556"/>
      <c r="H474" s="556"/>
      <c r="I474" s="557"/>
      <c r="M474" s="557"/>
    </row>
    <row r="475" spans="2:13" ht="14.5">
      <c r="B475" s="20"/>
      <c r="G475" s="556"/>
      <c r="H475" s="556"/>
      <c r="I475" s="557"/>
      <c r="M475" s="557"/>
    </row>
    <row r="476" spans="2:13" ht="14.5">
      <c r="B476" s="20"/>
      <c r="G476" s="556"/>
      <c r="H476" s="556"/>
      <c r="I476" s="557"/>
      <c r="M476" s="557"/>
    </row>
    <row r="477" spans="2:13" ht="14.5">
      <c r="B477" s="20"/>
      <c r="G477" s="556"/>
      <c r="H477" s="556"/>
      <c r="I477" s="557"/>
      <c r="M477" s="557"/>
    </row>
    <row r="478" spans="2:13" ht="14.5">
      <c r="B478" s="20"/>
      <c r="G478" s="556"/>
      <c r="H478" s="556"/>
      <c r="I478" s="557"/>
      <c r="M478" s="557"/>
    </row>
    <row r="479" spans="2:13" ht="14.5">
      <c r="B479" s="20"/>
      <c r="G479" s="556"/>
      <c r="H479" s="556"/>
      <c r="I479" s="557"/>
      <c r="M479" s="557"/>
    </row>
    <row r="480" spans="2:13" ht="14.5">
      <c r="B480" s="20"/>
      <c r="G480" s="556"/>
      <c r="H480" s="556"/>
      <c r="I480" s="557"/>
      <c r="M480" s="557"/>
    </row>
    <row r="481" spans="2:13" ht="14.5">
      <c r="B481" s="20"/>
      <c r="G481" s="556"/>
      <c r="H481" s="556"/>
      <c r="I481" s="557"/>
      <c r="M481" s="557"/>
    </row>
    <row r="482" spans="2:13" ht="14.5">
      <c r="B482" s="20"/>
      <c r="G482" s="556"/>
      <c r="H482" s="556"/>
      <c r="I482" s="557"/>
      <c r="M482" s="557"/>
    </row>
    <row r="483" spans="2:13" ht="14.5">
      <c r="B483" s="20"/>
      <c r="G483" s="556"/>
      <c r="H483" s="556"/>
      <c r="I483" s="557"/>
      <c r="M483" s="557"/>
    </row>
    <row r="484" spans="2:13" ht="14.5">
      <c r="B484" s="20"/>
      <c r="G484" s="556"/>
      <c r="H484" s="556"/>
      <c r="I484" s="557"/>
      <c r="M484" s="557"/>
    </row>
    <row r="485" spans="2:13" ht="14.5">
      <c r="B485" s="20"/>
      <c r="G485" s="556"/>
      <c r="H485" s="556"/>
      <c r="I485" s="557"/>
      <c r="M485" s="557"/>
    </row>
    <row r="486" spans="2:13" ht="14.5">
      <c r="B486" s="20"/>
      <c r="G486" s="556"/>
      <c r="H486" s="556"/>
      <c r="I486" s="557"/>
      <c r="M486" s="557"/>
    </row>
    <row r="487" spans="2:13" ht="14.5">
      <c r="B487" s="20"/>
      <c r="G487" s="556"/>
      <c r="H487" s="556"/>
      <c r="I487" s="557"/>
      <c r="M487" s="557"/>
    </row>
    <row r="488" spans="2:13" ht="14.5">
      <c r="B488" s="20"/>
      <c r="G488" s="556"/>
      <c r="H488" s="556"/>
      <c r="I488" s="557"/>
      <c r="M488" s="557"/>
    </row>
    <row r="489" spans="2:13" ht="14.5">
      <c r="B489" s="20"/>
      <c r="G489" s="556"/>
      <c r="H489" s="556"/>
      <c r="I489" s="557"/>
      <c r="M489" s="557"/>
    </row>
    <row r="490" spans="2:13" ht="14.5">
      <c r="B490" s="20"/>
      <c r="G490" s="556"/>
      <c r="H490" s="556"/>
      <c r="I490" s="557"/>
      <c r="M490" s="557"/>
    </row>
    <row r="491" spans="2:13" ht="14.5">
      <c r="B491" s="20"/>
      <c r="G491" s="556"/>
      <c r="H491" s="556"/>
      <c r="I491" s="557"/>
      <c r="M491" s="557"/>
    </row>
    <row r="492" spans="2:13" ht="14.5">
      <c r="B492" s="20"/>
      <c r="G492" s="556"/>
      <c r="H492" s="556"/>
      <c r="I492" s="557"/>
      <c r="M492" s="557"/>
    </row>
    <row r="493" spans="2:13" ht="14.5">
      <c r="B493" s="20"/>
      <c r="G493" s="556"/>
      <c r="H493" s="556"/>
      <c r="I493" s="557"/>
      <c r="M493" s="557"/>
    </row>
    <row r="494" spans="2:13" ht="14.5">
      <c r="B494" s="20"/>
      <c r="G494" s="556"/>
      <c r="H494" s="556"/>
      <c r="I494" s="557"/>
      <c r="M494" s="557"/>
    </row>
    <row r="495" spans="2:13" ht="14.5">
      <c r="B495" s="20"/>
      <c r="G495" s="556"/>
      <c r="H495" s="556"/>
      <c r="I495" s="557"/>
      <c r="M495" s="557"/>
    </row>
    <row r="496" spans="2:13" ht="14.5">
      <c r="B496" s="20"/>
      <c r="G496" s="556"/>
      <c r="H496" s="556"/>
      <c r="I496" s="557"/>
      <c r="M496" s="557"/>
    </row>
    <row r="497" spans="2:13" ht="14.5">
      <c r="B497" s="20"/>
      <c r="G497" s="556"/>
      <c r="H497" s="556"/>
      <c r="I497" s="557"/>
      <c r="M497" s="557"/>
    </row>
    <row r="498" spans="2:13" ht="14.5">
      <c r="B498" s="20"/>
      <c r="G498" s="556"/>
      <c r="H498" s="556"/>
      <c r="I498" s="557"/>
      <c r="M498" s="557"/>
    </row>
    <row r="499" spans="2:13" ht="14.5">
      <c r="B499" s="20"/>
      <c r="G499" s="556"/>
      <c r="H499" s="556"/>
      <c r="I499" s="557"/>
      <c r="M499" s="557"/>
    </row>
    <row r="500" spans="2:13" ht="14.5">
      <c r="B500" s="20"/>
      <c r="G500" s="556"/>
      <c r="H500" s="556"/>
      <c r="I500" s="557"/>
      <c r="M500" s="557"/>
    </row>
    <row r="501" spans="2:13" ht="14.5">
      <c r="B501" s="20"/>
      <c r="G501" s="556"/>
      <c r="H501" s="556"/>
      <c r="I501" s="557"/>
      <c r="M501" s="557"/>
    </row>
    <row r="502" spans="2:13" ht="14.5">
      <c r="B502" s="20"/>
      <c r="G502" s="556"/>
      <c r="H502" s="556"/>
      <c r="I502" s="557"/>
      <c r="M502" s="557"/>
    </row>
    <row r="503" spans="2:13" ht="14.5">
      <c r="B503" s="20"/>
      <c r="G503" s="556"/>
      <c r="H503" s="556"/>
      <c r="I503" s="557"/>
      <c r="M503" s="557"/>
    </row>
    <row r="504" spans="2:13" ht="14.5">
      <c r="B504" s="20"/>
      <c r="G504" s="556"/>
      <c r="H504" s="556"/>
      <c r="I504" s="557"/>
      <c r="M504" s="557"/>
    </row>
    <row r="505" spans="2:13" ht="14.5">
      <c r="B505" s="20"/>
      <c r="G505" s="556"/>
      <c r="H505" s="556"/>
      <c r="I505" s="557"/>
      <c r="M505" s="557"/>
    </row>
    <row r="506" spans="2:13" ht="14.5">
      <c r="B506" s="20"/>
      <c r="G506" s="556"/>
      <c r="H506" s="556"/>
      <c r="I506" s="557"/>
      <c r="M506" s="557"/>
    </row>
    <row r="507" spans="2:13" ht="14.5">
      <c r="B507" s="20"/>
      <c r="G507" s="556"/>
      <c r="H507" s="556"/>
      <c r="I507" s="557"/>
      <c r="M507" s="557"/>
    </row>
    <row r="508" spans="2:13" ht="14.5">
      <c r="B508" s="20"/>
      <c r="G508" s="556"/>
      <c r="H508" s="556"/>
      <c r="I508" s="557"/>
      <c r="M508" s="557"/>
    </row>
    <row r="509" spans="2:13" ht="14.5">
      <c r="B509" s="20"/>
      <c r="G509" s="556"/>
      <c r="H509" s="556"/>
      <c r="I509" s="557"/>
      <c r="M509" s="557"/>
    </row>
    <row r="510" spans="2:13" ht="14.5">
      <c r="B510" s="20"/>
      <c r="G510" s="556"/>
      <c r="H510" s="556"/>
      <c r="I510" s="557"/>
      <c r="M510" s="557"/>
    </row>
    <row r="511" spans="2:13" ht="14.5">
      <c r="B511" s="20"/>
      <c r="G511" s="556"/>
      <c r="H511" s="556"/>
      <c r="I511" s="557"/>
      <c r="M511" s="557"/>
    </row>
    <row r="512" spans="2:13" ht="14.5">
      <c r="B512" s="20"/>
      <c r="G512" s="556"/>
      <c r="H512" s="556"/>
      <c r="I512" s="557"/>
      <c r="M512" s="557"/>
    </row>
    <row r="513" spans="2:13" ht="14.5">
      <c r="B513" s="20"/>
      <c r="G513" s="556"/>
      <c r="H513" s="556"/>
      <c r="I513" s="557"/>
      <c r="M513" s="557"/>
    </row>
    <row r="514" spans="2:13" ht="14.5">
      <c r="B514" s="20"/>
      <c r="G514" s="556"/>
      <c r="H514" s="556"/>
      <c r="I514" s="557"/>
      <c r="M514" s="557"/>
    </row>
    <row r="515" spans="2:13" ht="14.5">
      <c r="B515" s="20"/>
      <c r="G515" s="556"/>
      <c r="H515" s="556"/>
      <c r="I515" s="557"/>
      <c r="M515" s="557"/>
    </row>
    <row r="516" spans="2:13" ht="14.5">
      <c r="B516" s="20"/>
      <c r="G516" s="556"/>
      <c r="H516" s="556"/>
      <c r="I516" s="557"/>
      <c r="M516" s="557"/>
    </row>
    <row r="517" spans="2:13" ht="14.5">
      <c r="B517" s="20"/>
      <c r="G517" s="556"/>
      <c r="H517" s="556"/>
      <c r="I517" s="557"/>
      <c r="M517" s="557"/>
    </row>
    <row r="518" spans="2:13" ht="14.5">
      <c r="B518" s="20"/>
      <c r="G518" s="556"/>
      <c r="H518" s="556"/>
      <c r="I518" s="557"/>
      <c r="M518" s="557"/>
    </row>
    <row r="519" spans="2:13" ht="14.5">
      <c r="B519" s="20"/>
      <c r="G519" s="556"/>
      <c r="H519" s="556"/>
      <c r="I519" s="557"/>
      <c r="M519" s="557"/>
    </row>
    <row r="520" spans="2:13" ht="14.5">
      <c r="B520" s="20"/>
      <c r="G520" s="556"/>
      <c r="H520" s="556"/>
      <c r="I520" s="557"/>
      <c r="M520" s="557"/>
    </row>
    <row r="521" spans="2:13" ht="14.5">
      <c r="B521" s="20"/>
      <c r="G521" s="556"/>
      <c r="H521" s="556"/>
      <c r="I521" s="557"/>
      <c r="M521" s="557"/>
    </row>
    <row r="522" spans="2:13" ht="14.5">
      <c r="B522" s="20"/>
      <c r="G522" s="556"/>
      <c r="H522" s="556"/>
      <c r="I522" s="557"/>
      <c r="M522" s="557"/>
    </row>
    <row r="523" spans="2:13" ht="14.5">
      <c r="B523" s="20"/>
      <c r="G523" s="556"/>
      <c r="H523" s="556"/>
      <c r="I523" s="557"/>
      <c r="M523" s="557"/>
    </row>
    <row r="524" spans="2:13" ht="14.5">
      <c r="B524" s="20"/>
      <c r="G524" s="556"/>
      <c r="H524" s="556"/>
      <c r="I524" s="557"/>
      <c r="M524" s="557"/>
    </row>
    <row r="525" spans="2:13" ht="14.5">
      <c r="B525" s="20"/>
      <c r="G525" s="556"/>
      <c r="H525" s="556"/>
      <c r="I525" s="557"/>
      <c r="M525" s="557"/>
    </row>
    <row r="526" spans="2:13" ht="14.5">
      <c r="B526" s="20"/>
      <c r="G526" s="556"/>
      <c r="H526" s="556"/>
      <c r="I526" s="557"/>
      <c r="M526" s="557"/>
    </row>
    <row r="527" spans="2:13" ht="14.5">
      <c r="B527" s="20"/>
      <c r="G527" s="556"/>
      <c r="H527" s="556"/>
      <c r="I527" s="557"/>
      <c r="M527" s="557"/>
    </row>
    <row r="528" spans="2:13" ht="14.5">
      <c r="B528" s="20"/>
      <c r="G528" s="556"/>
      <c r="H528" s="556"/>
      <c r="I528" s="557"/>
      <c r="M528" s="557"/>
    </row>
    <row r="529" spans="2:13" ht="14.5">
      <c r="B529" s="20"/>
      <c r="G529" s="556"/>
      <c r="H529" s="556"/>
      <c r="I529" s="557"/>
      <c r="M529" s="557"/>
    </row>
    <row r="530" spans="2:13" ht="14.5">
      <c r="B530" s="20"/>
      <c r="G530" s="556"/>
      <c r="H530" s="556"/>
      <c r="I530" s="557"/>
      <c r="M530" s="557"/>
    </row>
    <row r="531" spans="2:13" ht="14.5">
      <c r="B531" s="20"/>
      <c r="G531" s="556"/>
      <c r="H531" s="556"/>
      <c r="I531" s="557"/>
      <c r="M531" s="557"/>
    </row>
    <row r="532" spans="2:13" ht="14.5">
      <c r="B532" s="20"/>
      <c r="G532" s="556"/>
      <c r="H532" s="556"/>
      <c r="I532" s="557"/>
      <c r="M532" s="557"/>
    </row>
    <row r="533" spans="2:13" ht="14.5">
      <c r="B533" s="20"/>
      <c r="G533" s="556"/>
      <c r="H533" s="556"/>
      <c r="I533" s="557"/>
      <c r="M533" s="557"/>
    </row>
    <row r="534" spans="2:13" ht="14.5">
      <c r="B534" s="20"/>
      <c r="G534" s="556"/>
      <c r="H534" s="556"/>
      <c r="I534" s="557"/>
      <c r="M534" s="557"/>
    </row>
    <row r="535" spans="2:13" ht="14.5">
      <c r="B535" s="20"/>
      <c r="G535" s="556"/>
      <c r="H535" s="556"/>
      <c r="I535" s="557"/>
      <c r="M535" s="557"/>
    </row>
    <row r="536" spans="2:13" ht="14.5">
      <c r="B536" s="20"/>
      <c r="G536" s="556"/>
      <c r="H536" s="556"/>
      <c r="I536" s="557"/>
      <c r="M536" s="557"/>
    </row>
    <row r="537" spans="2:13" ht="14.5">
      <c r="B537" s="20"/>
      <c r="G537" s="556"/>
      <c r="H537" s="556"/>
      <c r="I537" s="557"/>
      <c r="M537" s="557"/>
    </row>
    <row r="538" spans="2:13" ht="14.5">
      <c r="B538" s="20"/>
      <c r="G538" s="556"/>
      <c r="H538" s="556"/>
      <c r="I538" s="557"/>
      <c r="M538" s="557"/>
    </row>
    <row r="539" spans="2:13" ht="14.5">
      <c r="B539" s="20"/>
      <c r="G539" s="556"/>
      <c r="H539" s="556"/>
      <c r="I539" s="557"/>
      <c r="M539" s="557"/>
    </row>
    <row r="540" spans="2:13" ht="14.5">
      <c r="B540" s="20"/>
      <c r="G540" s="556"/>
      <c r="H540" s="556"/>
      <c r="I540" s="557"/>
      <c r="M540" s="557"/>
    </row>
    <row r="541" spans="2:13" ht="14.5">
      <c r="B541" s="20"/>
      <c r="G541" s="556"/>
      <c r="H541" s="556"/>
      <c r="I541" s="557"/>
      <c r="M541" s="557"/>
    </row>
    <row r="542" spans="2:13" ht="14.5">
      <c r="B542" s="20"/>
      <c r="G542" s="556"/>
      <c r="H542" s="556"/>
      <c r="I542" s="557"/>
      <c r="M542" s="557"/>
    </row>
    <row r="543" spans="2:13" ht="14.5">
      <c r="B543" s="20"/>
      <c r="G543" s="556"/>
      <c r="H543" s="556"/>
      <c r="I543" s="557"/>
      <c r="M543" s="557"/>
    </row>
    <row r="544" spans="2:13" ht="14.5">
      <c r="B544" s="20"/>
      <c r="G544" s="556"/>
      <c r="H544" s="556"/>
      <c r="I544" s="557"/>
      <c r="M544" s="557"/>
    </row>
    <row r="545" spans="2:13" ht="14.5">
      <c r="B545" s="20"/>
      <c r="G545" s="556"/>
      <c r="H545" s="556"/>
      <c r="I545" s="557"/>
      <c r="M545" s="557"/>
    </row>
    <row r="546" spans="2:13" ht="14.5">
      <c r="B546" s="20"/>
      <c r="G546" s="556"/>
      <c r="H546" s="556"/>
      <c r="I546" s="557"/>
      <c r="M546" s="557"/>
    </row>
    <row r="547" spans="2:13" ht="14.5">
      <c r="B547" s="20"/>
      <c r="G547" s="556"/>
      <c r="H547" s="556"/>
      <c r="I547" s="557"/>
      <c r="M547" s="557"/>
    </row>
    <row r="548" spans="2:13" ht="14.5">
      <c r="B548" s="20"/>
      <c r="G548" s="556"/>
      <c r="H548" s="556"/>
      <c r="I548" s="557"/>
      <c r="M548" s="557"/>
    </row>
    <row r="549" spans="2:13" ht="14.5">
      <c r="B549" s="20"/>
      <c r="G549" s="556"/>
      <c r="H549" s="556"/>
      <c r="I549" s="557"/>
      <c r="M549" s="557"/>
    </row>
    <row r="550" spans="2:13" ht="14.5">
      <c r="B550" s="20"/>
      <c r="G550" s="556"/>
      <c r="H550" s="556"/>
      <c r="I550" s="557"/>
      <c r="M550" s="557"/>
    </row>
    <row r="551" spans="2:13" ht="14.5">
      <c r="B551" s="20"/>
      <c r="G551" s="556"/>
      <c r="H551" s="556"/>
      <c r="I551" s="557"/>
      <c r="M551" s="557"/>
    </row>
    <row r="552" spans="2:13" ht="14.5">
      <c r="B552" s="20"/>
      <c r="G552" s="556"/>
      <c r="H552" s="556"/>
      <c r="I552" s="557"/>
      <c r="M552" s="557"/>
    </row>
    <row r="553" spans="2:13" ht="14.5">
      <c r="B553" s="20"/>
      <c r="G553" s="556"/>
      <c r="H553" s="556"/>
      <c r="I553" s="557"/>
      <c r="M553" s="557"/>
    </row>
    <row r="554" spans="2:13" ht="14.5">
      <c r="B554" s="20"/>
      <c r="G554" s="556"/>
      <c r="H554" s="556"/>
      <c r="I554" s="557"/>
      <c r="M554" s="557"/>
    </row>
    <row r="555" spans="2:13" ht="14.5">
      <c r="B555" s="20"/>
      <c r="G555" s="556"/>
      <c r="H555" s="556"/>
      <c r="I555" s="557"/>
      <c r="M555" s="557"/>
    </row>
    <row r="556" spans="2:13" ht="14.5">
      <c r="B556" s="20"/>
      <c r="G556" s="556"/>
      <c r="H556" s="556"/>
      <c r="I556" s="557"/>
      <c r="M556" s="557"/>
    </row>
    <row r="557" spans="2:13" ht="14.5">
      <c r="B557" s="20"/>
      <c r="G557" s="556"/>
      <c r="H557" s="556"/>
      <c r="I557" s="557"/>
      <c r="M557" s="557"/>
    </row>
    <row r="558" spans="2:13" ht="14.5">
      <c r="B558" s="20"/>
      <c r="G558" s="556"/>
      <c r="H558" s="556"/>
      <c r="I558" s="557"/>
      <c r="M558" s="557"/>
    </row>
    <row r="559" spans="2:13" ht="14.5">
      <c r="B559" s="20"/>
      <c r="G559" s="556"/>
      <c r="H559" s="556"/>
      <c r="I559" s="557"/>
      <c r="M559" s="557"/>
    </row>
    <row r="560" spans="2:13" ht="14.5">
      <c r="B560" s="20"/>
      <c r="G560" s="556"/>
      <c r="H560" s="556"/>
      <c r="I560" s="557"/>
      <c r="M560" s="557"/>
    </row>
    <row r="561" spans="2:13" ht="14.5">
      <c r="B561" s="20"/>
      <c r="G561" s="556"/>
      <c r="H561" s="556"/>
      <c r="I561" s="557"/>
      <c r="M561" s="557"/>
    </row>
    <row r="562" spans="2:13" ht="14.5">
      <c r="B562" s="20"/>
      <c r="G562" s="556"/>
      <c r="H562" s="556"/>
      <c r="I562" s="557"/>
      <c r="M562" s="557"/>
    </row>
    <row r="563" spans="2:13" ht="14.5">
      <c r="B563" s="20"/>
      <c r="G563" s="556"/>
      <c r="H563" s="556"/>
      <c r="I563" s="557"/>
      <c r="M563" s="557"/>
    </row>
    <row r="564" spans="2:13" ht="14.5">
      <c r="B564" s="20"/>
      <c r="G564" s="556"/>
      <c r="H564" s="556"/>
      <c r="I564" s="557"/>
      <c r="M564" s="557"/>
    </row>
    <row r="565" spans="2:13" ht="14.5">
      <c r="B565" s="20"/>
      <c r="G565" s="556"/>
      <c r="H565" s="556"/>
      <c r="I565" s="557"/>
      <c r="M565" s="557"/>
    </row>
    <row r="566" spans="2:13" ht="14.5">
      <c r="B566" s="20"/>
      <c r="G566" s="556"/>
      <c r="H566" s="556"/>
      <c r="I566" s="557"/>
      <c r="M566" s="557"/>
    </row>
    <row r="567" spans="2:13" ht="14.5">
      <c r="B567" s="20"/>
      <c r="G567" s="556"/>
      <c r="H567" s="556"/>
      <c r="I567" s="557"/>
      <c r="M567" s="557"/>
    </row>
    <row r="568" spans="2:13" ht="14.5">
      <c r="B568" s="20"/>
      <c r="G568" s="556"/>
      <c r="H568" s="556"/>
      <c r="I568" s="557"/>
      <c r="M568" s="557"/>
    </row>
    <row r="569" spans="2:13" ht="14.5">
      <c r="B569" s="20"/>
      <c r="G569" s="556"/>
      <c r="H569" s="556"/>
      <c r="I569" s="557"/>
      <c r="M569" s="557"/>
    </row>
    <row r="570" spans="2:13" ht="14.5">
      <c r="B570" s="20"/>
      <c r="G570" s="556"/>
      <c r="H570" s="556"/>
      <c r="I570" s="557"/>
      <c r="M570" s="557"/>
    </row>
    <row r="571" spans="2:13" ht="14.5">
      <c r="B571" s="20"/>
      <c r="G571" s="556"/>
      <c r="H571" s="556"/>
      <c r="I571" s="557"/>
      <c r="M571" s="557"/>
    </row>
    <row r="572" spans="2:13" ht="14.5">
      <c r="B572" s="20"/>
      <c r="G572" s="556"/>
      <c r="H572" s="556"/>
      <c r="I572" s="557"/>
      <c r="M572" s="557"/>
    </row>
    <row r="573" spans="2:13" ht="14.5">
      <c r="B573" s="20"/>
      <c r="G573" s="556"/>
      <c r="H573" s="556"/>
      <c r="I573" s="557"/>
      <c r="M573" s="557"/>
    </row>
    <row r="574" spans="2:13" ht="14.5">
      <c r="B574" s="20"/>
      <c r="G574" s="556"/>
      <c r="H574" s="556"/>
      <c r="I574" s="557"/>
      <c r="M574" s="557"/>
    </row>
    <row r="575" spans="2:13" ht="14.5">
      <c r="B575" s="20"/>
      <c r="G575" s="556"/>
      <c r="H575" s="556"/>
      <c r="I575" s="557"/>
      <c r="M575" s="557"/>
    </row>
    <row r="576" spans="2:13" ht="14.5">
      <c r="B576" s="20"/>
      <c r="G576" s="556"/>
      <c r="H576" s="556"/>
      <c r="I576" s="557"/>
      <c r="M576" s="557"/>
    </row>
    <row r="577" spans="2:13" ht="14.5">
      <c r="B577" s="20"/>
      <c r="G577" s="556"/>
      <c r="H577" s="556"/>
      <c r="I577" s="557"/>
      <c r="M577" s="557"/>
    </row>
    <row r="578" spans="2:13" ht="14.5">
      <c r="B578" s="20"/>
      <c r="G578" s="556"/>
      <c r="H578" s="556"/>
      <c r="I578" s="557"/>
      <c r="M578" s="557"/>
    </row>
    <row r="579" spans="2:13" ht="14.5">
      <c r="B579" s="20"/>
      <c r="G579" s="556"/>
      <c r="H579" s="556"/>
      <c r="I579" s="557"/>
      <c r="M579" s="557"/>
    </row>
    <row r="580" spans="2:13" ht="14.5">
      <c r="B580" s="20"/>
      <c r="G580" s="556"/>
      <c r="H580" s="556"/>
      <c r="I580" s="557"/>
      <c r="M580" s="557"/>
    </row>
    <row r="581" spans="2:13" ht="14.5">
      <c r="B581" s="20"/>
      <c r="G581" s="556"/>
      <c r="H581" s="556"/>
      <c r="I581" s="557"/>
      <c r="M581" s="557"/>
    </row>
    <row r="582" spans="2:13" ht="14.5">
      <c r="B582" s="20"/>
      <c r="G582" s="556"/>
      <c r="H582" s="556"/>
      <c r="I582" s="557"/>
      <c r="M582" s="557"/>
    </row>
    <row r="583" spans="2:13" ht="14.5">
      <c r="B583" s="20"/>
      <c r="G583" s="556"/>
      <c r="H583" s="556"/>
      <c r="I583" s="557"/>
      <c r="M583" s="557"/>
    </row>
    <row r="584" spans="2:13" ht="14.5">
      <c r="B584" s="20"/>
      <c r="G584" s="556"/>
      <c r="H584" s="556"/>
      <c r="I584" s="557"/>
      <c r="M584" s="557"/>
    </row>
    <row r="585" spans="2:13" ht="14.5">
      <c r="B585" s="20"/>
      <c r="G585" s="556"/>
      <c r="H585" s="556"/>
      <c r="I585" s="557"/>
      <c r="M585" s="557"/>
    </row>
    <row r="586" spans="2:13" ht="14.5">
      <c r="B586" s="20"/>
      <c r="G586" s="556"/>
      <c r="H586" s="556"/>
      <c r="I586" s="557"/>
      <c r="M586" s="557"/>
    </row>
    <row r="587" spans="2:13" ht="14.5">
      <c r="B587" s="20"/>
      <c r="G587" s="556"/>
      <c r="H587" s="556"/>
      <c r="I587" s="557"/>
      <c r="M587" s="557"/>
    </row>
    <row r="588" spans="2:13" ht="14.5">
      <c r="B588" s="20"/>
      <c r="G588" s="556"/>
      <c r="H588" s="556"/>
      <c r="I588" s="557"/>
      <c r="M588" s="557"/>
    </row>
    <row r="589" spans="2:13" ht="14.5">
      <c r="B589" s="20"/>
      <c r="G589" s="556"/>
      <c r="H589" s="556"/>
      <c r="I589" s="557"/>
      <c r="M589" s="557"/>
    </row>
    <row r="590" spans="2:13" ht="14.5">
      <c r="B590" s="20"/>
      <c r="G590" s="556"/>
      <c r="H590" s="556"/>
      <c r="I590" s="557"/>
      <c r="M590" s="557"/>
    </row>
    <row r="591" spans="2:13" ht="14.5">
      <c r="B591" s="20"/>
      <c r="G591" s="556"/>
      <c r="H591" s="556"/>
      <c r="I591" s="557"/>
      <c r="M591" s="557"/>
    </row>
    <row r="592" spans="2:13" ht="14.5">
      <c r="B592" s="20"/>
      <c r="G592" s="556"/>
      <c r="H592" s="556"/>
      <c r="I592" s="557"/>
      <c r="M592" s="557"/>
    </row>
    <row r="593" spans="2:13" ht="14.5">
      <c r="B593" s="20"/>
      <c r="G593" s="556"/>
      <c r="H593" s="556"/>
      <c r="I593" s="557"/>
      <c r="M593" s="557"/>
    </row>
    <row r="594" spans="2:13" ht="14.5">
      <c r="B594" s="20"/>
      <c r="G594" s="556"/>
      <c r="H594" s="556"/>
      <c r="I594" s="557"/>
      <c r="M594" s="557"/>
    </row>
    <row r="595" spans="2:13" ht="14.5">
      <c r="B595" s="20"/>
      <c r="G595" s="556"/>
      <c r="H595" s="556"/>
      <c r="I595" s="557"/>
      <c r="M595" s="557"/>
    </row>
    <row r="596" spans="2:13" ht="14.5">
      <c r="B596" s="20"/>
      <c r="G596" s="556"/>
      <c r="H596" s="556"/>
      <c r="I596" s="557"/>
      <c r="M596" s="557"/>
    </row>
    <row r="597" spans="2:13" ht="14.5">
      <c r="B597" s="20"/>
      <c r="G597" s="556"/>
      <c r="H597" s="556"/>
      <c r="I597" s="557"/>
      <c r="M597" s="557"/>
    </row>
    <row r="598" spans="2:13" ht="14.5">
      <c r="B598" s="20"/>
      <c r="G598" s="556"/>
      <c r="H598" s="556"/>
      <c r="I598" s="557"/>
      <c r="M598" s="557"/>
    </row>
    <row r="599" spans="2:13" ht="14.5">
      <c r="B599" s="20"/>
      <c r="G599" s="556"/>
      <c r="H599" s="556"/>
      <c r="I599" s="557"/>
      <c r="M599" s="557"/>
    </row>
    <row r="600" spans="2:13" ht="14.5">
      <c r="B600" s="20"/>
      <c r="G600" s="556"/>
      <c r="H600" s="556"/>
      <c r="I600" s="557"/>
      <c r="M600" s="557"/>
    </row>
    <row r="601" spans="2:13" ht="14.5">
      <c r="B601" s="20"/>
      <c r="G601" s="556"/>
      <c r="H601" s="556"/>
      <c r="I601" s="557"/>
      <c r="M601" s="557"/>
    </row>
    <row r="602" spans="2:13" ht="14.5">
      <c r="B602" s="20"/>
      <c r="G602" s="556"/>
      <c r="H602" s="556"/>
      <c r="I602" s="557"/>
      <c r="M602" s="557"/>
    </row>
    <row r="603" spans="2:13" ht="14.5">
      <c r="B603" s="20"/>
      <c r="G603" s="556"/>
      <c r="H603" s="556"/>
      <c r="I603" s="557"/>
      <c r="M603" s="557"/>
    </row>
    <row r="604" spans="2:13" ht="14.5">
      <c r="B604" s="20"/>
      <c r="G604" s="556"/>
      <c r="H604" s="556"/>
      <c r="I604" s="557"/>
      <c r="M604" s="557"/>
    </row>
    <row r="605" spans="2:13" ht="14.5">
      <c r="B605" s="20"/>
      <c r="G605" s="556"/>
      <c r="H605" s="556"/>
      <c r="I605" s="557"/>
      <c r="M605" s="557"/>
    </row>
    <row r="606" spans="2:13" ht="14.5">
      <c r="B606" s="20"/>
      <c r="G606" s="556"/>
      <c r="H606" s="556"/>
      <c r="I606" s="557"/>
      <c r="M606" s="557"/>
    </row>
    <row r="607" spans="2:13" ht="14.5">
      <c r="B607" s="20"/>
      <c r="G607" s="556"/>
      <c r="H607" s="556"/>
      <c r="I607" s="557"/>
      <c r="M607" s="557"/>
    </row>
    <row r="608" spans="2:13" ht="14.5">
      <c r="B608" s="20"/>
      <c r="G608" s="556"/>
      <c r="H608" s="556"/>
      <c r="I608" s="557"/>
      <c r="M608" s="557"/>
    </row>
    <row r="609" spans="2:13" ht="14.5">
      <c r="B609" s="20"/>
      <c r="G609" s="556"/>
      <c r="H609" s="556"/>
      <c r="I609" s="557"/>
      <c r="M609" s="557"/>
    </row>
    <row r="610" spans="2:13" ht="14.5">
      <c r="B610" s="20"/>
      <c r="G610" s="556"/>
      <c r="H610" s="556"/>
      <c r="I610" s="557"/>
      <c r="M610" s="557"/>
    </row>
    <row r="611" spans="2:13" ht="14.5">
      <c r="B611" s="20"/>
      <c r="G611" s="556"/>
      <c r="H611" s="556"/>
      <c r="I611" s="557"/>
      <c r="M611" s="557"/>
    </row>
    <row r="612" spans="2:13" ht="14.5">
      <c r="B612" s="20"/>
      <c r="G612" s="556"/>
      <c r="H612" s="556"/>
      <c r="I612" s="557"/>
      <c r="M612" s="557"/>
    </row>
    <row r="613" spans="2:13" ht="14.5">
      <c r="B613" s="20"/>
      <c r="G613" s="556"/>
      <c r="H613" s="556"/>
      <c r="I613" s="557"/>
      <c r="M613" s="557"/>
    </row>
    <row r="614" spans="2:13" ht="14.5">
      <c r="B614" s="20"/>
      <c r="G614" s="556"/>
      <c r="H614" s="556"/>
      <c r="I614" s="557"/>
      <c r="M614" s="557"/>
    </row>
    <row r="615" spans="2:13" ht="14.5">
      <c r="B615" s="20"/>
      <c r="G615" s="556"/>
      <c r="H615" s="556"/>
      <c r="I615" s="557"/>
      <c r="M615" s="557"/>
    </row>
    <row r="616" spans="2:13" ht="14.5">
      <c r="B616" s="20"/>
      <c r="G616" s="556"/>
      <c r="H616" s="556"/>
      <c r="I616" s="557"/>
      <c r="M616" s="557"/>
    </row>
    <row r="617" spans="2:13" ht="14.5">
      <c r="B617" s="20"/>
      <c r="G617" s="556"/>
      <c r="H617" s="556"/>
      <c r="I617" s="557"/>
      <c r="M617" s="557"/>
    </row>
    <row r="618" spans="2:13" ht="14.5">
      <c r="B618" s="20"/>
      <c r="G618" s="556"/>
      <c r="H618" s="556"/>
      <c r="I618" s="557"/>
      <c r="M618" s="557"/>
    </row>
    <row r="619" spans="2:13" ht="14.5">
      <c r="B619" s="20"/>
      <c r="G619" s="556"/>
      <c r="H619" s="556"/>
      <c r="I619" s="557"/>
      <c r="M619" s="557"/>
    </row>
    <row r="620" spans="2:13" ht="14.5">
      <c r="B620" s="20"/>
      <c r="G620" s="556"/>
      <c r="H620" s="556"/>
      <c r="I620" s="557"/>
      <c r="M620" s="557"/>
    </row>
    <row r="621" spans="2:13" ht="14.5">
      <c r="B621" s="20"/>
      <c r="G621" s="556"/>
      <c r="H621" s="556"/>
      <c r="I621" s="557"/>
      <c r="M621" s="557"/>
    </row>
    <row r="622" spans="2:13" ht="14.5">
      <c r="B622" s="20"/>
      <c r="G622" s="556"/>
      <c r="H622" s="556"/>
      <c r="I622" s="557"/>
      <c r="M622" s="557"/>
    </row>
    <row r="623" spans="2:13" ht="14.5">
      <c r="B623" s="20"/>
      <c r="G623" s="556"/>
      <c r="H623" s="556"/>
      <c r="I623" s="557"/>
      <c r="M623" s="557"/>
    </row>
    <row r="624" spans="2:13" ht="14.5">
      <c r="B624" s="20"/>
      <c r="G624" s="556"/>
      <c r="H624" s="556"/>
      <c r="I624" s="557"/>
      <c r="M624" s="557"/>
    </row>
    <row r="625" spans="2:13" ht="14.5">
      <c r="B625" s="20"/>
      <c r="G625" s="556"/>
      <c r="H625" s="556"/>
      <c r="I625" s="557"/>
      <c r="M625" s="557"/>
    </row>
    <row r="626" spans="2:13" ht="14.5">
      <c r="B626" s="20"/>
      <c r="G626" s="556"/>
      <c r="H626" s="556"/>
      <c r="I626" s="557"/>
      <c r="M626" s="557"/>
    </row>
    <row r="627" spans="2:13" ht="14.5">
      <c r="B627" s="20"/>
      <c r="G627" s="556"/>
      <c r="H627" s="556"/>
      <c r="I627" s="557"/>
      <c r="M627" s="557"/>
    </row>
    <row r="628" spans="2:13" ht="14.5">
      <c r="B628" s="20"/>
      <c r="G628" s="556"/>
      <c r="H628" s="556"/>
      <c r="I628" s="557"/>
      <c r="M628" s="557"/>
    </row>
    <row r="629" spans="2:13" ht="14.5">
      <c r="B629" s="20"/>
      <c r="G629" s="556"/>
      <c r="H629" s="556"/>
      <c r="I629" s="557"/>
      <c r="M629" s="557"/>
    </row>
    <row r="630" spans="2:13" ht="14.5">
      <c r="B630" s="20"/>
      <c r="G630" s="556"/>
      <c r="H630" s="556"/>
      <c r="I630" s="557"/>
      <c r="M630" s="557"/>
    </row>
    <row r="631" spans="2:13" ht="14.5">
      <c r="B631" s="20"/>
      <c r="G631" s="556"/>
      <c r="H631" s="556"/>
      <c r="I631" s="557"/>
      <c r="M631" s="557"/>
    </row>
    <row r="632" spans="2:13" ht="14.5">
      <c r="B632" s="20"/>
      <c r="G632" s="556"/>
      <c r="H632" s="556"/>
      <c r="I632" s="557"/>
      <c r="M632" s="557"/>
    </row>
    <row r="633" spans="2:13" ht="14.5">
      <c r="B633" s="20"/>
      <c r="G633" s="556"/>
      <c r="H633" s="556"/>
      <c r="I633" s="557"/>
      <c r="M633" s="557"/>
    </row>
    <row r="634" spans="2:13" ht="14.5">
      <c r="B634" s="20"/>
      <c r="G634" s="556"/>
      <c r="H634" s="556"/>
      <c r="I634" s="557"/>
      <c r="M634" s="557"/>
    </row>
    <row r="635" spans="2:13" ht="14.5">
      <c r="B635" s="20"/>
      <c r="G635" s="556"/>
      <c r="H635" s="556"/>
      <c r="I635" s="557"/>
      <c r="M635" s="557"/>
    </row>
    <row r="636" spans="2:13" ht="14.5">
      <c r="B636" s="20"/>
      <c r="G636" s="556"/>
      <c r="H636" s="556"/>
      <c r="I636" s="557"/>
      <c r="M636" s="557"/>
    </row>
    <row r="637" spans="2:13" ht="14.5">
      <c r="B637" s="20"/>
      <c r="G637" s="556"/>
      <c r="H637" s="556"/>
      <c r="I637" s="557"/>
      <c r="M637" s="557"/>
    </row>
    <row r="638" spans="2:13" ht="14.5">
      <c r="B638" s="20"/>
      <c r="G638" s="556"/>
      <c r="H638" s="556"/>
      <c r="I638" s="557"/>
      <c r="M638" s="557"/>
    </row>
    <row r="639" spans="2:13" ht="14.5">
      <c r="B639" s="20"/>
      <c r="G639" s="556"/>
      <c r="H639" s="556"/>
      <c r="I639" s="557"/>
      <c r="M639" s="557"/>
    </row>
    <row r="640" spans="2:13" ht="14.5">
      <c r="B640" s="20"/>
      <c r="G640" s="556"/>
      <c r="H640" s="556"/>
      <c r="I640" s="557"/>
      <c r="M640" s="557"/>
    </row>
    <row r="641" spans="2:13" ht="14.5">
      <c r="B641" s="20"/>
      <c r="G641" s="556"/>
      <c r="H641" s="556"/>
      <c r="I641" s="557"/>
      <c r="M641" s="557"/>
    </row>
    <row r="642" spans="2:13" ht="14.5">
      <c r="B642" s="20"/>
      <c r="G642" s="556"/>
      <c r="H642" s="556"/>
      <c r="I642" s="557"/>
      <c r="M642" s="557"/>
    </row>
    <row r="643" spans="2:13" ht="14.5">
      <c r="B643" s="20"/>
      <c r="G643" s="556"/>
      <c r="H643" s="556"/>
      <c r="I643" s="557"/>
      <c r="M643" s="557"/>
    </row>
    <row r="644" spans="2:13" ht="14.5">
      <c r="B644" s="20"/>
      <c r="G644" s="556"/>
      <c r="H644" s="556"/>
      <c r="I644" s="557"/>
      <c r="M644" s="557"/>
    </row>
    <row r="645" spans="2:13" ht="14.5">
      <c r="B645" s="20"/>
      <c r="G645" s="556"/>
      <c r="H645" s="556"/>
      <c r="I645" s="557"/>
      <c r="M645" s="557"/>
    </row>
    <row r="646" spans="2:13" ht="14.5">
      <c r="B646" s="20"/>
      <c r="G646" s="556"/>
      <c r="H646" s="556"/>
      <c r="I646" s="557"/>
      <c r="M646" s="557"/>
    </row>
    <row r="647" spans="2:13" ht="14.5">
      <c r="B647" s="20"/>
      <c r="G647" s="556"/>
      <c r="H647" s="556"/>
      <c r="I647" s="557"/>
      <c r="M647" s="557"/>
    </row>
    <row r="648" spans="2:13" ht="14.5">
      <c r="B648" s="20"/>
      <c r="G648" s="556"/>
      <c r="H648" s="556"/>
      <c r="I648" s="557"/>
      <c r="M648" s="557"/>
    </row>
    <row r="649" spans="2:13" ht="14.5">
      <c r="B649" s="20"/>
      <c r="G649" s="556"/>
      <c r="H649" s="556"/>
      <c r="I649" s="557"/>
      <c r="M649" s="557"/>
    </row>
    <row r="650" spans="2:13" ht="14.5">
      <c r="B650" s="20"/>
      <c r="G650" s="556"/>
      <c r="H650" s="556"/>
      <c r="I650" s="557"/>
      <c r="M650" s="557"/>
    </row>
    <row r="651" spans="2:13" ht="14.5">
      <c r="B651" s="20"/>
      <c r="G651" s="556"/>
      <c r="H651" s="556"/>
      <c r="I651" s="557"/>
      <c r="M651" s="557"/>
    </row>
    <row r="652" spans="2:13" ht="14.5">
      <c r="B652" s="20"/>
      <c r="G652" s="556"/>
      <c r="H652" s="556"/>
      <c r="I652" s="557"/>
      <c r="M652" s="557"/>
    </row>
    <row r="653" spans="2:13" ht="14.5">
      <c r="B653" s="20"/>
      <c r="G653" s="556"/>
      <c r="H653" s="556"/>
      <c r="I653" s="557"/>
      <c r="M653" s="557"/>
    </row>
    <row r="654" spans="2:13" ht="14.5">
      <c r="B654" s="20"/>
      <c r="G654" s="556"/>
      <c r="H654" s="556"/>
      <c r="I654" s="557"/>
      <c r="M654" s="557"/>
    </row>
    <row r="655" spans="2:13" ht="14.5">
      <c r="B655" s="20"/>
      <c r="G655" s="556"/>
      <c r="H655" s="556"/>
      <c r="I655" s="557"/>
      <c r="M655" s="557"/>
    </row>
    <row r="656" spans="2:13" ht="14.5">
      <c r="B656" s="20"/>
      <c r="G656" s="556"/>
      <c r="H656" s="556"/>
      <c r="I656" s="557"/>
      <c r="M656" s="557"/>
    </row>
    <row r="657" spans="2:13" ht="14.5">
      <c r="B657" s="20"/>
      <c r="G657" s="556"/>
      <c r="H657" s="556"/>
      <c r="I657" s="557"/>
      <c r="M657" s="557"/>
    </row>
    <row r="658" spans="2:13" ht="14.5">
      <c r="B658" s="20"/>
      <c r="G658" s="556"/>
      <c r="H658" s="556"/>
      <c r="I658" s="557"/>
      <c r="M658" s="557"/>
    </row>
    <row r="659" spans="2:13" ht="14.5">
      <c r="B659" s="20"/>
      <c r="G659" s="556"/>
      <c r="H659" s="556"/>
      <c r="I659" s="557"/>
      <c r="M659" s="557"/>
    </row>
    <row r="660" spans="2:13" ht="14.5">
      <c r="B660" s="20"/>
      <c r="G660" s="556"/>
      <c r="H660" s="556"/>
      <c r="I660" s="557"/>
      <c r="M660" s="557"/>
    </row>
    <row r="661" spans="2:13" ht="14.5">
      <c r="B661" s="20"/>
      <c r="G661" s="556"/>
      <c r="H661" s="556"/>
      <c r="I661" s="557"/>
      <c r="M661" s="557"/>
    </row>
    <row r="662" spans="2:13" ht="14.5">
      <c r="B662" s="20"/>
      <c r="G662" s="556"/>
      <c r="H662" s="556"/>
      <c r="I662" s="557"/>
      <c r="M662" s="557"/>
    </row>
    <row r="663" spans="2:13" ht="14.5">
      <c r="B663" s="20"/>
      <c r="G663" s="556"/>
      <c r="H663" s="556"/>
      <c r="I663" s="557"/>
      <c r="M663" s="557"/>
    </row>
    <row r="664" spans="2:13" ht="14.5">
      <c r="B664" s="20"/>
      <c r="G664" s="556"/>
      <c r="H664" s="556"/>
      <c r="I664" s="557"/>
      <c r="M664" s="557"/>
    </row>
    <row r="665" spans="2:13" ht="14.5">
      <c r="B665" s="20"/>
      <c r="G665" s="556"/>
      <c r="H665" s="556"/>
      <c r="I665" s="557"/>
      <c r="M665" s="557"/>
    </row>
    <row r="666" spans="2:13" ht="14.5">
      <c r="B666" s="20"/>
      <c r="G666" s="556"/>
      <c r="H666" s="556"/>
      <c r="I666" s="557"/>
      <c r="M666" s="557"/>
    </row>
    <row r="667" spans="2:13" ht="14.5">
      <c r="B667" s="20"/>
      <c r="G667" s="556"/>
      <c r="H667" s="556"/>
      <c r="I667" s="557"/>
      <c r="M667" s="557"/>
    </row>
    <row r="668" spans="2:13" ht="14.5">
      <c r="B668" s="20"/>
      <c r="G668" s="556"/>
      <c r="H668" s="556"/>
      <c r="I668" s="557"/>
      <c r="M668" s="557"/>
    </row>
    <row r="669" spans="2:13" ht="14.5">
      <c r="B669" s="20"/>
      <c r="G669" s="556"/>
      <c r="H669" s="556"/>
      <c r="I669" s="557"/>
      <c r="M669" s="557"/>
    </row>
    <row r="670" spans="2:13" ht="14.5">
      <c r="B670" s="20"/>
      <c r="G670" s="556"/>
      <c r="H670" s="556"/>
      <c r="I670" s="557"/>
      <c r="M670" s="557"/>
    </row>
    <row r="671" spans="2:13" ht="14.5">
      <c r="B671" s="20"/>
      <c r="G671" s="556"/>
      <c r="H671" s="556"/>
      <c r="I671" s="557"/>
      <c r="M671" s="557"/>
    </row>
    <row r="672" spans="2:13" ht="14.5">
      <c r="B672" s="20"/>
      <c r="G672" s="556"/>
      <c r="H672" s="556"/>
      <c r="I672" s="557"/>
      <c r="M672" s="557"/>
    </row>
    <row r="673" spans="2:13" ht="14.5">
      <c r="B673" s="20"/>
      <c r="G673" s="556"/>
      <c r="H673" s="556"/>
      <c r="I673" s="557"/>
      <c r="M673" s="557"/>
    </row>
    <row r="674" spans="2:13" ht="14.5">
      <c r="B674" s="20"/>
      <c r="G674" s="556"/>
      <c r="H674" s="556"/>
      <c r="I674" s="557"/>
      <c r="M674" s="557"/>
    </row>
    <row r="675" spans="2:13" ht="14.5">
      <c r="B675" s="20"/>
      <c r="G675" s="556"/>
      <c r="H675" s="556"/>
      <c r="I675" s="557"/>
      <c r="M675" s="557"/>
    </row>
    <row r="676" spans="2:13" ht="14.5">
      <c r="B676" s="20"/>
      <c r="G676" s="556"/>
      <c r="H676" s="556"/>
      <c r="I676" s="557"/>
      <c r="M676" s="557"/>
    </row>
    <row r="677" spans="2:13" ht="14.5">
      <c r="B677" s="20"/>
      <c r="G677" s="556"/>
      <c r="H677" s="556"/>
      <c r="I677" s="557"/>
      <c r="M677" s="557"/>
    </row>
    <row r="678" spans="2:13" ht="14.5">
      <c r="B678" s="20"/>
      <c r="G678" s="556"/>
      <c r="H678" s="556"/>
      <c r="I678" s="557"/>
      <c r="M678" s="557"/>
    </row>
    <row r="679" spans="2:13" ht="14.5">
      <c r="B679" s="20"/>
      <c r="G679" s="556"/>
      <c r="H679" s="556"/>
      <c r="I679" s="557"/>
      <c r="M679" s="557"/>
    </row>
    <row r="680" spans="2:13" ht="14.5">
      <c r="B680" s="20"/>
      <c r="G680" s="556"/>
      <c r="H680" s="556"/>
      <c r="I680" s="557"/>
      <c r="M680" s="557"/>
    </row>
    <row r="681" spans="2:13" ht="14.5">
      <c r="B681" s="20"/>
      <c r="G681" s="556"/>
      <c r="H681" s="556"/>
      <c r="I681" s="557"/>
      <c r="M681" s="557"/>
    </row>
    <row r="682" spans="2:13" ht="14.5">
      <c r="B682" s="20"/>
      <c r="G682" s="556"/>
      <c r="H682" s="556"/>
      <c r="I682" s="557"/>
      <c r="M682" s="557"/>
    </row>
    <row r="683" spans="2:13" ht="14.5">
      <c r="B683" s="20"/>
      <c r="G683" s="556"/>
      <c r="H683" s="556"/>
      <c r="I683" s="557"/>
      <c r="M683" s="557"/>
    </row>
    <row r="684" spans="2:13" ht="14.5">
      <c r="B684" s="20"/>
      <c r="G684" s="556"/>
      <c r="H684" s="556"/>
      <c r="I684" s="557"/>
      <c r="M684" s="557"/>
    </row>
    <row r="685" spans="2:13" ht="14.5">
      <c r="B685" s="20"/>
      <c r="G685" s="556"/>
      <c r="H685" s="556"/>
      <c r="I685" s="557"/>
      <c r="M685" s="557"/>
    </row>
    <row r="686" spans="2:13" ht="14.5">
      <c r="B686" s="20"/>
      <c r="G686" s="556"/>
      <c r="H686" s="556"/>
      <c r="I686" s="557"/>
      <c r="M686" s="557"/>
    </row>
    <row r="687" spans="2:13" ht="14.5">
      <c r="B687" s="20"/>
      <c r="G687" s="556"/>
      <c r="H687" s="556"/>
      <c r="I687" s="557"/>
      <c r="M687" s="557"/>
    </row>
    <row r="688" spans="2:13" ht="14.5">
      <c r="B688" s="20"/>
      <c r="G688" s="556"/>
      <c r="H688" s="556"/>
      <c r="I688" s="557"/>
      <c r="M688" s="557"/>
    </row>
    <row r="689" spans="2:13" ht="14.5">
      <c r="B689" s="20"/>
      <c r="G689" s="556"/>
      <c r="H689" s="556"/>
      <c r="I689" s="557"/>
      <c r="M689" s="557"/>
    </row>
    <row r="690" spans="2:13" ht="14.5">
      <c r="B690" s="20"/>
      <c r="G690" s="556"/>
      <c r="H690" s="556"/>
      <c r="I690" s="557"/>
      <c r="M690" s="557"/>
    </row>
    <row r="691" spans="2:13" ht="14.5">
      <c r="B691" s="20"/>
      <c r="G691" s="556"/>
      <c r="H691" s="556"/>
      <c r="I691" s="557"/>
      <c r="M691" s="557"/>
    </row>
    <row r="692" spans="2:13" ht="14.5">
      <c r="B692" s="20"/>
      <c r="G692" s="556"/>
      <c r="H692" s="556"/>
      <c r="I692" s="557"/>
      <c r="M692" s="557"/>
    </row>
    <row r="693" spans="2:13" ht="14.5">
      <c r="B693" s="20"/>
      <c r="G693" s="556"/>
      <c r="H693" s="556"/>
      <c r="I693" s="557"/>
      <c r="M693" s="557"/>
    </row>
    <row r="694" spans="2:13" ht="14.5">
      <c r="B694" s="20"/>
      <c r="G694" s="556"/>
      <c r="H694" s="556"/>
      <c r="I694" s="557"/>
      <c r="M694" s="557"/>
    </row>
    <row r="695" spans="2:13" ht="14.5">
      <c r="B695" s="20"/>
      <c r="G695" s="556"/>
      <c r="H695" s="556"/>
      <c r="I695" s="557"/>
      <c r="M695" s="557"/>
    </row>
    <row r="696" spans="2:13" ht="14.5">
      <c r="B696" s="20"/>
      <c r="G696" s="556"/>
      <c r="H696" s="556"/>
      <c r="I696" s="557"/>
      <c r="M696" s="557"/>
    </row>
    <row r="697" spans="2:13" ht="14.5">
      <c r="B697" s="20"/>
      <c r="G697" s="556"/>
      <c r="H697" s="556"/>
      <c r="I697" s="557"/>
      <c r="M697" s="557"/>
    </row>
    <row r="698" spans="2:13" ht="14.5">
      <c r="B698" s="20"/>
      <c r="G698" s="556"/>
      <c r="H698" s="556"/>
      <c r="I698" s="557"/>
      <c r="M698" s="557"/>
    </row>
    <row r="699" spans="2:13" ht="14.5">
      <c r="B699" s="20"/>
      <c r="G699" s="556"/>
      <c r="H699" s="556"/>
      <c r="I699" s="557"/>
      <c r="M699" s="557"/>
    </row>
    <row r="700" spans="2:13" ht="14.5">
      <c r="B700" s="20"/>
      <c r="G700" s="556"/>
      <c r="H700" s="556"/>
      <c r="I700" s="557"/>
      <c r="M700" s="557"/>
    </row>
    <row r="701" spans="2:13" ht="14.5">
      <c r="B701" s="20"/>
      <c r="G701" s="556"/>
      <c r="H701" s="556"/>
      <c r="I701" s="557"/>
      <c r="M701" s="557"/>
    </row>
    <row r="702" spans="2:13" ht="14.5">
      <c r="B702" s="20"/>
      <c r="G702" s="556"/>
      <c r="H702" s="556"/>
      <c r="I702" s="557"/>
      <c r="M702" s="557"/>
    </row>
    <row r="703" spans="2:13" ht="14.5">
      <c r="B703" s="20"/>
      <c r="G703" s="556"/>
      <c r="H703" s="556"/>
      <c r="I703" s="557"/>
      <c r="M703" s="557"/>
    </row>
    <row r="704" spans="2:13" ht="14.5">
      <c r="B704" s="20"/>
      <c r="G704" s="556"/>
      <c r="H704" s="556"/>
      <c r="I704" s="557"/>
      <c r="M704" s="557"/>
    </row>
    <row r="705" spans="2:13" ht="14.5">
      <c r="B705" s="20"/>
      <c r="G705" s="556"/>
      <c r="H705" s="556"/>
      <c r="I705" s="557"/>
      <c r="M705" s="557"/>
    </row>
    <row r="706" spans="2:13" ht="14.5">
      <c r="B706" s="20"/>
      <c r="G706" s="556"/>
      <c r="H706" s="556"/>
      <c r="I706" s="557"/>
      <c r="M706" s="557"/>
    </row>
    <row r="707" spans="2:13" ht="14.5">
      <c r="B707" s="20"/>
      <c r="G707" s="556"/>
      <c r="H707" s="556"/>
      <c r="I707" s="557"/>
      <c r="M707" s="557"/>
    </row>
    <row r="708" spans="2:13" ht="14.5">
      <c r="B708" s="20"/>
      <c r="G708" s="556"/>
      <c r="H708" s="556"/>
      <c r="I708" s="557"/>
      <c r="M708" s="557"/>
    </row>
    <row r="709" spans="2:13" ht="14.5">
      <c r="B709" s="20"/>
      <c r="G709" s="556"/>
      <c r="H709" s="556"/>
      <c r="I709" s="557"/>
      <c r="M709" s="557"/>
    </row>
    <row r="710" spans="2:13" ht="14.5">
      <c r="B710" s="20"/>
      <c r="G710" s="556"/>
      <c r="H710" s="556"/>
      <c r="I710" s="557"/>
      <c r="M710" s="557"/>
    </row>
    <row r="711" spans="2:13" ht="14.5">
      <c r="B711" s="20"/>
      <c r="G711" s="556"/>
      <c r="H711" s="556"/>
      <c r="I711" s="557"/>
      <c r="M711" s="557"/>
    </row>
    <row r="712" spans="2:13" ht="14.5">
      <c r="B712" s="20"/>
      <c r="G712" s="556"/>
      <c r="H712" s="556"/>
      <c r="I712" s="557"/>
      <c r="M712" s="557"/>
    </row>
    <row r="713" spans="2:13" ht="14.5">
      <c r="B713" s="20"/>
      <c r="G713" s="556"/>
      <c r="H713" s="556"/>
      <c r="I713" s="557"/>
      <c r="M713" s="557"/>
    </row>
    <row r="714" spans="2:13" ht="14.5">
      <c r="B714" s="20"/>
      <c r="G714" s="556"/>
      <c r="H714" s="556"/>
      <c r="I714" s="557"/>
      <c r="M714" s="557"/>
    </row>
    <row r="715" spans="2:13" ht="14.5">
      <c r="B715" s="20"/>
      <c r="G715" s="556"/>
      <c r="H715" s="556"/>
      <c r="I715" s="557"/>
      <c r="M715" s="557"/>
    </row>
    <row r="716" spans="2:13" ht="14.5">
      <c r="B716" s="20"/>
      <c r="G716" s="556"/>
      <c r="H716" s="556"/>
      <c r="I716" s="557"/>
      <c r="M716" s="557"/>
    </row>
    <row r="717" spans="2:13" ht="14.5">
      <c r="B717" s="20"/>
      <c r="G717" s="556"/>
      <c r="H717" s="556"/>
      <c r="I717" s="557"/>
      <c r="M717" s="557"/>
    </row>
    <row r="718" spans="2:13" ht="14.5">
      <c r="B718" s="20"/>
      <c r="G718" s="556"/>
      <c r="H718" s="556"/>
      <c r="I718" s="557"/>
      <c r="M718" s="557"/>
    </row>
    <row r="719" spans="2:13" ht="14.5">
      <c r="B719" s="20"/>
      <c r="G719" s="556"/>
      <c r="H719" s="556"/>
      <c r="I719" s="557"/>
      <c r="M719" s="557"/>
    </row>
    <row r="720" spans="2:13" ht="14.5">
      <c r="B720" s="20"/>
      <c r="G720" s="556"/>
      <c r="H720" s="556"/>
      <c r="I720" s="557"/>
      <c r="M720" s="557"/>
    </row>
    <row r="721" spans="2:13" ht="14.5">
      <c r="B721" s="20"/>
      <c r="G721" s="556"/>
      <c r="H721" s="556"/>
      <c r="I721" s="557"/>
      <c r="M721" s="557"/>
    </row>
    <row r="722" spans="2:13" ht="14.5">
      <c r="B722" s="20"/>
      <c r="G722" s="556"/>
      <c r="H722" s="556"/>
      <c r="I722" s="557"/>
      <c r="M722" s="557"/>
    </row>
    <row r="723" spans="2:13" ht="14.5">
      <c r="B723" s="20"/>
      <c r="G723" s="556"/>
      <c r="H723" s="556"/>
      <c r="I723" s="557"/>
      <c r="M723" s="557"/>
    </row>
    <row r="724" spans="2:13" ht="14.5">
      <c r="B724" s="20"/>
      <c r="G724" s="556"/>
      <c r="H724" s="556"/>
      <c r="I724" s="557"/>
      <c r="M724" s="557"/>
    </row>
    <row r="725" spans="2:13" ht="14.5">
      <c r="B725" s="20"/>
      <c r="G725" s="556"/>
      <c r="H725" s="556"/>
      <c r="I725" s="557"/>
      <c r="M725" s="557"/>
    </row>
    <row r="726" spans="2:13" ht="14.5">
      <c r="B726" s="20"/>
      <c r="G726" s="556"/>
      <c r="H726" s="556"/>
      <c r="I726" s="557"/>
      <c r="M726" s="557"/>
    </row>
    <row r="727" spans="2:13" ht="14.5">
      <c r="B727" s="20"/>
      <c r="G727" s="556"/>
      <c r="H727" s="556"/>
      <c r="I727" s="557"/>
      <c r="M727" s="557"/>
    </row>
    <row r="728" spans="2:13" ht="14.5">
      <c r="B728" s="20"/>
      <c r="G728" s="556"/>
      <c r="H728" s="556"/>
      <c r="I728" s="557"/>
      <c r="M728" s="557"/>
    </row>
    <row r="729" spans="2:13" ht="14.5">
      <c r="B729" s="20"/>
      <c r="G729" s="556"/>
      <c r="H729" s="556"/>
      <c r="I729" s="557"/>
      <c r="M729" s="557"/>
    </row>
    <row r="730" spans="2:13" ht="14.5">
      <c r="B730" s="20"/>
      <c r="G730" s="556"/>
      <c r="H730" s="556"/>
      <c r="I730" s="557"/>
      <c r="M730" s="557"/>
    </row>
    <row r="731" spans="2:13" ht="14.5">
      <c r="B731" s="20"/>
      <c r="G731" s="556"/>
      <c r="H731" s="556"/>
      <c r="I731" s="557"/>
      <c r="M731" s="557"/>
    </row>
    <row r="732" spans="2:13" ht="14.5">
      <c r="B732" s="20"/>
      <c r="G732" s="556"/>
      <c r="H732" s="556"/>
      <c r="I732" s="557"/>
      <c r="M732" s="557"/>
    </row>
    <row r="733" spans="2:13" ht="14.5">
      <c r="B733" s="20"/>
      <c r="G733" s="556"/>
      <c r="H733" s="556"/>
      <c r="I733" s="557"/>
      <c r="M733" s="557"/>
    </row>
    <row r="734" spans="2:13" ht="14.5">
      <c r="B734" s="20"/>
      <c r="G734" s="556"/>
      <c r="H734" s="556"/>
      <c r="I734" s="557"/>
      <c r="M734" s="557"/>
    </row>
    <row r="735" spans="2:13" ht="14.5">
      <c r="B735" s="20"/>
      <c r="G735" s="556"/>
      <c r="H735" s="556"/>
      <c r="I735" s="557"/>
      <c r="M735" s="557"/>
    </row>
    <row r="736" spans="2:13" ht="14.5">
      <c r="B736" s="20"/>
      <c r="G736" s="556"/>
      <c r="H736" s="556"/>
      <c r="I736" s="557"/>
      <c r="M736" s="557"/>
    </row>
    <row r="737" spans="2:13" ht="14.5">
      <c r="B737" s="20"/>
      <c r="G737" s="556"/>
      <c r="H737" s="556"/>
      <c r="I737" s="557"/>
      <c r="M737" s="557"/>
    </row>
    <row r="738" spans="2:13" ht="14.5">
      <c r="B738" s="20"/>
      <c r="G738" s="556"/>
      <c r="H738" s="556"/>
      <c r="I738" s="557"/>
      <c r="M738" s="557"/>
    </row>
    <row r="739" spans="2:13" ht="14.5">
      <c r="B739" s="20"/>
      <c r="G739" s="556"/>
      <c r="H739" s="556"/>
      <c r="I739" s="557"/>
      <c r="M739" s="557"/>
    </row>
    <row r="740" spans="2:13" ht="14.5">
      <c r="B740" s="20"/>
      <c r="G740" s="556"/>
      <c r="H740" s="556"/>
      <c r="I740" s="557"/>
      <c r="M740" s="557"/>
    </row>
    <row r="741" spans="2:13" ht="14.5">
      <c r="B741" s="20"/>
      <c r="G741" s="556"/>
      <c r="H741" s="556"/>
      <c r="I741" s="557"/>
      <c r="M741" s="557"/>
    </row>
    <row r="742" spans="2:13" ht="14.5">
      <c r="B742" s="20"/>
      <c r="G742" s="556"/>
      <c r="H742" s="556"/>
      <c r="I742" s="557"/>
      <c r="M742" s="557"/>
    </row>
    <row r="743" spans="2:13" ht="14.5">
      <c r="B743" s="20"/>
      <c r="G743" s="556"/>
      <c r="H743" s="556"/>
      <c r="I743" s="557"/>
      <c r="M743" s="557"/>
    </row>
    <row r="744" spans="2:13" ht="14.5">
      <c r="B744" s="20"/>
      <c r="G744" s="556"/>
      <c r="H744" s="556"/>
      <c r="I744" s="557"/>
      <c r="M744" s="557"/>
    </row>
    <row r="745" spans="2:13" ht="14.5">
      <c r="B745" s="20"/>
      <c r="G745" s="556"/>
      <c r="H745" s="556"/>
      <c r="I745" s="557"/>
      <c r="M745" s="557"/>
    </row>
    <row r="746" spans="2:13" ht="14.5">
      <c r="B746" s="20"/>
      <c r="G746" s="556"/>
      <c r="H746" s="556"/>
      <c r="I746" s="557"/>
      <c r="M746" s="557"/>
    </row>
    <row r="747" spans="2:13" ht="14.5">
      <c r="B747" s="20"/>
      <c r="G747" s="556"/>
      <c r="H747" s="556"/>
      <c r="I747" s="557"/>
      <c r="M747" s="557"/>
    </row>
    <row r="748" spans="2:13" ht="14.5">
      <c r="B748" s="20"/>
      <c r="G748" s="556"/>
      <c r="H748" s="556"/>
      <c r="I748" s="557"/>
      <c r="M748" s="557"/>
    </row>
    <row r="749" spans="2:13" ht="14.5">
      <c r="B749" s="20"/>
      <c r="G749" s="556"/>
      <c r="H749" s="556"/>
      <c r="I749" s="557"/>
      <c r="M749" s="557"/>
    </row>
    <row r="750" spans="2:13" ht="14.5">
      <c r="B750" s="20"/>
      <c r="G750" s="556"/>
      <c r="H750" s="556"/>
      <c r="I750" s="557"/>
      <c r="M750" s="557"/>
    </row>
    <row r="751" spans="2:13" ht="14.5">
      <c r="B751" s="20"/>
      <c r="G751" s="556"/>
      <c r="H751" s="556"/>
      <c r="I751" s="557"/>
      <c r="M751" s="557"/>
    </row>
    <row r="752" spans="2:13" ht="14.5">
      <c r="B752" s="20"/>
      <c r="G752" s="556"/>
      <c r="H752" s="556"/>
      <c r="I752" s="557"/>
      <c r="M752" s="557"/>
    </row>
    <row r="753" spans="2:13" ht="14.5">
      <c r="B753" s="20"/>
      <c r="G753" s="556"/>
      <c r="H753" s="556"/>
      <c r="I753" s="557"/>
      <c r="M753" s="557"/>
    </row>
    <row r="754" spans="2:13" ht="14.5">
      <c r="B754" s="20"/>
      <c r="G754" s="556"/>
      <c r="H754" s="556"/>
      <c r="I754" s="557"/>
      <c r="M754" s="557"/>
    </row>
    <row r="755" spans="2:13" ht="14.5">
      <c r="B755" s="20"/>
      <c r="G755" s="556"/>
      <c r="H755" s="556"/>
      <c r="I755" s="557"/>
      <c r="M755" s="557"/>
    </row>
    <row r="756" spans="2:13" ht="14.5">
      <c r="B756" s="20"/>
      <c r="G756" s="556"/>
      <c r="H756" s="556"/>
      <c r="I756" s="557"/>
      <c r="M756" s="557"/>
    </row>
    <row r="757" spans="2:13" ht="14.5">
      <c r="B757" s="20"/>
      <c r="G757" s="556"/>
      <c r="H757" s="556"/>
      <c r="I757" s="557"/>
      <c r="M757" s="557"/>
    </row>
    <row r="758" spans="2:13" ht="14.5">
      <c r="B758" s="20"/>
      <c r="G758" s="556"/>
      <c r="H758" s="556"/>
      <c r="I758" s="557"/>
      <c r="M758" s="557"/>
    </row>
    <row r="759" spans="2:13" ht="14.5">
      <c r="B759" s="20"/>
      <c r="G759" s="556"/>
      <c r="H759" s="556"/>
      <c r="I759" s="557"/>
      <c r="M759" s="557"/>
    </row>
    <row r="760" spans="2:13" ht="14.5">
      <c r="B760" s="20"/>
      <c r="G760" s="556"/>
      <c r="H760" s="556"/>
      <c r="I760" s="557"/>
      <c r="M760" s="557"/>
    </row>
    <row r="761" spans="2:13" ht="14.5">
      <c r="B761" s="20"/>
      <c r="G761" s="556"/>
      <c r="H761" s="556"/>
      <c r="I761" s="557"/>
      <c r="M761" s="557"/>
    </row>
    <row r="762" spans="2:13" ht="14.5">
      <c r="B762" s="20"/>
      <c r="G762" s="556"/>
      <c r="H762" s="556"/>
      <c r="I762" s="557"/>
      <c r="M762" s="557"/>
    </row>
    <row r="763" spans="2:13" ht="14.5">
      <c r="B763" s="20"/>
      <c r="G763" s="556"/>
      <c r="H763" s="556"/>
      <c r="I763" s="557"/>
      <c r="M763" s="557"/>
    </row>
    <row r="764" spans="2:13" ht="14.5">
      <c r="B764" s="20"/>
      <c r="G764" s="556"/>
      <c r="H764" s="556"/>
      <c r="I764" s="557"/>
      <c r="M764" s="557"/>
    </row>
    <row r="765" spans="2:13" ht="14.5">
      <c r="B765" s="20"/>
      <c r="G765" s="556"/>
      <c r="H765" s="556"/>
      <c r="I765" s="557"/>
      <c r="M765" s="557"/>
    </row>
    <row r="766" spans="2:13" ht="14.5">
      <c r="B766" s="20"/>
      <c r="G766" s="556"/>
      <c r="H766" s="556"/>
      <c r="I766" s="557"/>
      <c r="M766" s="557"/>
    </row>
    <row r="767" spans="2:13" ht="14.5">
      <c r="B767" s="20"/>
      <c r="G767" s="556"/>
      <c r="H767" s="556"/>
      <c r="I767" s="557"/>
      <c r="M767" s="557"/>
    </row>
    <row r="768" spans="2:13" ht="14.5">
      <c r="B768" s="20"/>
      <c r="G768" s="556"/>
      <c r="H768" s="556"/>
      <c r="I768" s="557"/>
      <c r="M768" s="557"/>
    </row>
    <row r="769" spans="2:13" ht="14.5">
      <c r="B769" s="20"/>
      <c r="G769" s="556"/>
      <c r="H769" s="556"/>
      <c r="I769" s="557"/>
      <c r="M769" s="557"/>
    </row>
    <row r="770" spans="2:13" ht="14.5">
      <c r="B770" s="20"/>
      <c r="G770" s="556"/>
      <c r="H770" s="556"/>
      <c r="I770" s="557"/>
      <c r="M770" s="557"/>
    </row>
    <row r="771" spans="2:13" ht="14.5">
      <c r="B771" s="20"/>
      <c r="G771" s="556"/>
      <c r="H771" s="556"/>
      <c r="I771" s="557"/>
      <c r="M771" s="557"/>
    </row>
    <row r="772" spans="2:13" ht="14.5">
      <c r="B772" s="20"/>
      <c r="G772" s="556"/>
      <c r="H772" s="556"/>
      <c r="I772" s="557"/>
      <c r="M772" s="557"/>
    </row>
    <row r="773" spans="2:13" ht="14.5">
      <c r="B773" s="20"/>
      <c r="G773" s="556"/>
      <c r="H773" s="556"/>
      <c r="I773" s="557"/>
      <c r="M773" s="557"/>
    </row>
    <row r="774" spans="2:13" ht="14.5">
      <c r="B774" s="20"/>
      <c r="G774" s="556"/>
      <c r="H774" s="556"/>
      <c r="I774" s="557"/>
      <c r="M774" s="557"/>
    </row>
    <row r="775" spans="2:13" ht="14.5">
      <c r="B775" s="20"/>
      <c r="G775" s="556"/>
      <c r="H775" s="556"/>
      <c r="I775" s="557"/>
      <c r="M775" s="557"/>
    </row>
    <row r="776" spans="2:13" ht="14.5">
      <c r="B776" s="20"/>
      <c r="G776" s="556"/>
      <c r="H776" s="556"/>
      <c r="I776" s="557"/>
      <c r="M776" s="557"/>
    </row>
    <row r="777" spans="2:13" ht="14.5">
      <c r="B777" s="20"/>
      <c r="G777" s="556"/>
      <c r="H777" s="556"/>
      <c r="I777" s="557"/>
      <c r="M777" s="557"/>
    </row>
    <row r="778" spans="2:13" ht="14.5">
      <c r="B778" s="20"/>
      <c r="G778" s="556"/>
      <c r="H778" s="556"/>
      <c r="I778" s="557"/>
      <c r="M778" s="557"/>
    </row>
    <row r="779" spans="2:13" ht="14.5">
      <c r="B779" s="20"/>
      <c r="G779" s="556"/>
      <c r="H779" s="556"/>
      <c r="I779" s="557"/>
      <c r="M779" s="557"/>
    </row>
    <row r="780" spans="2:13" ht="14.5">
      <c r="B780" s="20"/>
      <c r="G780" s="556"/>
      <c r="H780" s="556"/>
      <c r="I780" s="557"/>
      <c r="M780" s="557"/>
    </row>
    <row r="781" spans="2:13" ht="14.5">
      <c r="B781" s="20"/>
      <c r="G781" s="556"/>
      <c r="H781" s="556"/>
      <c r="I781" s="557"/>
      <c r="M781" s="557"/>
    </row>
    <row r="782" spans="2:13" ht="14.5">
      <c r="B782" s="20"/>
      <c r="G782" s="556"/>
      <c r="H782" s="556"/>
      <c r="I782" s="557"/>
      <c r="M782" s="557"/>
    </row>
    <row r="783" spans="2:13" ht="14.5">
      <c r="B783" s="20"/>
      <c r="G783" s="556"/>
      <c r="H783" s="556"/>
      <c r="I783" s="557"/>
      <c r="M783" s="557"/>
    </row>
    <row r="784" spans="2:13" ht="14.5">
      <c r="B784" s="20"/>
      <c r="G784" s="556"/>
      <c r="H784" s="556"/>
      <c r="I784" s="557"/>
      <c r="M784" s="557"/>
    </row>
    <row r="785" spans="2:13" ht="14.5">
      <c r="B785" s="20"/>
      <c r="G785" s="556"/>
      <c r="H785" s="556"/>
      <c r="I785" s="557"/>
      <c r="M785" s="557"/>
    </row>
    <row r="786" spans="2:13" ht="14.5">
      <c r="B786" s="20"/>
      <c r="G786" s="556"/>
      <c r="H786" s="556"/>
      <c r="I786" s="557"/>
      <c r="M786" s="557"/>
    </row>
    <row r="787" spans="2:13" ht="14.5">
      <c r="B787" s="20"/>
      <c r="G787" s="556"/>
      <c r="H787" s="556"/>
      <c r="I787" s="557"/>
      <c r="M787" s="557"/>
    </row>
    <row r="788" spans="2:13" ht="14.5">
      <c r="B788" s="20"/>
      <c r="G788" s="556"/>
      <c r="H788" s="556"/>
      <c r="I788" s="557"/>
      <c r="M788" s="557"/>
    </row>
    <row r="789" spans="2:13" ht="14.5">
      <c r="B789" s="20"/>
      <c r="G789" s="556"/>
      <c r="H789" s="556"/>
      <c r="I789" s="557"/>
      <c r="M789" s="557"/>
    </row>
    <row r="790" spans="2:13" ht="14.5">
      <c r="B790" s="20"/>
      <c r="G790" s="556"/>
      <c r="H790" s="556"/>
      <c r="I790" s="557"/>
      <c r="M790" s="557"/>
    </row>
    <row r="791" spans="2:13" ht="14.5">
      <c r="B791" s="20"/>
      <c r="G791" s="556"/>
      <c r="H791" s="556"/>
      <c r="I791" s="557"/>
      <c r="M791" s="557"/>
    </row>
    <row r="792" spans="2:13" ht="14.5">
      <c r="B792" s="20"/>
      <c r="G792" s="556"/>
      <c r="H792" s="556"/>
      <c r="I792" s="557"/>
      <c r="M792" s="557"/>
    </row>
    <row r="793" spans="2:13" ht="14.5">
      <c r="B793" s="20"/>
      <c r="G793" s="556"/>
      <c r="H793" s="556"/>
      <c r="I793" s="557"/>
      <c r="M793" s="557"/>
    </row>
    <row r="794" spans="2:13" ht="14.5">
      <c r="B794" s="20"/>
      <c r="G794" s="556"/>
      <c r="H794" s="556"/>
      <c r="I794" s="557"/>
      <c r="M794" s="557"/>
    </row>
    <row r="795" spans="2:13" ht="14.5">
      <c r="B795" s="20"/>
      <c r="G795" s="556"/>
      <c r="H795" s="556"/>
      <c r="I795" s="557"/>
      <c r="M795" s="557"/>
    </row>
    <row r="796" spans="2:13" ht="14.5">
      <c r="B796" s="20"/>
      <c r="G796" s="556"/>
      <c r="H796" s="556"/>
      <c r="I796" s="557"/>
      <c r="M796" s="557"/>
    </row>
    <row r="797" spans="2:13" ht="14.5">
      <c r="B797" s="20"/>
      <c r="G797" s="556"/>
      <c r="H797" s="556"/>
      <c r="I797" s="557"/>
      <c r="M797" s="557"/>
    </row>
    <row r="798" spans="2:13" ht="14.5">
      <c r="B798" s="20"/>
      <c r="G798" s="556"/>
      <c r="H798" s="556"/>
      <c r="I798" s="557"/>
      <c r="M798" s="557"/>
    </row>
    <row r="799" spans="2:13" ht="14.5">
      <c r="B799" s="20"/>
      <c r="G799" s="556"/>
      <c r="H799" s="556"/>
      <c r="I799" s="557"/>
      <c r="M799" s="557"/>
    </row>
    <row r="800" spans="2:13" ht="14.5">
      <c r="B800" s="20"/>
      <c r="G800" s="556"/>
      <c r="H800" s="556"/>
      <c r="I800" s="557"/>
      <c r="M800" s="557"/>
    </row>
    <row r="801" spans="2:13" ht="14.5">
      <c r="B801" s="20"/>
      <c r="G801" s="556"/>
      <c r="H801" s="556"/>
      <c r="I801" s="557"/>
      <c r="M801" s="557"/>
    </row>
    <row r="802" spans="2:13" ht="14.5">
      <c r="B802" s="20"/>
      <c r="G802" s="556"/>
      <c r="H802" s="556"/>
      <c r="I802" s="557"/>
      <c r="M802" s="557"/>
    </row>
    <row r="803" spans="2:13" ht="14.5">
      <c r="B803" s="20"/>
      <c r="G803" s="556"/>
      <c r="H803" s="556"/>
      <c r="I803" s="557"/>
      <c r="M803" s="557"/>
    </row>
    <row r="804" spans="2:13" ht="14.5">
      <c r="B804" s="20"/>
      <c r="G804" s="556"/>
      <c r="H804" s="556"/>
      <c r="I804" s="557"/>
      <c r="M804" s="557"/>
    </row>
    <row r="805" spans="2:13" ht="14.5">
      <c r="B805" s="20"/>
      <c r="G805" s="556"/>
      <c r="H805" s="556"/>
      <c r="I805" s="557"/>
      <c r="M805" s="557"/>
    </row>
    <row r="806" spans="2:13" ht="14.5">
      <c r="B806" s="20"/>
      <c r="G806" s="556"/>
      <c r="H806" s="556"/>
      <c r="I806" s="557"/>
      <c r="M806" s="557"/>
    </row>
    <row r="807" spans="2:13" ht="14.5">
      <c r="B807" s="20"/>
      <c r="G807" s="556"/>
      <c r="H807" s="556"/>
      <c r="I807" s="557"/>
      <c r="M807" s="557"/>
    </row>
    <row r="808" spans="2:13" ht="14.5">
      <c r="B808" s="20"/>
      <c r="G808" s="556"/>
      <c r="H808" s="556"/>
      <c r="I808" s="557"/>
      <c r="M808" s="557"/>
    </row>
    <row r="809" spans="2:13" ht="14.5">
      <c r="B809" s="20"/>
      <c r="G809" s="556"/>
      <c r="H809" s="556"/>
      <c r="I809" s="557"/>
      <c r="M809" s="557"/>
    </row>
    <row r="810" spans="2:13" ht="14.5">
      <c r="B810" s="20"/>
      <c r="G810" s="556"/>
      <c r="H810" s="556"/>
      <c r="I810" s="557"/>
      <c r="M810" s="557"/>
    </row>
    <row r="811" spans="2:13" ht="14.5">
      <c r="B811" s="20"/>
      <c r="G811" s="556"/>
      <c r="H811" s="556"/>
      <c r="I811" s="557"/>
      <c r="M811" s="557"/>
    </row>
    <row r="812" spans="2:13" ht="14.5">
      <c r="B812" s="20"/>
      <c r="G812" s="556"/>
      <c r="H812" s="556"/>
      <c r="I812" s="557"/>
      <c r="M812" s="557"/>
    </row>
    <row r="813" spans="2:13" ht="14.5">
      <c r="B813" s="20"/>
      <c r="G813" s="556"/>
      <c r="H813" s="556"/>
      <c r="I813" s="557"/>
      <c r="M813" s="557"/>
    </row>
    <row r="814" spans="2:13" ht="14.5">
      <c r="B814" s="20"/>
      <c r="G814" s="556"/>
      <c r="H814" s="556"/>
      <c r="I814" s="557"/>
      <c r="M814" s="557"/>
    </row>
    <row r="815" spans="2:13" ht="14.5">
      <c r="B815" s="20"/>
      <c r="G815" s="556"/>
      <c r="H815" s="556"/>
      <c r="I815" s="557"/>
      <c r="M815" s="557"/>
    </row>
    <row r="816" spans="2:13" ht="14.5">
      <c r="B816" s="20"/>
      <c r="G816" s="556"/>
      <c r="H816" s="556"/>
      <c r="I816" s="557"/>
      <c r="M816" s="557"/>
    </row>
    <row r="817" spans="2:13" ht="14.5">
      <c r="B817" s="20"/>
      <c r="G817" s="556"/>
      <c r="H817" s="556"/>
      <c r="I817" s="557"/>
      <c r="M817" s="557"/>
    </row>
    <row r="818" spans="2:13" ht="14.5">
      <c r="B818" s="20"/>
      <c r="G818" s="556"/>
      <c r="H818" s="556"/>
      <c r="I818" s="557"/>
      <c r="M818" s="557"/>
    </row>
    <row r="819" spans="2:13" ht="14.5">
      <c r="B819" s="20"/>
      <c r="G819" s="556"/>
      <c r="H819" s="556"/>
      <c r="I819" s="557"/>
      <c r="M819" s="557"/>
    </row>
    <row r="820" spans="2:13" ht="14.5">
      <c r="B820" s="20"/>
      <c r="G820" s="556"/>
      <c r="H820" s="556"/>
      <c r="I820" s="557"/>
      <c r="M820" s="557"/>
    </row>
    <row r="821" spans="2:13" ht="14.5">
      <c r="B821" s="20"/>
      <c r="G821" s="556"/>
      <c r="H821" s="556"/>
      <c r="I821" s="557"/>
      <c r="M821" s="557"/>
    </row>
    <row r="822" spans="2:13" ht="14.5">
      <c r="B822" s="20"/>
      <c r="G822" s="556"/>
      <c r="H822" s="556"/>
      <c r="I822" s="557"/>
      <c r="M822" s="557"/>
    </row>
    <row r="823" spans="2:13" ht="14.5">
      <c r="B823" s="20"/>
      <c r="G823" s="556"/>
      <c r="H823" s="556"/>
      <c r="I823" s="557"/>
      <c r="M823" s="557"/>
    </row>
    <row r="824" spans="2:13" ht="14.5">
      <c r="B824" s="20"/>
      <c r="G824" s="556"/>
      <c r="H824" s="556"/>
      <c r="I824" s="557"/>
      <c r="M824" s="557"/>
    </row>
    <row r="825" spans="2:13" ht="14.5">
      <c r="B825" s="20"/>
      <c r="G825" s="556"/>
      <c r="H825" s="556"/>
      <c r="I825" s="557"/>
      <c r="M825" s="557"/>
    </row>
    <row r="826" spans="2:13" ht="14.5">
      <c r="B826" s="20"/>
      <c r="G826" s="556"/>
      <c r="H826" s="556"/>
      <c r="I826" s="557"/>
      <c r="M826" s="557"/>
    </row>
    <row r="827" spans="2:13" ht="14.5">
      <c r="B827" s="20"/>
      <c r="G827" s="556"/>
      <c r="H827" s="556"/>
      <c r="I827" s="557"/>
      <c r="M827" s="557"/>
    </row>
    <row r="828" spans="2:13" ht="14.5">
      <c r="B828" s="20"/>
      <c r="G828" s="556"/>
      <c r="H828" s="556"/>
      <c r="I828" s="557"/>
      <c r="M828" s="557"/>
    </row>
    <row r="829" spans="2:13" ht="14.5">
      <c r="B829" s="20"/>
      <c r="G829" s="556"/>
      <c r="H829" s="556"/>
      <c r="I829" s="557"/>
      <c r="M829" s="557"/>
    </row>
    <row r="830" spans="2:13" ht="14.5">
      <c r="B830" s="20"/>
      <c r="G830" s="556"/>
      <c r="H830" s="556"/>
      <c r="I830" s="557"/>
      <c r="M830" s="557"/>
    </row>
    <row r="831" spans="2:13" ht="14.5">
      <c r="B831" s="20"/>
      <c r="G831" s="556"/>
      <c r="H831" s="556"/>
      <c r="I831" s="557"/>
      <c r="M831" s="557"/>
    </row>
    <row r="832" spans="2:13" ht="14.5">
      <c r="B832" s="20"/>
      <c r="G832" s="556"/>
      <c r="H832" s="556"/>
      <c r="I832" s="557"/>
      <c r="M832" s="557"/>
    </row>
    <row r="833" spans="2:13" ht="14.5">
      <c r="B833" s="20"/>
      <c r="G833" s="556"/>
      <c r="H833" s="556"/>
      <c r="I833" s="557"/>
      <c r="M833" s="557"/>
    </row>
    <row r="834" spans="2:13" ht="14.5">
      <c r="B834" s="20"/>
      <c r="G834" s="556"/>
      <c r="H834" s="556"/>
      <c r="I834" s="557"/>
      <c r="M834" s="557"/>
    </row>
    <row r="835" spans="2:13" ht="14.5">
      <c r="B835" s="20"/>
      <c r="G835" s="556"/>
      <c r="H835" s="556"/>
      <c r="I835" s="557"/>
      <c r="M835" s="557"/>
    </row>
    <row r="836" spans="2:13" ht="14.5">
      <c r="B836" s="20"/>
      <c r="G836" s="556"/>
      <c r="H836" s="556"/>
      <c r="I836" s="557"/>
      <c r="M836" s="557"/>
    </row>
    <row r="837" spans="2:13" ht="14.5">
      <c r="B837" s="20"/>
      <c r="G837" s="556"/>
      <c r="H837" s="556"/>
      <c r="I837" s="557"/>
      <c r="M837" s="557"/>
    </row>
    <row r="838" spans="2:13" ht="14.5">
      <c r="B838" s="20"/>
      <c r="G838" s="556"/>
      <c r="H838" s="556"/>
      <c r="I838" s="557"/>
      <c r="M838" s="557"/>
    </row>
    <row r="839" spans="2:13" ht="14.5">
      <c r="B839" s="20"/>
      <c r="G839" s="556"/>
      <c r="H839" s="556"/>
      <c r="I839" s="557"/>
      <c r="M839" s="557"/>
    </row>
    <row r="840" spans="2:13" ht="14.5">
      <c r="B840" s="20"/>
      <c r="G840" s="556"/>
      <c r="H840" s="556"/>
      <c r="I840" s="557"/>
      <c r="M840" s="557"/>
    </row>
    <row r="841" spans="2:13" ht="14.5">
      <c r="B841" s="20"/>
      <c r="G841" s="556"/>
      <c r="H841" s="556"/>
      <c r="I841" s="557"/>
      <c r="M841" s="557"/>
    </row>
    <row r="842" spans="2:13" ht="14.5">
      <c r="B842" s="20"/>
      <c r="G842" s="556"/>
      <c r="H842" s="556"/>
      <c r="I842" s="557"/>
      <c r="M842" s="557"/>
    </row>
    <row r="843" spans="2:13" ht="14.5">
      <c r="B843" s="20"/>
      <c r="G843" s="556"/>
      <c r="H843" s="556"/>
      <c r="I843" s="557"/>
      <c r="M843" s="557"/>
    </row>
    <row r="844" spans="2:13" ht="14.5">
      <c r="B844" s="20"/>
      <c r="G844" s="556"/>
      <c r="H844" s="556"/>
      <c r="I844" s="557"/>
      <c r="M844" s="557"/>
    </row>
    <row r="845" spans="2:13" ht="14.5">
      <c r="B845" s="20"/>
      <c r="G845" s="556"/>
      <c r="H845" s="556"/>
      <c r="I845" s="557"/>
      <c r="M845" s="557"/>
    </row>
    <row r="846" spans="2:13" ht="14.5">
      <c r="B846" s="20"/>
      <c r="G846" s="556"/>
      <c r="H846" s="556"/>
      <c r="I846" s="557"/>
      <c r="M846" s="557"/>
    </row>
    <row r="847" spans="2:13" ht="14.5">
      <c r="B847" s="20"/>
      <c r="G847" s="556"/>
      <c r="H847" s="556"/>
      <c r="I847" s="557"/>
      <c r="M847" s="557"/>
    </row>
    <row r="848" spans="2:13" ht="14.5">
      <c r="B848" s="20"/>
      <c r="G848" s="556"/>
      <c r="H848" s="556"/>
      <c r="I848" s="557"/>
      <c r="M848" s="557"/>
    </row>
    <row r="849" spans="2:13" ht="14.5">
      <c r="B849" s="20"/>
      <c r="G849" s="556"/>
      <c r="H849" s="556"/>
      <c r="I849" s="557"/>
      <c r="M849" s="557"/>
    </row>
    <row r="850" spans="2:13" ht="14.5">
      <c r="B850" s="20"/>
      <c r="G850" s="556"/>
      <c r="H850" s="556"/>
      <c r="I850" s="557"/>
      <c r="M850" s="557"/>
    </row>
    <row r="851" spans="2:13" ht="14.5">
      <c r="B851" s="20"/>
      <c r="G851" s="556"/>
      <c r="H851" s="556"/>
      <c r="I851" s="557"/>
      <c r="M851" s="557"/>
    </row>
    <row r="852" spans="2:13" ht="14.5">
      <c r="B852" s="20"/>
      <c r="G852" s="556"/>
      <c r="H852" s="556"/>
      <c r="I852" s="557"/>
      <c r="M852" s="557"/>
    </row>
    <row r="853" spans="2:13" ht="14.5">
      <c r="B853" s="20"/>
      <c r="G853" s="556"/>
      <c r="H853" s="556"/>
      <c r="I853" s="557"/>
      <c r="M853" s="557"/>
    </row>
    <row r="854" spans="2:13" ht="14.5">
      <c r="B854" s="20"/>
      <c r="G854" s="556"/>
      <c r="H854" s="556"/>
      <c r="I854" s="557"/>
      <c r="M854" s="557"/>
    </row>
    <row r="855" spans="2:13" ht="14.5">
      <c r="B855" s="20"/>
      <c r="G855" s="556"/>
      <c r="H855" s="556"/>
      <c r="I855" s="557"/>
      <c r="M855" s="557"/>
    </row>
    <row r="856" spans="2:13" ht="14.5">
      <c r="B856" s="20"/>
      <c r="G856" s="556"/>
      <c r="H856" s="556"/>
      <c r="I856" s="557"/>
      <c r="M856" s="557"/>
    </row>
    <row r="857" spans="2:13" ht="14.5">
      <c r="B857" s="20"/>
      <c r="G857" s="556"/>
      <c r="H857" s="556"/>
      <c r="I857" s="557"/>
      <c r="M857" s="557"/>
    </row>
    <row r="858" spans="2:13" ht="14.5">
      <c r="B858" s="20"/>
      <c r="G858" s="556"/>
      <c r="H858" s="556"/>
      <c r="I858" s="557"/>
      <c r="M858" s="557"/>
    </row>
    <row r="859" spans="2:13" ht="14.5">
      <c r="B859" s="20"/>
      <c r="G859" s="556"/>
      <c r="H859" s="556"/>
      <c r="I859" s="557"/>
      <c r="M859" s="557"/>
    </row>
    <row r="860" spans="2:13" ht="14.5">
      <c r="B860" s="20"/>
      <c r="G860" s="556"/>
      <c r="H860" s="556"/>
      <c r="I860" s="557"/>
      <c r="M860" s="557"/>
    </row>
    <row r="861" spans="2:13" ht="14.5">
      <c r="B861" s="20"/>
      <c r="G861" s="556"/>
      <c r="H861" s="556"/>
      <c r="I861" s="557"/>
      <c r="M861" s="557"/>
    </row>
    <row r="862" spans="2:13" ht="14.5">
      <c r="B862" s="20"/>
      <c r="G862" s="556"/>
      <c r="H862" s="556"/>
      <c r="I862" s="557"/>
      <c r="M862" s="557"/>
    </row>
    <row r="863" spans="2:13" ht="14.5">
      <c r="B863" s="20"/>
      <c r="G863" s="556"/>
      <c r="H863" s="556"/>
      <c r="I863" s="557"/>
      <c r="M863" s="557"/>
    </row>
    <row r="864" spans="2:13" ht="14.5">
      <c r="B864" s="20"/>
      <c r="G864" s="556"/>
      <c r="H864" s="556"/>
      <c r="I864" s="557"/>
      <c r="M864" s="557"/>
    </row>
    <row r="865" spans="2:13" ht="14.5">
      <c r="B865" s="20"/>
      <c r="G865" s="556"/>
      <c r="H865" s="556"/>
      <c r="I865" s="557"/>
      <c r="M865" s="557"/>
    </row>
    <row r="866" spans="2:13" ht="14.5">
      <c r="B866" s="20"/>
      <c r="G866" s="556"/>
      <c r="H866" s="556"/>
      <c r="I866" s="557"/>
      <c r="M866" s="557"/>
    </row>
    <row r="867" spans="2:13" ht="14.5">
      <c r="B867" s="20"/>
      <c r="G867" s="556"/>
      <c r="H867" s="556"/>
      <c r="I867" s="557"/>
      <c r="M867" s="557"/>
    </row>
    <row r="868" spans="2:13" ht="14.5">
      <c r="B868" s="20"/>
      <c r="G868" s="556"/>
      <c r="H868" s="556"/>
      <c r="I868" s="557"/>
      <c r="M868" s="557"/>
    </row>
    <row r="869" spans="2:13" ht="14.5">
      <c r="B869" s="20"/>
      <c r="G869" s="556"/>
      <c r="H869" s="556"/>
      <c r="I869" s="557"/>
      <c r="M869" s="557"/>
    </row>
    <row r="870" spans="2:13" ht="14.5">
      <c r="B870" s="20"/>
      <c r="G870" s="556"/>
      <c r="H870" s="556"/>
      <c r="I870" s="557"/>
      <c r="M870" s="557"/>
    </row>
    <row r="871" spans="2:13" ht="14.5">
      <c r="B871" s="20"/>
      <c r="G871" s="556"/>
      <c r="H871" s="556"/>
      <c r="I871" s="557"/>
      <c r="M871" s="557"/>
    </row>
    <row r="872" spans="2:13" ht="14.5">
      <c r="B872" s="20"/>
      <c r="G872" s="556"/>
      <c r="H872" s="556"/>
      <c r="I872" s="557"/>
      <c r="M872" s="557"/>
    </row>
    <row r="873" spans="2:13" ht="14.5">
      <c r="B873" s="20"/>
      <c r="G873" s="556"/>
      <c r="H873" s="556"/>
      <c r="I873" s="557"/>
      <c r="M873" s="557"/>
    </row>
    <row r="874" spans="2:13" ht="14.5">
      <c r="B874" s="20"/>
      <c r="G874" s="556"/>
      <c r="H874" s="556"/>
      <c r="I874" s="557"/>
      <c r="M874" s="557"/>
    </row>
    <row r="875" spans="2:13" ht="14.5">
      <c r="B875" s="20"/>
      <c r="G875" s="556"/>
      <c r="H875" s="556"/>
      <c r="I875" s="557"/>
      <c r="M875" s="557"/>
    </row>
    <row r="876" spans="2:13" ht="14.5">
      <c r="B876" s="20"/>
      <c r="G876" s="556"/>
      <c r="H876" s="556"/>
      <c r="I876" s="557"/>
      <c r="M876" s="557"/>
    </row>
    <row r="877" spans="2:13" ht="14.5">
      <c r="B877" s="20"/>
      <c r="G877" s="556"/>
      <c r="H877" s="556"/>
      <c r="I877" s="557"/>
      <c r="M877" s="557"/>
    </row>
    <row r="878" spans="2:13" ht="14.5">
      <c r="B878" s="20"/>
      <c r="G878" s="556"/>
      <c r="H878" s="556"/>
      <c r="I878" s="557"/>
      <c r="M878" s="557"/>
    </row>
    <row r="879" spans="2:13" ht="14.5">
      <c r="B879" s="20"/>
      <c r="G879" s="556"/>
      <c r="H879" s="556"/>
      <c r="I879" s="557"/>
      <c r="M879" s="557"/>
    </row>
    <row r="880" spans="2:13" ht="14.5">
      <c r="B880" s="20"/>
      <c r="G880" s="556"/>
      <c r="H880" s="556"/>
      <c r="I880" s="557"/>
      <c r="M880" s="557"/>
    </row>
    <row r="881" spans="2:13" ht="14.5">
      <c r="B881" s="20"/>
      <c r="G881" s="556"/>
      <c r="H881" s="556"/>
      <c r="I881" s="557"/>
      <c r="M881" s="557"/>
    </row>
    <row r="882" spans="2:13" ht="14.5">
      <c r="B882" s="20"/>
      <c r="G882" s="556"/>
      <c r="H882" s="556"/>
      <c r="I882" s="557"/>
      <c r="M882" s="557"/>
    </row>
    <row r="883" spans="2:13" ht="14.5">
      <c r="B883" s="20"/>
      <c r="G883" s="556"/>
      <c r="H883" s="556"/>
      <c r="I883" s="557"/>
      <c r="M883" s="557"/>
    </row>
    <row r="884" spans="2:13" ht="14.5">
      <c r="B884" s="20"/>
      <c r="G884" s="556"/>
      <c r="H884" s="556"/>
      <c r="I884" s="557"/>
      <c r="M884" s="557"/>
    </row>
    <row r="885" spans="2:13" ht="14.5">
      <c r="B885" s="20"/>
      <c r="G885" s="556"/>
      <c r="H885" s="556"/>
      <c r="I885" s="557"/>
      <c r="M885" s="557"/>
    </row>
    <row r="886" spans="2:13" ht="14.5">
      <c r="B886" s="20"/>
      <c r="G886" s="556"/>
      <c r="H886" s="556"/>
      <c r="I886" s="557"/>
      <c r="M886" s="557"/>
    </row>
    <row r="887" spans="2:13" ht="14.5">
      <c r="B887" s="20"/>
      <c r="G887" s="556"/>
      <c r="H887" s="556"/>
      <c r="I887" s="557"/>
      <c r="M887" s="557"/>
    </row>
    <row r="888" spans="2:13" ht="14.5">
      <c r="B888" s="20"/>
      <c r="G888" s="556"/>
      <c r="H888" s="556"/>
      <c r="I888" s="557"/>
      <c r="M888" s="557"/>
    </row>
    <row r="889" spans="2:13" ht="14.5">
      <c r="B889" s="20"/>
      <c r="G889" s="556"/>
      <c r="H889" s="556"/>
      <c r="I889" s="557"/>
      <c r="M889" s="557"/>
    </row>
    <row r="890" spans="2:13" ht="14.5">
      <c r="B890" s="20"/>
      <c r="G890" s="556"/>
      <c r="H890" s="556"/>
      <c r="I890" s="557"/>
      <c r="M890" s="557"/>
    </row>
    <row r="891" spans="2:13" ht="14.5">
      <c r="B891" s="20"/>
      <c r="G891" s="556"/>
      <c r="H891" s="556"/>
      <c r="I891" s="557"/>
      <c r="M891" s="557"/>
    </row>
    <row r="892" spans="2:13" ht="14.5">
      <c r="B892" s="20"/>
      <c r="G892" s="556"/>
      <c r="H892" s="556"/>
      <c r="I892" s="557"/>
      <c r="M892" s="557"/>
    </row>
    <row r="893" spans="2:13" ht="14.5">
      <c r="B893" s="20"/>
      <c r="G893" s="556"/>
      <c r="H893" s="556"/>
      <c r="I893" s="557"/>
      <c r="M893" s="557"/>
    </row>
    <row r="894" spans="2:13" ht="14.5">
      <c r="B894" s="20"/>
      <c r="G894" s="556"/>
      <c r="H894" s="556"/>
      <c r="I894" s="557"/>
      <c r="M894" s="557"/>
    </row>
    <row r="895" spans="2:13" ht="14.5">
      <c r="B895" s="20"/>
      <c r="G895" s="556"/>
      <c r="H895" s="556"/>
      <c r="I895" s="557"/>
      <c r="M895" s="557"/>
    </row>
    <row r="896" spans="2:13" ht="14.5">
      <c r="B896" s="20"/>
      <c r="G896" s="556"/>
      <c r="H896" s="556"/>
      <c r="I896" s="557"/>
      <c r="M896" s="557"/>
    </row>
    <row r="897" spans="2:13" ht="14.5">
      <c r="B897" s="20"/>
      <c r="G897" s="556"/>
      <c r="H897" s="556"/>
      <c r="I897" s="557"/>
      <c r="M897" s="557"/>
    </row>
    <row r="898" spans="2:13" ht="14.5">
      <c r="B898" s="20"/>
      <c r="G898" s="556"/>
      <c r="H898" s="556"/>
      <c r="I898" s="557"/>
      <c r="M898" s="557"/>
    </row>
    <row r="899" spans="2:13" ht="14.5">
      <c r="B899" s="20"/>
      <c r="G899" s="556"/>
      <c r="H899" s="556"/>
      <c r="I899" s="557"/>
      <c r="M899" s="557"/>
    </row>
    <row r="900" spans="2:13" ht="14.5">
      <c r="B900" s="20"/>
      <c r="G900" s="556"/>
      <c r="H900" s="556"/>
      <c r="I900" s="557"/>
      <c r="M900" s="557"/>
    </row>
    <row r="901" spans="2:13" ht="14.5">
      <c r="B901" s="20"/>
      <c r="G901" s="556"/>
      <c r="H901" s="556"/>
      <c r="I901" s="557"/>
      <c r="M901" s="557"/>
    </row>
    <row r="902" spans="2:13" ht="14.5">
      <c r="B902" s="20"/>
      <c r="G902" s="556"/>
      <c r="H902" s="556"/>
      <c r="I902" s="557"/>
      <c r="M902" s="557"/>
    </row>
    <row r="903" spans="2:13" ht="14.5">
      <c r="B903" s="20"/>
      <c r="G903" s="556"/>
      <c r="H903" s="556"/>
      <c r="I903" s="557"/>
      <c r="M903" s="557"/>
    </row>
    <row r="904" spans="2:13" ht="14.5">
      <c r="B904" s="20"/>
      <c r="G904" s="556"/>
      <c r="H904" s="556"/>
      <c r="I904" s="557"/>
      <c r="M904" s="557"/>
    </row>
    <row r="905" spans="2:13" ht="14.5">
      <c r="B905" s="20"/>
      <c r="G905" s="556"/>
      <c r="H905" s="556"/>
      <c r="I905" s="557"/>
      <c r="M905" s="557"/>
    </row>
    <row r="906" spans="2:13" ht="14.5">
      <c r="B906" s="20"/>
      <c r="G906" s="556"/>
      <c r="H906" s="556"/>
      <c r="I906" s="557"/>
      <c r="M906" s="557"/>
    </row>
    <row r="907" spans="2:13" ht="14.5">
      <c r="B907" s="20"/>
      <c r="G907" s="556"/>
      <c r="H907" s="556"/>
      <c r="I907" s="557"/>
      <c r="M907" s="557"/>
    </row>
    <row r="908" spans="2:13" ht="14.5">
      <c r="B908" s="20"/>
      <c r="G908" s="556"/>
      <c r="H908" s="556"/>
      <c r="I908" s="557"/>
      <c r="M908" s="557"/>
    </row>
    <row r="909" spans="2:13" ht="14.5">
      <c r="B909" s="20"/>
      <c r="G909" s="556"/>
      <c r="H909" s="556"/>
      <c r="I909" s="557"/>
      <c r="M909" s="557"/>
    </row>
    <row r="910" spans="2:13" ht="14.5">
      <c r="B910" s="20"/>
      <c r="G910" s="556"/>
      <c r="H910" s="556"/>
      <c r="I910" s="557"/>
      <c r="M910" s="557"/>
    </row>
    <row r="911" spans="2:13" ht="14.5">
      <c r="B911" s="20"/>
      <c r="G911" s="556"/>
      <c r="H911" s="556"/>
      <c r="I911" s="557"/>
      <c r="M911" s="557"/>
    </row>
    <row r="912" spans="2:13" ht="14.5">
      <c r="B912" s="20"/>
      <c r="G912" s="556"/>
      <c r="H912" s="556"/>
      <c r="I912" s="557"/>
      <c r="M912" s="557"/>
    </row>
    <row r="913" spans="2:13" ht="14.5">
      <c r="B913" s="20"/>
      <c r="G913" s="556"/>
      <c r="H913" s="556"/>
      <c r="I913" s="557"/>
      <c r="M913" s="557"/>
    </row>
    <row r="914" spans="2:13" ht="14.5">
      <c r="B914" s="20"/>
      <c r="G914" s="556"/>
      <c r="H914" s="556"/>
      <c r="I914" s="557"/>
      <c r="M914" s="557"/>
    </row>
    <row r="915" spans="2:13" ht="14.5">
      <c r="B915" s="20"/>
      <c r="G915" s="556"/>
      <c r="H915" s="556"/>
      <c r="I915" s="557"/>
      <c r="M915" s="557"/>
    </row>
    <row r="916" spans="2:13" ht="14.5">
      <c r="B916" s="20"/>
      <c r="G916" s="556"/>
      <c r="H916" s="556"/>
      <c r="I916" s="557"/>
      <c r="M916" s="557"/>
    </row>
    <row r="917" spans="2:13" ht="14.5">
      <c r="B917" s="20"/>
      <c r="G917" s="556"/>
      <c r="H917" s="556"/>
      <c r="I917" s="557"/>
      <c r="M917" s="557"/>
    </row>
    <row r="918" spans="2:13" ht="14.5">
      <c r="B918" s="20"/>
      <c r="G918" s="556"/>
      <c r="H918" s="556"/>
      <c r="I918" s="557"/>
      <c r="M918" s="557"/>
    </row>
    <row r="919" spans="2:13" ht="14.5">
      <c r="B919" s="20"/>
      <c r="G919" s="556"/>
      <c r="H919" s="556"/>
      <c r="I919" s="557"/>
      <c r="M919" s="557"/>
    </row>
    <row r="920" spans="2:13" ht="14.5">
      <c r="B920" s="20"/>
      <c r="G920" s="556"/>
      <c r="H920" s="556"/>
      <c r="I920" s="557"/>
      <c r="M920" s="557"/>
    </row>
    <row r="921" spans="2:13" ht="14.5">
      <c r="B921" s="20"/>
      <c r="G921" s="556"/>
      <c r="H921" s="556"/>
      <c r="I921" s="557"/>
      <c r="M921" s="557"/>
    </row>
    <row r="922" spans="2:13" ht="14.5">
      <c r="B922" s="20"/>
      <c r="G922" s="556"/>
      <c r="H922" s="556"/>
      <c r="I922" s="557"/>
      <c r="M922" s="557"/>
    </row>
    <row r="923" spans="2:13" ht="14.5">
      <c r="B923" s="20"/>
      <c r="G923" s="556"/>
      <c r="H923" s="556"/>
      <c r="I923" s="557"/>
      <c r="M923" s="557"/>
    </row>
    <row r="924" spans="2:13" ht="14.5">
      <c r="B924" s="20"/>
      <c r="G924" s="556"/>
      <c r="H924" s="556"/>
      <c r="I924" s="557"/>
      <c r="M924" s="557"/>
    </row>
    <row r="925" spans="2:13" ht="14.5">
      <c r="B925" s="20"/>
      <c r="G925" s="556"/>
      <c r="H925" s="556"/>
      <c r="I925" s="557"/>
      <c r="M925" s="557"/>
    </row>
    <row r="926" spans="2:13" ht="14.5">
      <c r="B926" s="20"/>
      <c r="G926" s="556"/>
      <c r="H926" s="556"/>
      <c r="I926" s="557"/>
      <c r="M926" s="557"/>
    </row>
    <row r="927" spans="2:13" ht="14.5">
      <c r="B927" s="20"/>
      <c r="G927" s="556"/>
      <c r="H927" s="556"/>
      <c r="I927" s="557"/>
      <c r="M927" s="557"/>
    </row>
    <row r="928" spans="2:13" ht="14.5">
      <c r="B928" s="20"/>
      <c r="G928" s="556"/>
      <c r="H928" s="556"/>
      <c r="I928" s="557"/>
      <c r="M928" s="557"/>
    </row>
    <row r="929" spans="2:13" ht="14.5">
      <c r="B929" s="20"/>
      <c r="G929" s="556"/>
      <c r="H929" s="556"/>
      <c r="I929" s="557"/>
      <c r="M929" s="557"/>
    </row>
    <row r="930" spans="2:13" ht="14.5">
      <c r="B930" s="20"/>
      <c r="G930" s="556"/>
      <c r="H930" s="556"/>
      <c r="I930" s="557"/>
      <c r="M930" s="557"/>
    </row>
    <row r="931" spans="2:13" ht="14.5">
      <c r="B931" s="20"/>
      <c r="G931" s="556"/>
      <c r="H931" s="556"/>
      <c r="I931" s="557"/>
      <c r="M931" s="557"/>
    </row>
    <row r="932" spans="2:13" ht="14.5">
      <c r="B932" s="20"/>
      <c r="G932" s="556"/>
      <c r="H932" s="556"/>
      <c r="I932" s="557"/>
      <c r="M932" s="557"/>
    </row>
    <row r="933" spans="2:13" ht="14.5">
      <c r="B933" s="20"/>
      <c r="G933" s="556"/>
      <c r="H933" s="556"/>
      <c r="I933" s="557"/>
      <c r="M933" s="557"/>
    </row>
    <row r="934" spans="2:13" ht="14.5">
      <c r="B934" s="20"/>
      <c r="G934" s="556"/>
      <c r="H934" s="556"/>
      <c r="I934" s="557"/>
      <c r="M934" s="557"/>
    </row>
    <row r="935" spans="2:13" ht="14.5">
      <c r="B935" s="20"/>
      <c r="G935" s="556"/>
      <c r="H935" s="556"/>
      <c r="I935" s="557"/>
      <c r="M935" s="557"/>
    </row>
    <row r="936" spans="2:13" ht="14.5">
      <c r="B936" s="20"/>
      <c r="G936" s="556"/>
      <c r="H936" s="556"/>
      <c r="I936" s="557"/>
      <c r="M936" s="557"/>
    </row>
    <row r="937" spans="2:13" ht="14.5">
      <c r="B937" s="20"/>
      <c r="G937" s="556"/>
      <c r="H937" s="556"/>
      <c r="I937" s="557"/>
      <c r="M937" s="557"/>
    </row>
    <row r="938" spans="2:13" ht="14.5">
      <c r="B938" s="20"/>
      <c r="G938" s="556"/>
      <c r="H938" s="556"/>
      <c r="I938" s="557"/>
      <c r="M938" s="557"/>
    </row>
    <row r="939" spans="2:13" ht="14.5">
      <c r="B939" s="20"/>
      <c r="G939" s="556"/>
      <c r="H939" s="556"/>
      <c r="I939" s="557"/>
      <c r="M939" s="557"/>
    </row>
    <row r="940" spans="2:13" ht="14.5">
      <c r="B940" s="20"/>
      <c r="G940" s="556"/>
      <c r="H940" s="556"/>
      <c r="I940" s="557"/>
      <c r="M940" s="557"/>
    </row>
    <row r="941" spans="2:13" ht="14.5">
      <c r="B941" s="20"/>
      <c r="G941" s="556"/>
      <c r="H941" s="556"/>
      <c r="I941" s="557"/>
      <c r="M941" s="557"/>
    </row>
    <row r="942" spans="2:13" ht="14.5">
      <c r="B942" s="20"/>
      <c r="G942" s="556"/>
      <c r="H942" s="556"/>
      <c r="I942" s="557"/>
      <c r="M942" s="557"/>
    </row>
    <row r="943" spans="2:13" ht="14.5">
      <c r="B943" s="20"/>
      <c r="G943" s="556"/>
      <c r="H943" s="556"/>
      <c r="I943" s="557"/>
      <c r="M943" s="557"/>
    </row>
    <row r="944" spans="2:13" ht="14.5">
      <c r="B944" s="20"/>
      <c r="G944" s="556"/>
      <c r="H944" s="556"/>
      <c r="I944" s="557"/>
      <c r="M944" s="557"/>
    </row>
    <row r="945" spans="2:13" ht="14.5">
      <c r="B945" s="20"/>
      <c r="G945" s="556"/>
      <c r="H945" s="556"/>
      <c r="I945" s="557"/>
      <c r="M945" s="557"/>
    </row>
    <row r="946" spans="2:13" ht="14.5">
      <c r="B946" s="20"/>
      <c r="G946" s="556"/>
      <c r="H946" s="556"/>
      <c r="I946" s="557"/>
      <c r="M946" s="557"/>
    </row>
    <row r="947" spans="2:13" ht="14.5">
      <c r="B947" s="20"/>
      <c r="G947" s="556"/>
      <c r="H947" s="556"/>
      <c r="I947" s="557"/>
      <c r="M947" s="557"/>
    </row>
    <row r="948" spans="2:13" ht="14.5">
      <c r="B948" s="20"/>
      <c r="G948" s="556"/>
      <c r="H948" s="556"/>
      <c r="I948" s="557"/>
      <c r="M948" s="557"/>
    </row>
    <row r="949" spans="2:13" ht="14.5">
      <c r="B949" s="20"/>
      <c r="G949" s="556"/>
      <c r="H949" s="556"/>
      <c r="I949" s="557"/>
      <c r="M949" s="557"/>
    </row>
    <row r="950" spans="2:13" ht="14.5">
      <c r="B950" s="20"/>
      <c r="G950" s="556"/>
      <c r="H950" s="556"/>
      <c r="I950" s="557"/>
      <c r="M950" s="557"/>
    </row>
    <row r="951" spans="2:13" ht="14.5">
      <c r="B951" s="20"/>
      <c r="G951" s="556"/>
      <c r="H951" s="556"/>
      <c r="I951" s="557"/>
      <c r="M951" s="557"/>
    </row>
    <row r="952" spans="2:13" ht="14.5">
      <c r="B952" s="20"/>
      <c r="G952" s="556"/>
      <c r="H952" s="556"/>
      <c r="I952" s="557"/>
      <c r="M952" s="557"/>
    </row>
    <row r="953" spans="2:13" ht="14.5">
      <c r="B953" s="20"/>
      <c r="G953" s="556"/>
      <c r="H953" s="556"/>
      <c r="I953" s="557"/>
      <c r="M953" s="557"/>
    </row>
    <row r="954" spans="2:13" ht="14.5">
      <c r="B954" s="20"/>
      <c r="G954" s="556"/>
      <c r="H954" s="556"/>
      <c r="I954" s="557"/>
      <c r="M954" s="557"/>
    </row>
    <row r="955" spans="2:13" ht="14.5">
      <c r="B955" s="20"/>
      <c r="G955" s="556"/>
      <c r="H955" s="556"/>
      <c r="I955" s="557"/>
      <c r="M955" s="557"/>
    </row>
    <row r="956" spans="2:13" ht="14.5">
      <c r="B956" s="20"/>
      <c r="G956" s="556"/>
      <c r="H956" s="556"/>
      <c r="I956" s="557"/>
      <c r="M956" s="557"/>
    </row>
    <row r="957" spans="2:13" ht="14.5">
      <c r="B957" s="20"/>
      <c r="G957" s="556"/>
      <c r="H957" s="556"/>
      <c r="I957" s="557"/>
      <c r="M957" s="557"/>
    </row>
    <row r="958" spans="2:13" ht="14.5">
      <c r="B958" s="20"/>
      <c r="G958" s="556"/>
      <c r="H958" s="556"/>
      <c r="I958" s="557"/>
      <c r="M958" s="557"/>
    </row>
    <row r="959" spans="2:13" ht="14.5">
      <c r="B959" s="20"/>
      <c r="G959" s="556"/>
      <c r="H959" s="556"/>
      <c r="I959" s="557"/>
      <c r="M959" s="557"/>
    </row>
    <row r="960" spans="2:13" ht="14.5">
      <c r="B960" s="20"/>
      <c r="G960" s="556"/>
      <c r="H960" s="556"/>
      <c r="I960" s="557"/>
      <c r="M960" s="557"/>
    </row>
    <row r="961" spans="2:13" ht="14.5">
      <c r="B961" s="20"/>
      <c r="G961" s="556"/>
      <c r="H961" s="556"/>
      <c r="I961" s="557"/>
      <c r="M961" s="557"/>
    </row>
    <row r="962" spans="2:13" ht="14.5">
      <c r="B962" s="20"/>
      <c r="G962" s="556"/>
      <c r="H962" s="556"/>
      <c r="I962" s="557"/>
      <c r="M962" s="557"/>
    </row>
    <row r="963" spans="2:13" ht="14.5">
      <c r="B963" s="20"/>
      <c r="G963" s="556"/>
      <c r="H963" s="556"/>
      <c r="I963" s="557"/>
      <c r="M963" s="557"/>
    </row>
    <row r="964" spans="2:13" ht="14.5">
      <c r="B964" s="20"/>
      <c r="G964" s="556"/>
      <c r="H964" s="556"/>
      <c r="I964" s="557"/>
      <c r="M964" s="557"/>
    </row>
    <row r="965" spans="2:13" ht="14.5">
      <c r="B965" s="20"/>
      <c r="G965" s="556"/>
      <c r="H965" s="556"/>
      <c r="I965" s="557"/>
      <c r="M965" s="557"/>
    </row>
    <row r="966" spans="2:13" ht="14.5">
      <c r="B966" s="20"/>
      <c r="G966" s="556"/>
      <c r="H966" s="556"/>
      <c r="I966" s="557"/>
      <c r="M966" s="557"/>
    </row>
    <row r="967" spans="2:13" ht="14.5">
      <c r="B967" s="20"/>
      <c r="G967" s="556"/>
      <c r="H967" s="556"/>
      <c r="I967" s="557"/>
      <c r="M967" s="557"/>
    </row>
    <row r="968" spans="2:13" ht="14.5">
      <c r="B968" s="20"/>
      <c r="G968" s="556"/>
      <c r="H968" s="556"/>
      <c r="I968" s="557"/>
      <c r="M968" s="557"/>
    </row>
    <row r="969" spans="2:13" ht="14.5">
      <c r="B969" s="20"/>
      <c r="G969" s="556"/>
      <c r="H969" s="556"/>
      <c r="I969" s="557"/>
      <c r="M969" s="557"/>
    </row>
    <row r="970" spans="2:13" ht="14.5">
      <c r="B970" s="20"/>
      <c r="G970" s="556"/>
      <c r="H970" s="556"/>
      <c r="I970" s="557"/>
      <c r="M970" s="557"/>
    </row>
    <row r="971" spans="2:13" ht="14.5">
      <c r="B971" s="20"/>
      <c r="G971" s="556"/>
      <c r="H971" s="556"/>
      <c r="I971" s="557"/>
      <c r="M971" s="557"/>
    </row>
    <row r="972" spans="2:13" ht="14.5">
      <c r="B972" s="20"/>
      <c r="G972" s="556"/>
      <c r="H972" s="556"/>
      <c r="I972" s="557"/>
      <c r="M972" s="557"/>
    </row>
    <row r="973" spans="2:13" ht="14.5">
      <c r="B973" s="20"/>
      <c r="G973" s="556"/>
      <c r="H973" s="556"/>
      <c r="I973" s="557"/>
      <c r="M973" s="557"/>
    </row>
    <row r="974" spans="2:13" ht="14.5">
      <c r="B974" s="20"/>
      <c r="G974" s="556"/>
      <c r="H974" s="556"/>
      <c r="I974" s="557"/>
      <c r="M974" s="557"/>
    </row>
    <row r="975" spans="2:13" ht="14.5">
      <c r="B975" s="20"/>
      <c r="G975" s="556"/>
      <c r="H975" s="556"/>
      <c r="I975" s="557"/>
      <c r="M975" s="557"/>
    </row>
    <row r="976" spans="2:13" ht="14.5">
      <c r="B976" s="20"/>
      <c r="G976" s="556"/>
      <c r="H976" s="556"/>
      <c r="I976" s="557"/>
      <c r="M976" s="557"/>
    </row>
    <row r="977" spans="2:13" ht="14.5">
      <c r="B977" s="20"/>
      <c r="G977" s="556"/>
      <c r="H977" s="556"/>
      <c r="I977" s="557"/>
      <c r="M977" s="557"/>
    </row>
    <row r="978" spans="2:13" ht="14.5">
      <c r="B978" s="20"/>
      <c r="G978" s="556"/>
      <c r="H978" s="556"/>
      <c r="I978" s="557"/>
      <c r="M978" s="557"/>
    </row>
    <row r="979" spans="2:13" ht="14.5">
      <c r="B979" s="20"/>
      <c r="G979" s="556"/>
      <c r="H979" s="556"/>
      <c r="I979" s="557"/>
      <c r="M979" s="557"/>
    </row>
    <row r="980" spans="2:13" ht="14.5">
      <c r="B980" s="20"/>
      <c r="G980" s="556"/>
      <c r="H980" s="556"/>
      <c r="I980" s="557"/>
      <c r="M980" s="557"/>
    </row>
    <row r="981" spans="2:13" ht="14.5">
      <c r="B981" s="20"/>
      <c r="G981" s="556"/>
      <c r="H981" s="556"/>
      <c r="I981" s="557"/>
      <c r="M981" s="557"/>
    </row>
    <row r="982" spans="2:13" ht="14.5">
      <c r="B982" s="20"/>
      <c r="G982" s="556"/>
      <c r="H982" s="556"/>
      <c r="I982" s="557"/>
      <c r="M982" s="557"/>
    </row>
    <row r="983" spans="2:13" ht="14.5">
      <c r="B983" s="20"/>
      <c r="G983" s="556"/>
      <c r="H983" s="556"/>
      <c r="I983" s="557"/>
      <c r="M983" s="557"/>
    </row>
    <row r="984" spans="2:13" ht="14.5">
      <c r="B984" s="20"/>
      <c r="G984" s="556"/>
      <c r="H984" s="556"/>
      <c r="I984" s="557"/>
      <c r="M984" s="557"/>
    </row>
    <row r="985" spans="2:13" ht="14.5">
      <c r="B985" s="20"/>
      <c r="G985" s="556"/>
      <c r="H985" s="556"/>
      <c r="I985" s="557"/>
      <c r="M985" s="557"/>
    </row>
    <row r="986" spans="2:13" ht="14.5">
      <c r="B986" s="20"/>
      <c r="G986" s="556"/>
      <c r="H986" s="556"/>
      <c r="I986" s="557"/>
      <c r="M986" s="557"/>
    </row>
    <row r="987" spans="2:13" ht="14.5">
      <c r="B987" s="20"/>
      <c r="G987" s="556"/>
      <c r="H987" s="556"/>
      <c r="I987" s="557"/>
      <c r="M987" s="557"/>
    </row>
    <row r="988" spans="2:13" ht="14.5">
      <c r="B988" s="20"/>
      <c r="G988" s="556"/>
      <c r="H988" s="556"/>
      <c r="I988" s="557"/>
      <c r="M988" s="557"/>
    </row>
    <row r="989" spans="2:13" ht="14.5">
      <c r="B989" s="20"/>
      <c r="G989" s="556"/>
      <c r="H989" s="556"/>
      <c r="I989" s="557"/>
      <c r="M989" s="557"/>
    </row>
    <row r="990" spans="2:13" ht="14.5">
      <c r="B990" s="20"/>
      <c r="G990" s="556"/>
      <c r="H990" s="556"/>
      <c r="I990" s="557"/>
      <c r="M990" s="557"/>
    </row>
    <row r="991" spans="2:13" ht="14.5">
      <c r="B991" s="20"/>
      <c r="G991" s="556"/>
      <c r="H991" s="556"/>
      <c r="I991" s="557"/>
      <c r="M991" s="557"/>
    </row>
    <row r="992" spans="2:13" ht="14.5">
      <c r="B992" s="20"/>
      <c r="G992" s="556"/>
      <c r="H992" s="556"/>
      <c r="I992" s="557"/>
      <c r="M992" s="557"/>
    </row>
    <row r="993" spans="2:13" ht="14.5">
      <c r="B993" s="20"/>
      <c r="G993" s="556"/>
      <c r="H993" s="556"/>
      <c r="I993" s="557"/>
      <c r="M993" s="557"/>
    </row>
    <row r="994" spans="2:13" ht="14.5">
      <c r="B994" s="20"/>
      <c r="G994" s="556"/>
      <c r="H994" s="556"/>
      <c r="I994" s="557"/>
      <c r="M994" s="557"/>
    </row>
    <row r="995" spans="2:13" ht="14.5">
      <c r="B995" s="20"/>
      <c r="G995" s="556"/>
      <c r="H995" s="556"/>
      <c r="I995" s="557"/>
      <c r="M995" s="557"/>
    </row>
    <row r="996" spans="2:13" ht="14.5">
      <c r="B996" s="20"/>
      <c r="G996" s="556"/>
      <c r="H996" s="556"/>
      <c r="I996" s="557"/>
      <c r="M996" s="557"/>
    </row>
    <row r="997" spans="2:13" ht="14.5">
      <c r="B997" s="20"/>
      <c r="G997" s="556"/>
      <c r="H997" s="556"/>
      <c r="I997" s="557"/>
      <c r="M997" s="557"/>
    </row>
    <row r="998" spans="2:13" ht="14.5">
      <c r="B998" s="20"/>
      <c r="G998" s="556"/>
      <c r="H998" s="556"/>
      <c r="I998" s="557"/>
      <c r="M998" s="557"/>
    </row>
    <row r="999" spans="2:13" ht="14.5">
      <c r="B999" s="20"/>
      <c r="G999" s="556"/>
      <c r="H999" s="556"/>
      <c r="I999" s="557"/>
      <c r="M999" s="557"/>
    </row>
    <row r="1000" spans="2:13" ht="14.5">
      <c r="B1000" s="20"/>
      <c r="G1000" s="556"/>
      <c r="H1000" s="556"/>
      <c r="I1000" s="557"/>
      <c r="M1000" s="557"/>
    </row>
  </sheetData>
  <mergeCells count="4">
    <mergeCell ref="J1:K1"/>
    <mergeCell ref="L1:L2"/>
    <mergeCell ref="M1:M2"/>
    <mergeCell ref="J2:K2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115" zoomScaleNormal="115" workbookViewId="0">
      <selection activeCell="H25" sqref="H25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22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9" t="s">
        <v>46</v>
      </c>
      <c r="B1" s="870"/>
      <c r="C1" s="870"/>
      <c r="D1" s="870"/>
      <c r="E1" s="870"/>
      <c r="F1" s="870"/>
      <c r="G1" s="404"/>
      <c r="H1" s="404"/>
      <c r="I1" s="39"/>
    </row>
    <row r="2" spans="1:17" ht="14.5">
      <c r="A2" s="867" t="s">
        <v>47</v>
      </c>
      <c r="B2" s="868"/>
      <c r="C2" s="867" t="s">
        <v>48</v>
      </c>
      <c r="D2" s="868"/>
      <c r="E2" s="867" t="s">
        <v>49</v>
      </c>
      <c r="F2" s="868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10000</v>
      </c>
      <c r="C3" s="405" t="s">
        <v>50</v>
      </c>
      <c r="D3" s="406">
        <f>B3</f>
        <v>10000</v>
      </c>
      <c r="E3" s="407" t="s">
        <v>51</v>
      </c>
      <c r="F3" s="408">
        <v>3.2499999999999999E-4</v>
      </c>
      <c r="G3" s="404">
        <v>100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11.52</v>
      </c>
      <c r="C4" s="407" t="s">
        <v>52</v>
      </c>
      <c r="D4" s="409">
        <f>H4/100</f>
        <v>11.71</v>
      </c>
      <c r="E4" s="410" t="s">
        <v>53</v>
      </c>
      <c r="F4" s="411">
        <f>B7+(B5*F3)</f>
        <v>47.239999999999995</v>
      </c>
      <c r="G4" s="404">
        <v>1152</v>
      </c>
      <c r="H4" s="404">
        <v>1171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115200</v>
      </c>
      <c r="C5" s="407" t="s">
        <v>55</v>
      </c>
      <c r="D5" s="412">
        <f>D4*D3</f>
        <v>117100.00000000001</v>
      </c>
      <c r="E5" s="407" t="s">
        <v>56</v>
      </c>
      <c r="F5" s="413">
        <f>B7+(D5*F3)</f>
        <v>47.857500000000002</v>
      </c>
      <c r="G5" s="404"/>
      <c r="H5" s="404"/>
      <c r="I5" s="39"/>
    </row>
    <row r="6" spans="1:17" ht="14.5">
      <c r="A6" s="410" t="s">
        <v>57</v>
      </c>
      <c r="B6" s="411">
        <f>B5+F4</f>
        <v>115247.24</v>
      </c>
      <c r="C6" s="410" t="s">
        <v>57</v>
      </c>
      <c r="D6" s="414">
        <f>D5-F5</f>
        <v>117052.14250000002</v>
      </c>
      <c r="E6" s="410" t="s">
        <v>58</v>
      </c>
      <c r="F6" s="411">
        <f>D5-B5-F4-F5</f>
        <v>1804.9025000000145</v>
      </c>
      <c r="G6" s="404"/>
      <c r="H6" s="404"/>
      <c r="I6" s="39" t="str">
        <f ca="1">CONCATENATE("'",TEXT(DAY($I$7),"00"),"/",TEXT(MONTH($I$7),"00"),"/",TEXT(YEAR($I$7),"0000"),"', '",ROUND(F7*100,2),"', '",ROUND(F6,2),"'")</f>
        <v>'13/06/2023', '1,57', '1804,9'</v>
      </c>
      <c r="K6" s="415"/>
      <c r="M6" s="39">
        <v>122859.72</v>
      </c>
      <c r="N6" s="39">
        <v>100</v>
      </c>
      <c r="Q6" s="39">
        <v>-3.26</v>
      </c>
    </row>
    <row r="7" spans="1:17" ht="14.5">
      <c r="A7" s="416" t="s">
        <v>59</v>
      </c>
      <c r="B7" s="417">
        <f>4.9+(4.9*INT(B5/100000))</f>
        <v>9.8000000000000007</v>
      </c>
      <c r="C7" s="418" t="s">
        <v>60</v>
      </c>
      <c r="D7" s="419">
        <f>(D4-B4)/B4</f>
        <v>1.6493055555555667E-2</v>
      </c>
      <c r="E7" s="418" t="s">
        <v>60</v>
      </c>
      <c r="F7" s="419">
        <f>F6/B6</f>
        <v>1.5661134270981366E-2</v>
      </c>
      <c r="G7" s="404"/>
      <c r="H7" s="404"/>
      <c r="I7" s="420" t="str">
        <f ca="1">CONCATENATE(DAY(NOW()),"/",MONTH(NOW()),"/",YEAR(NOW()))</f>
        <v>13/6/2023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69" t="s">
        <v>62</v>
      </c>
      <c r="B8" s="870"/>
      <c r="C8" s="870"/>
      <c r="D8" s="870"/>
      <c r="E8" s="870"/>
      <c r="F8" s="870"/>
      <c r="G8" s="404"/>
      <c r="H8" s="404"/>
      <c r="O8" s="39">
        <v>-1.94</v>
      </c>
      <c r="Q8" s="39">
        <f>Q6+Q7</f>
        <v>-3.69</v>
      </c>
    </row>
    <row r="9" spans="1:17" ht="14.5">
      <c r="A9" s="867" t="s">
        <v>47</v>
      </c>
      <c r="B9" s="868"/>
      <c r="C9" s="867" t="s">
        <v>48</v>
      </c>
      <c r="D9" s="868"/>
      <c r="E9" s="867" t="s">
        <v>49</v>
      </c>
      <c r="F9" s="868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19000</v>
      </c>
      <c r="C10" s="405" t="s">
        <v>50</v>
      </c>
      <c r="D10" s="406">
        <f>B10</f>
        <v>19000</v>
      </c>
      <c r="E10" s="407" t="s">
        <v>51</v>
      </c>
      <c r="F10" s="408">
        <v>3.2499999999999999E-4</v>
      </c>
      <c r="G10" s="404">
        <v>190</v>
      </c>
      <c r="H10" s="404"/>
      <c r="I10" s="404"/>
    </row>
    <row r="11" spans="1:17" ht="15.5">
      <c r="A11" s="407" t="s">
        <v>52</v>
      </c>
      <c r="B11" s="409">
        <f>G11/100</f>
        <v>5.83</v>
      </c>
      <c r="C11" s="407" t="s">
        <v>52</v>
      </c>
      <c r="D11" s="409">
        <f>H11/100</f>
        <v>5.9</v>
      </c>
      <c r="E11" s="410" t="s">
        <v>53</v>
      </c>
      <c r="F11" s="411">
        <f>B14+(B12*F10)</f>
        <v>45.800250000000005</v>
      </c>
      <c r="G11" s="404">
        <v>583</v>
      </c>
      <c r="H11" s="404">
        <v>590</v>
      </c>
      <c r="I11" s="404"/>
    </row>
    <row r="12" spans="1:17" ht="14.5">
      <c r="A12" s="407" t="s">
        <v>55</v>
      </c>
      <c r="B12" s="412">
        <f>B11*B10</f>
        <v>110770</v>
      </c>
      <c r="C12" s="407" t="s">
        <v>55</v>
      </c>
      <c r="D12" s="412">
        <f>D11*D10</f>
        <v>112100</v>
      </c>
      <c r="E12" s="407" t="s">
        <v>56</v>
      </c>
      <c r="F12" s="413">
        <f>B14+(D12*F10)</f>
        <v>46.232500000000002</v>
      </c>
      <c r="G12" s="404"/>
      <c r="H12" s="404"/>
      <c r="I12" s="404"/>
    </row>
    <row r="13" spans="1:17" ht="14.5">
      <c r="A13" s="410" t="s">
        <v>57</v>
      </c>
      <c r="B13" s="411">
        <f>B12+F11</f>
        <v>110815.80025</v>
      </c>
      <c r="C13" s="410" t="s">
        <v>57</v>
      </c>
      <c r="D13" s="414">
        <f>D12-F12</f>
        <v>112053.7675</v>
      </c>
      <c r="E13" s="410" t="s">
        <v>58</v>
      </c>
      <c r="F13" s="411">
        <f>D12-B12-F11-F12</f>
        <v>1237.9672499999999</v>
      </c>
      <c r="G13" s="404"/>
      <c r="H13" s="404"/>
      <c r="I13" s="39" t="str">
        <f ca="1">CONCATENATE("'",TEXT(DAY($I$7),"00"),"/",TEXT(MONTH($I$7),"00"),"/",TEXT(YEAR($I$7),"0000"),"', '",ROUND(F14*100,2),"', '",ROUND(F13,2),"'")</f>
        <v>'13/06/2023', '1,12', '1237,97'</v>
      </c>
    </row>
    <row r="14" spans="1:17" ht="14.5">
      <c r="A14" s="416" t="s">
        <v>59</v>
      </c>
      <c r="B14" s="417">
        <f>4.9+(4.9*INT(B12/100000))</f>
        <v>9.8000000000000007</v>
      </c>
      <c r="C14" s="418" t="s">
        <v>60</v>
      </c>
      <c r="D14" s="419">
        <f>(D11-B11)/B11</f>
        <v>1.2006861063464885E-2</v>
      </c>
      <c r="E14" s="418" t="s">
        <v>60</v>
      </c>
      <c r="F14" s="419">
        <f>F13/B13</f>
        <v>1.1171396562648565E-2</v>
      </c>
      <c r="G14" s="404"/>
      <c r="H14" s="404"/>
      <c r="K14" s="39">
        <v>330</v>
      </c>
    </row>
    <row r="15" spans="1:17" ht="21">
      <c r="A15" s="869" t="s">
        <v>63</v>
      </c>
      <c r="B15" s="870"/>
      <c r="C15" s="870"/>
      <c r="D15" s="870"/>
      <c r="E15" s="870"/>
      <c r="F15" s="870"/>
      <c r="G15" s="404"/>
      <c r="H15" s="404"/>
    </row>
    <row r="16" spans="1:17" ht="14.5">
      <c r="A16" s="867" t="s">
        <v>47</v>
      </c>
      <c r="B16" s="868"/>
      <c r="C16" s="867" t="s">
        <v>48</v>
      </c>
      <c r="D16" s="868"/>
      <c r="E16" s="867" t="s">
        <v>49</v>
      </c>
      <c r="F16" s="868"/>
      <c r="G16" s="404"/>
      <c r="H16" s="404"/>
    </row>
    <row r="17" spans="1:10" ht="14.5">
      <c r="A17" s="405" t="s">
        <v>50</v>
      </c>
      <c r="B17" s="406">
        <f>G17*100</f>
        <v>3600</v>
      </c>
      <c r="C17" s="405" t="s">
        <v>50</v>
      </c>
      <c r="D17" s="406">
        <f>B17</f>
        <v>3600</v>
      </c>
      <c r="E17" s="407" t="s">
        <v>51</v>
      </c>
      <c r="F17" s="408">
        <v>3.2499999999999999E-4</v>
      </c>
      <c r="G17" s="588">
        <v>36</v>
      </c>
      <c r="H17" s="588"/>
    </row>
    <row r="18" spans="1:10" ht="15.5">
      <c r="A18" s="407" t="s">
        <v>52</v>
      </c>
      <c r="B18" s="409">
        <f>G18/100</f>
        <v>32.28</v>
      </c>
      <c r="C18" s="407" t="s">
        <v>52</v>
      </c>
      <c r="D18" s="409">
        <f>H18/100</f>
        <v>32.79</v>
      </c>
      <c r="E18" s="410" t="s">
        <v>53</v>
      </c>
      <c r="F18" s="411">
        <f>B21+(B19*F17)</f>
        <v>47.567599999999999</v>
      </c>
      <c r="G18" s="588">
        <v>3228</v>
      </c>
      <c r="H18" s="588">
        <v>3279</v>
      </c>
      <c r="I18" s="422"/>
      <c r="J18" s="404"/>
    </row>
    <row r="19" spans="1:10" ht="14.5">
      <c r="A19" s="407" t="s">
        <v>55</v>
      </c>
      <c r="B19" s="412">
        <f>B18*B17</f>
        <v>116208</v>
      </c>
      <c r="C19" s="407" t="s">
        <v>55</v>
      </c>
      <c r="D19" s="412">
        <f>D18*D17</f>
        <v>118044</v>
      </c>
      <c r="E19" s="407" t="s">
        <v>56</v>
      </c>
      <c r="F19" s="413">
        <f>B21+(D19*F17)</f>
        <v>48.164299999999997</v>
      </c>
      <c r="G19" s="404"/>
      <c r="H19" s="404"/>
    </row>
    <row r="20" spans="1:10" ht="14.5">
      <c r="A20" s="410" t="s">
        <v>57</v>
      </c>
      <c r="B20" s="411">
        <f>B19+F18</f>
        <v>116255.56759999999</v>
      </c>
      <c r="C20" s="410" t="s">
        <v>57</v>
      </c>
      <c r="D20" s="414">
        <f>D19-F19</f>
        <v>117995.8357</v>
      </c>
      <c r="E20" s="410" t="s">
        <v>58</v>
      </c>
      <c r="F20" s="411">
        <f>D19-B19-F18-F19</f>
        <v>1740.2681</v>
      </c>
      <c r="G20" s="404"/>
      <c r="H20" s="404"/>
      <c r="I20" s="39" t="str">
        <f ca="1">CONCATENATE("'",TEXT(DAY($I$7),"00"),"/",TEXT(MONTH($I$7),"00"),"/",TEXT(YEAR($I$7),"0000"),"', '",ROUND(F21*100,2),"', '",ROUND(F20,2),"'")</f>
        <v>'13/06/2023', '1,5', '1740,27'</v>
      </c>
    </row>
    <row r="21" spans="1:10" ht="14.5">
      <c r="A21" s="416" t="s">
        <v>59</v>
      </c>
      <c r="B21" s="417">
        <f>4.9+(4.9*INT(B19/100000))</f>
        <v>9.8000000000000007</v>
      </c>
      <c r="C21" s="418" t="s">
        <v>60</v>
      </c>
      <c r="D21" s="419">
        <f>(D18-B18)/B18</f>
        <v>1.5799256505576145E-2</v>
      </c>
      <c r="E21" s="418" t="s">
        <v>60</v>
      </c>
      <c r="F21" s="419">
        <f>F20/B20</f>
        <v>1.4969331240872115E-2</v>
      </c>
      <c r="G21" s="404"/>
      <c r="H21" s="404"/>
    </row>
    <row r="22" spans="1:10" ht="21">
      <c r="A22" s="871" t="s">
        <v>64</v>
      </c>
      <c r="B22" s="870"/>
      <c r="C22" s="870"/>
      <c r="D22" s="870"/>
      <c r="E22" s="870"/>
      <c r="F22" s="870"/>
      <c r="G22" s="404"/>
      <c r="H22" s="404"/>
    </row>
    <row r="23" spans="1:10" thickBot="1">
      <c r="A23" s="867" t="s">
        <v>47</v>
      </c>
      <c r="B23" s="868"/>
      <c r="C23" s="867" t="s">
        <v>48</v>
      </c>
      <c r="D23" s="868"/>
      <c r="E23" s="867" t="s">
        <v>49</v>
      </c>
      <c r="F23" s="868"/>
      <c r="G23" s="404"/>
      <c r="H23" s="404"/>
      <c r="I23" s="39">
        <v>125865.79</v>
      </c>
    </row>
    <row r="24" spans="1:10" ht="14.5">
      <c r="A24" s="405" t="s">
        <v>50</v>
      </c>
      <c r="B24" s="406">
        <f>G24*100</f>
        <v>9600</v>
      </c>
      <c r="C24" s="405"/>
      <c r="D24" s="406"/>
      <c r="E24" s="407" t="s">
        <v>51</v>
      </c>
      <c r="F24" s="408">
        <v>3.2499999999999999E-4</v>
      </c>
      <c r="G24" s="404">
        <v>96</v>
      </c>
      <c r="H24" s="404"/>
      <c r="I24" s="39">
        <v>31387.1</v>
      </c>
    </row>
    <row r="25" spans="1:10" thickBot="1">
      <c r="A25" s="410" t="s">
        <v>53</v>
      </c>
      <c r="B25" s="411">
        <f>F25+(B27*F24)</f>
        <v>45.617599999999996</v>
      </c>
      <c r="C25" s="407" t="s">
        <v>56</v>
      </c>
      <c r="D25" s="413">
        <f>F25+(D27*F24)</f>
        <v>46.210399999999993</v>
      </c>
      <c r="E25" s="416" t="s">
        <v>59</v>
      </c>
      <c r="F25" s="417">
        <v>9.8000000000000007</v>
      </c>
      <c r="G25" s="404">
        <v>1148</v>
      </c>
      <c r="H25" s="404">
        <v>1167</v>
      </c>
      <c r="I25" s="39">
        <v>96290.18</v>
      </c>
    </row>
    <row r="26" spans="1:10" ht="15.5">
      <c r="A26" s="407" t="s">
        <v>52</v>
      </c>
      <c r="B26" s="409">
        <f>G25/100</f>
        <v>11.48</v>
      </c>
      <c r="C26" s="407" t="s">
        <v>52</v>
      </c>
      <c r="D26" s="409">
        <f>H25/100</f>
        <v>11.67</v>
      </c>
      <c r="E26" s="410" t="s">
        <v>58</v>
      </c>
      <c r="F26" s="411">
        <f>D27-B27-B25-D25</f>
        <v>1732.172</v>
      </c>
      <c r="G26" s="404"/>
      <c r="H26" s="404"/>
      <c r="I26" s="423">
        <f>I25+I24-I23</f>
        <v>1811.4900000000052</v>
      </c>
    </row>
    <row r="27" spans="1:10" thickBot="1">
      <c r="A27" s="407" t="s">
        <v>55</v>
      </c>
      <c r="B27" s="412">
        <f>B26*B24</f>
        <v>110208</v>
      </c>
      <c r="C27" s="407" t="s">
        <v>55</v>
      </c>
      <c r="D27" s="412">
        <f>D26*B24</f>
        <v>112032</v>
      </c>
      <c r="E27" s="418" t="s">
        <v>60</v>
      </c>
      <c r="F27" s="419">
        <f>(D26-B26)/B26</f>
        <v>1.6550522648083581E-2</v>
      </c>
      <c r="G27" s="404"/>
      <c r="H27" s="404"/>
      <c r="I27" s="423"/>
    </row>
    <row r="28" spans="1:10" thickBot="1">
      <c r="A28" s="410" t="s">
        <v>57</v>
      </c>
      <c r="B28" s="411">
        <f>B27+B25</f>
        <v>110253.6176</v>
      </c>
      <c r="C28" s="410" t="s">
        <v>57</v>
      </c>
      <c r="D28" s="414">
        <f>D27-D25</f>
        <v>111985.7896</v>
      </c>
      <c r="E28" s="558" t="s">
        <v>65</v>
      </c>
      <c r="F28" s="419">
        <f>F26/B28</f>
        <v>1.5710795144013488E-2</v>
      </c>
      <c r="G28" s="404"/>
      <c r="H28" s="404"/>
    </row>
    <row r="29" spans="1:10" ht="14.5">
      <c r="G29" s="404"/>
      <c r="H29" s="404"/>
    </row>
    <row r="30" spans="1:10" ht="14.5">
      <c r="G30" s="404"/>
      <c r="H30" s="404"/>
    </row>
    <row r="31" spans="1:10" ht="14.5">
      <c r="G31" s="404"/>
      <c r="H31" s="404"/>
    </row>
    <row r="32" spans="1:10" ht="14.5">
      <c r="D32" s="424"/>
      <c r="E32" s="424"/>
      <c r="F32" s="46"/>
      <c r="G32" s="404"/>
      <c r="H32" s="404"/>
    </row>
    <row r="33" spans="7:8" ht="14.5">
      <c r="G33" s="404"/>
      <c r="H33" s="404"/>
    </row>
    <row r="34" spans="7:8" ht="14.5">
      <c r="G34" s="404"/>
      <c r="H34" s="404"/>
    </row>
    <row r="35" spans="7:8" ht="14.5">
      <c r="G35" s="404"/>
      <c r="H35" s="404"/>
    </row>
    <row r="36" spans="7:8" ht="14.5">
      <c r="G36" s="404"/>
      <c r="H36" s="404"/>
    </row>
    <row r="37" spans="7:8" ht="14.5">
      <c r="G37" s="404"/>
      <c r="H37" s="404"/>
    </row>
    <row r="38" spans="7:8" ht="14.5">
      <c r="G38" s="404"/>
      <c r="H38" s="404"/>
    </row>
    <row r="39" spans="7:8" ht="14.5">
      <c r="G39" s="404"/>
      <c r="H39" s="404"/>
    </row>
    <row r="40" spans="7:8" ht="14.5">
      <c r="G40" s="404"/>
      <c r="H40" s="404"/>
    </row>
    <row r="41" spans="7:8" ht="14.5">
      <c r="G41" s="404"/>
      <c r="H41" s="404"/>
    </row>
    <row r="42" spans="7:8" ht="14.5">
      <c r="G42" s="404"/>
      <c r="H42" s="404"/>
    </row>
    <row r="43" spans="7:8" ht="14.5">
      <c r="G43" s="404"/>
      <c r="H43" s="404"/>
    </row>
    <row r="44" spans="7:8" ht="14.5">
      <c r="G44" s="404"/>
      <c r="H44" s="404"/>
    </row>
    <row r="45" spans="7:8" ht="14.5">
      <c r="G45" s="404"/>
      <c r="H45" s="404"/>
    </row>
    <row r="46" spans="7:8" ht="14.5">
      <c r="G46" s="404"/>
      <c r="H46" s="404"/>
    </row>
    <row r="47" spans="7:8" ht="14.5">
      <c r="G47" s="404"/>
      <c r="H47" s="404"/>
    </row>
    <row r="48" spans="7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  <row r="994" spans="7:8" ht="14.5">
      <c r="G994" s="404"/>
      <c r="H994" s="404"/>
    </row>
    <row r="995" spans="7:8" ht="14.5">
      <c r="G995" s="404"/>
      <c r="H995" s="404"/>
    </row>
    <row r="996" spans="7:8" ht="14.5">
      <c r="G996" s="404"/>
      <c r="H996" s="404"/>
    </row>
    <row r="997" spans="7:8" ht="14.5">
      <c r="G997" s="404"/>
      <c r="H997" s="404"/>
    </row>
    <row r="998" spans="7:8" ht="14.5">
      <c r="G998" s="404"/>
      <c r="H998" s="404"/>
    </row>
    <row r="999" spans="7:8" ht="14.5">
      <c r="G999" s="404"/>
      <c r="H999" s="404"/>
    </row>
    <row r="1000" spans="7:8" ht="14.5">
      <c r="G1000" s="404"/>
      <c r="H1000" s="404"/>
    </row>
  </sheetData>
  <mergeCells count="16">
    <mergeCell ref="A1:F1"/>
    <mergeCell ref="A2:B2"/>
    <mergeCell ref="C2:D2"/>
    <mergeCell ref="E2:F2"/>
    <mergeCell ref="A8:F8"/>
    <mergeCell ref="A9:B9"/>
    <mergeCell ref="C9:D9"/>
    <mergeCell ref="C23:D23"/>
    <mergeCell ref="E23:F23"/>
    <mergeCell ref="E9:F9"/>
    <mergeCell ref="A15:F15"/>
    <mergeCell ref="A16:B16"/>
    <mergeCell ref="C16:D16"/>
    <mergeCell ref="E16:F16"/>
    <mergeCell ref="A22:F22"/>
    <mergeCell ref="A23:B23"/>
  </mergeCells>
  <conditionalFormatting sqref="F28">
    <cfRule type="cellIs" dxfId="113" priority="1" operator="lessThan">
      <formula>0</formula>
    </cfRule>
  </conditionalFormatting>
  <conditionalFormatting sqref="D28">
    <cfRule type="cellIs" dxfId="112" priority="2" operator="lessThan">
      <formula>0</formula>
    </cfRule>
  </conditionalFormatting>
  <conditionalFormatting sqref="F28">
    <cfRule type="cellIs" dxfId="111" priority="3" operator="lessThan">
      <formula>0</formula>
    </cfRule>
  </conditionalFormatting>
  <conditionalFormatting sqref="D28">
    <cfRule type="cellIs" dxfId="110" priority="4" operator="lessThan">
      <formula>0</formula>
    </cfRule>
  </conditionalFormatting>
  <conditionalFormatting sqref="F21">
    <cfRule type="cellIs" dxfId="109" priority="5" operator="lessThan">
      <formula>0</formula>
    </cfRule>
  </conditionalFormatting>
  <conditionalFormatting sqref="D20">
    <cfRule type="cellIs" dxfId="108" priority="6" operator="lessThan">
      <formula>0</formula>
    </cfRule>
  </conditionalFormatting>
  <conditionalFormatting sqref="F21">
    <cfRule type="cellIs" dxfId="107" priority="7" operator="lessThan">
      <formula>0</formula>
    </cfRule>
  </conditionalFormatting>
  <conditionalFormatting sqref="D20">
    <cfRule type="cellIs" dxfId="106" priority="8" operator="lessThan">
      <formula>0</formula>
    </cfRule>
  </conditionalFormatting>
  <conditionalFormatting sqref="F14">
    <cfRule type="cellIs" dxfId="105" priority="9" operator="lessThan">
      <formula>0</formula>
    </cfRule>
  </conditionalFormatting>
  <conditionalFormatting sqref="D13">
    <cfRule type="cellIs" dxfId="104" priority="10" operator="lessThan">
      <formula>0</formula>
    </cfRule>
  </conditionalFormatting>
  <conditionalFormatting sqref="F14">
    <cfRule type="cellIs" dxfId="103" priority="11" operator="lessThan">
      <formula>0</formula>
    </cfRule>
  </conditionalFormatting>
  <conditionalFormatting sqref="D13">
    <cfRule type="cellIs" dxfId="102" priority="12" operator="lessThan">
      <formula>0</formula>
    </cfRule>
  </conditionalFormatting>
  <conditionalFormatting sqref="F7">
    <cfRule type="cellIs" dxfId="101" priority="13" operator="lessThan">
      <formula>0</formula>
    </cfRule>
  </conditionalFormatting>
  <conditionalFormatting sqref="D6">
    <cfRule type="cellIs" dxfId="100" priority="14" operator="lessThan">
      <formula>0</formula>
    </cfRule>
  </conditionalFormatting>
  <conditionalFormatting sqref="F7">
    <cfRule type="cellIs" dxfId="99" priority="15" operator="lessThan">
      <formula>0</formula>
    </cfRule>
  </conditionalFormatting>
  <conditionalFormatting sqref="D6">
    <cfRule type="cellIs" dxfId="98" priority="16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2B58-36A5-42BD-BD1A-F0B3D38FD312}">
  <dimension ref="A1:Q993"/>
  <sheetViews>
    <sheetView zoomScale="85" zoomScaleNormal="85" workbookViewId="0">
      <selection activeCell="H12" sqref="H12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6.453125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9" t="s">
        <v>66</v>
      </c>
      <c r="B1" s="870"/>
      <c r="C1" s="870"/>
      <c r="D1" s="870"/>
      <c r="E1" s="870"/>
      <c r="F1" s="870"/>
      <c r="G1" s="404"/>
      <c r="H1" s="404"/>
      <c r="I1" s="39"/>
    </row>
    <row r="2" spans="1:17" thickBot="1">
      <c r="A2" s="867" t="s">
        <v>47</v>
      </c>
      <c r="B2" s="868"/>
      <c r="C2" s="867" t="s">
        <v>48</v>
      </c>
      <c r="D2" s="868"/>
      <c r="E2" s="867" t="s">
        <v>49</v>
      </c>
      <c r="F2" s="868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300</v>
      </c>
      <c r="C3" s="405" t="s">
        <v>50</v>
      </c>
      <c r="D3" s="406">
        <f>B3</f>
        <v>300</v>
      </c>
      <c r="E3" s="407" t="s">
        <v>51</v>
      </c>
      <c r="F3" s="408">
        <v>3.2499999999999999E-4</v>
      </c>
      <c r="G3" s="404">
        <v>3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37.76</v>
      </c>
      <c r="C4" s="407" t="s">
        <v>52</v>
      </c>
      <c r="D4" s="409">
        <f>H4/100</f>
        <v>38</v>
      </c>
      <c r="E4" s="410" t="s">
        <v>53</v>
      </c>
      <c r="F4" s="411">
        <f>B7+(B5*F3)</f>
        <v>8.5815999999999999</v>
      </c>
      <c r="G4" s="404">
        <v>3776</v>
      </c>
      <c r="H4" s="404">
        <v>3800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11328</v>
      </c>
      <c r="C5" s="407" t="s">
        <v>55</v>
      </c>
      <c r="D5" s="412">
        <f>D4*D3</f>
        <v>11400</v>
      </c>
      <c r="E5" s="407" t="s">
        <v>56</v>
      </c>
      <c r="F5" s="413">
        <f>B7+(D5*F3)</f>
        <v>8.6050000000000004</v>
      </c>
      <c r="G5" s="404"/>
      <c r="H5" s="404"/>
      <c r="I5" s="39"/>
    </row>
    <row r="6" spans="1:17" ht="14.5">
      <c r="A6" s="410" t="s">
        <v>57</v>
      </c>
      <c r="B6" s="411">
        <f>B5+F4</f>
        <v>11336.5816</v>
      </c>
      <c r="C6" s="410" t="s">
        <v>57</v>
      </c>
      <c r="D6" s="414">
        <f>D5-F5</f>
        <v>11391.395</v>
      </c>
      <c r="E6" s="410" t="s">
        <v>58</v>
      </c>
      <c r="F6" s="411">
        <f>D5-B5-F4-F5</f>
        <v>54.813400000000001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'13/06/2023', '0,48', '54,81'</v>
      </c>
      <c r="K6" s="415"/>
      <c r="M6" s="39">
        <v>122859.72</v>
      </c>
      <c r="N6" s="39">
        <v>100</v>
      </c>
      <c r="Q6" s="39">
        <v>-3.26</v>
      </c>
    </row>
    <row r="7" spans="1:17" thickBot="1">
      <c r="A7" s="416" t="s">
        <v>59</v>
      </c>
      <c r="B7" s="417">
        <f>4.9+(4.9*INT(B5/100000))</f>
        <v>4.9000000000000004</v>
      </c>
      <c r="C7" s="418" t="s">
        <v>60</v>
      </c>
      <c r="D7" s="419">
        <f>(D4-B4)/B4</f>
        <v>6.3559322033898838E-3</v>
      </c>
      <c r="E7" s="418" t="s">
        <v>60</v>
      </c>
      <c r="F7" s="419">
        <f>F6/B6</f>
        <v>4.8350906767168685E-3</v>
      </c>
      <c r="G7" s="404"/>
      <c r="H7" s="404"/>
      <c r="I7" s="420" t="str">
        <f ca="1">CONCATENATE(DAY(NOW()),"/",MONTH(NOW()),"/",YEAR(NOW()))</f>
        <v>13/6/2023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71" t="s">
        <v>151</v>
      </c>
      <c r="B8" s="870"/>
      <c r="C8" s="870"/>
      <c r="D8" s="870"/>
      <c r="E8" s="870"/>
      <c r="F8" s="870"/>
      <c r="G8" s="404"/>
      <c r="H8" s="404"/>
      <c r="O8" s="39">
        <v>-1.94</v>
      </c>
      <c r="Q8" s="39">
        <f>Q6+Q7</f>
        <v>-3.69</v>
      </c>
    </row>
    <row r="9" spans="1:17" thickBot="1">
      <c r="A9" s="867" t="s">
        <v>47</v>
      </c>
      <c r="B9" s="868"/>
      <c r="C9" s="867" t="s">
        <v>48</v>
      </c>
      <c r="D9" s="868"/>
      <c r="E9" s="867" t="s">
        <v>49</v>
      </c>
      <c r="F9" s="868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12100</v>
      </c>
      <c r="C10" s="405" t="s">
        <v>50</v>
      </c>
      <c r="D10" s="406">
        <f>B10</f>
        <v>12100</v>
      </c>
      <c r="E10" s="407" t="s">
        <v>51</v>
      </c>
      <c r="F10" s="408">
        <v>3.2499999999999999E-4</v>
      </c>
      <c r="G10" s="588">
        <v>121</v>
      </c>
      <c r="H10" s="588"/>
      <c r="I10" s="404"/>
    </row>
    <row r="11" spans="1:17" ht="15.5">
      <c r="A11" s="407" t="s">
        <v>52</v>
      </c>
      <c r="B11" s="409">
        <f>G11/100</f>
        <v>1.65</v>
      </c>
      <c r="C11" s="407" t="s">
        <v>52</v>
      </c>
      <c r="D11" s="409">
        <f>H11/100</f>
        <v>1.69</v>
      </c>
      <c r="E11" s="410" t="s">
        <v>53</v>
      </c>
      <c r="F11" s="411">
        <f>B14+(B12*F10)</f>
        <v>11.388625000000001</v>
      </c>
      <c r="G11" s="588">
        <v>165</v>
      </c>
      <c r="H11" s="588">
        <v>169</v>
      </c>
      <c r="I11" s="404"/>
    </row>
    <row r="12" spans="1:17" ht="14.5">
      <c r="A12" s="407" t="s">
        <v>55</v>
      </c>
      <c r="B12" s="412">
        <f>B11*B10</f>
        <v>19965</v>
      </c>
      <c r="C12" s="407" t="s">
        <v>55</v>
      </c>
      <c r="D12" s="412">
        <f>D11*D10</f>
        <v>20449</v>
      </c>
      <c r="E12" s="407" t="s">
        <v>56</v>
      </c>
      <c r="F12" s="413">
        <f>B14+(D12*F10)</f>
        <v>11.545925</v>
      </c>
      <c r="G12" s="404"/>
      <c r="H12" s="404"/>
      <c r="I12" s="404"/>
    </row>
    <row r="13" spans="1:17" ht="14.5">
      <c r="A13" s="410" t="s">
        <v>57</v>
      </c>
      <c r="B13" s="411">
        <f>B12+F11</f>
        <v>19976.388625</v>
      </c>
      <c r="C13" s="410" t="s">
        <v>57</v>
      </c>
      <c r="D13" s="414">
        <f>D12-F12</f>
        <v>20437.454075000001</v>
      </c>
      <c r="E13" s="410" t="s">
        <v>58</v>
      </c>
      <c r="F13" s="411">
        <f>D12-B12-F11-F12</f>
        <v>461.06545</v>
      </c>
      <c r="G13" s="404"/>
      <c r="H13" s="404"/>
      <c r="I13" s="39" t="str">
        <f ca="1">CONCATENATE("'",TEXT(DAY($I$7),"00"),"/",TEXT(MONTH($I$7),"00"),"/",TEXT(YEAR($I$7),"0000"),"', '",ROUND(F14*100,2),"', '",ROUND(F13,2),"'")</f>
        <v>'13/06/2023', '2,31', '461,07'</v>
      </c>
    </row>
    <row r="14" spans="1:17" thickBot="1">
      <c r="A14" s="416" t="s">
        <v>59</v>
      </c>
      <c r="B14" s="417">
        <f>4.9+(4.9*INT(B12/100000))</f>
        <v>4.9000000000000004</v>
      </c>
      <c r="C14" s="418" t="s">
        <v>60</v>
      </c>
      <c r="D14" s="419">
        <f>(D11-B11)/B11</f>
        <v>2.4242424242424267E-2</v>
      </c>
      <c r="E14" s="418" t="s">
        <v>60</v>
      </c>
      <c r="F14" s="419">
        <f>F13/B13</f>
        <v>2.3080520641402969E-2</v>
      </c>
      <c r="G14" s="404"/>
      <c r="H14" s="404"/>
      <c r="K14" s="39">
        <v>330</v>
      </c>
    </row>
    <row r="15" spans="1:17" ht="14.5">
      <c r="G15" s="404"/>
      <c r="H15" s="404"/>
    </row>
    <row r="16" spans="1:17" ht="14.5">
      <c r="E16" s="828" t="s">
        <v>53</v>
      </c>
      <c r="F16" s="829">
        <f>F33+(F21*F32)</f>
        <v>11.388625000000001</v>
      </c>
      <c r="G16" s="404">
        <f>G10</f>
        <v>121</v>
      </c>
      <c r="H16" s="404"/>
    </row>
    <row r="17" spans="4:8" ht="14.5">
      <c r="E17" s="830" t="s">
        <v>150</v>
      </c>
      <c r="F17" s="831">
        <f>F33+(F24*F32)</f>
        <v>11.467275000000001</v>
      </c>
      <c r="G17" s="404">
        <f>G11</f>
        <v>165</v>
      </c>
      <c r="H17" s="404"/>
    </row>
    <row r="18" spans="4:8" ht="14.5">
      <c r="E18" s="832" t="s">
        <v>56</v>
      </c>
      <c r="F18" s="833">
        <f>F33+(F27*F32)</f>
        <v>11.467275000000001</v>
      </c>
      <c r="G18" s="843">
        <v>1</v>
      </c>
      <c r="H18" s="404"/>
    </row>
    <row r="19" spans="4:8" ht="14.5">
      <c r="E19" s="830" t="s">
        <v>50</v>
      </c>
      <c r="F19" s="834">
        <f>G16*100</f>
        <v>12100</v>
      </c>
      <c r="G19" s="404"/>
      <c r="H19" s="404"/>
    </row>
    <row r="20" spans="4:8" ht="14.5">
      <c r="E20" s="828" t="s">
        <v>10</v>
      </c>
      <c r="F20" s="848">
        <f>G17/100</f>
        <v>1.65</v>
      </c>
      <c r="G20" s="404"/>
      <c r="H20" s="404"/>
    </row>
    <row r="21" spans="4:8" ht="14.5">
      <c r="E21" s="830" t="s">
        <v>146</v>
      </c>
      <c r="F21" s="831">
        <f>F20*F19</f>
        <v>19965</v>
      </c>
      <c r="G21" s="404"/>
      <c r="H21" s="404"/>
    </row>
    <row r="22" spans="4:8" ht="14.5">
      <c r="E22" s="835" t="s">
        <v>147</v>
      </c>
      <c r="F22" s="836">
        <f>F21+F16</f>
        <v>19976.388625</v>
      </c>
      <c r="G22" s="404"/>
      <c r="H22" s="404"/>
    </row>
    <row r="23" spans="4:8" ht="14.5">
      <c r="E23" s="837" t="s">
        <v>145</v>
      </c>
      <c r="F23" s="848">
        <f>ROUND(F20*1.0142,2)</f>
        <v>1.67</v>
      </c>
      <c r="G23" s="404"/>
      <c r="H23" s="404"/>
    </row>
    <row r="24" spans="4:8" ht="14.5">
      <c r="E24" s="832" t="s">
        <v>148</v>
      </c>
      <c r="F24" s="833">
        <f>F23*F19</f>
        <v>20207</v>
      </c>
      <c r="G24" s="404"/>
      <c r="H24" s="404"/>
    </row>
    <row r="25" spans="4:8" ht="14.5">
      <c r="D25" s="424"/>
      <c r="E25" s="839" t="s">
        <v>149</v>
      </c>
      <c r="F25" s="840">
        <f>F24+F17</f>
        <v>20218.467274999999</v>
      </c>
      <c r="G25" s="404"/>
      <c r="H25" s="404"/>
    </row>
    <row r="26" spans="4:8" ht="14.5">
      <c r="E26" s="841" t="str">
        <f>_xlfn.CONCAT("Valor ",G18,"%")</f>
        <v>Valor 1%</v>
      </c>
      <c r="F26" s="848">
        <f>ROUND(F20*((G18/100)+1.001),2)</f>
        <v>1.67</v>
      </c>
      <c r="G26" s="404"/>
      <c r="H26" s="404"/>
    </row>
    <row r="27" spans="4:8" ht="14.5">
      <c r="E27" s="842" t="str">
        <f>_xlfn.CONCAT("Total ",G18,"%")</f>
        <v>Total 1%</v>
      </c>
      <c r="F27" s="831">
        <f>F26*F19</f>
        <v>20207</v>
      </c>
      <c r="G27" s="404"/>
      <c r="H27" s="404"/>
    </row>
    <row r="28" spans="4:8" ht="14.5">
      <c r="E28" s="844" t="str">
        <f>_xlfn.CONCAT("Total Líquido ",G18,"%")</f>
        <v>Total Líquido 1%</v>
      </c>
      <c r="F28" s="833">
        <f>F27-F18</f>
        <v>20195.532725000001</v>
      </c>
      <c r="G28" s="404"/>
      <c r="H28" s="404"/>
    </row>
    <row r="29" spans="4:8" ht="14.5">
      <c r="E29" s="837" t="s">
        <v>58</v>
      </c>
      <c r="F29" s="838">
        <f>F27-F21-F16-F18</f>
        <v>219.14410000000001</v>
      </c>
      <c r="G29" s="404"/>
      <c r="H29" s="404"/>
    </row>
    <row r="30" spans="4:8" ht="14.5">
      <c r="E30" s="845" t="s">
        <v>60</v>
      </c>
      <c r="F30" s="846">
        <f>(F26-F20)/F20</f>
        <v>1.2121212121212133E-2</v>
      </c>
      <c r="G30" s="404"/>
      <c r="H30" s="404"/>
    </row>
    <row r="31" spans="4:8" thickBot="1">
      <c r="E31" s="847" t="s">
        <v>65</v>
      </c>
      <c r="F31" s="419">
        <f>F29/F22</f>
        <v>1.0970156023383831E-2</v>
      </c>
      <c r="G31" s="404"/>
      <c r="H31" s="404"/>
    </row>
    <row r="32" spans="4:8" ht="14.5">
      <c r="E32" s="824" t="s">
        <v>51</v>
      </c>
      <c r="F32" s="825">
        <v>3.2499999999999999E-4</v>
      </c>
      <c r="G32" s="404"/>
      <c r="H32" s="404"/>
    </row>
    <row r="33" spans="2:8" thickBot="1">
      <c r="E33" s="826" t="s">
        <v>59</v>
      </c>
      <c r="F33" s="827">
        <f>B14</f>
        <v>4.9000000000000004</v>
      </c>
      <c r="G33" s="404"/>
      <c r="H33" s="404"/>
    </row>
    <row r="34" spans="2:8" ht="14.5">
      <c r="G34" s="404"/>
      <c r="H34" s="404"/>
    </row>
    <row r="35" spans="2:8" ht="14.5">
      <c r="G35" s="404"/>
      <c r="H35" s="404"/>
    </row>
    <row r="36" spans="2:8" ht="14.5">
      <c r="G36" s="404"/>
      <c r="H36" s="404"/>
    </row>
    <row r="37" spans="2:8" ht="14.5">
      <c r="G37" s="404"/>
      <c r="H37" s="404"/>
    </row>
    <row r="38" spans="2:8" ht="14.5">
      <c r="G38" s="404"/>
      <c r="H38" s="404"/>
    </row>
    <row r="39" spans="2:8" ht="14.5">
      <c r="C39" t="s">
        <v>47</v>
      </c>
      <c r="D39" t="s">
        <v>67</v>
      </c>
      <c r="E39" t="s">
        <v>68</v>
      </c>
      <c r="G39" s="404"/>
      <c r="H39" s="404"/>
    </row>
    <row r="40" spans="2:8" ht="14.5">
      <c r="B40" t="s">
        <v>50</v>
      </c>
      <c r="G40" s="404"/>
      <c r="H40" s="404"/>
    </row>
    <row r="41" spans="2:8" ht="14.5">
      <c r="B41" t="s">
        <v>52</v>
      </c>
      <c r="G41" s="404"/>
      <c r="H41" s="404"/>
    </row>
    <row r="42" spans="2:8" ht="14.5">
      <c r="B42" t="s">
        <v>55</v>
      </c>
      <c r="G42" s="404"/>
      <c r="H42" s="404"/>
    </row>
    <row r="43" spans="2:8" ht="14.5">
      <c r="B43" t="s">
        <v>57</v>
      </c>
      <c r="G43" s="404"/>
      <c r="H43" s="404"/>
    </row>
    <row r="44" spans="2:8" ht="14.5">
      <c r="B44" t="s">
        <v>59</v>
      </c>
      <c r="G44" s="404"/>
      <c r="H44" s="404"/>
    </row>
    <row r="45" spans="2:8" ht="14.5">
      <c r="G45" s="404"/>
      <c r="H45" s="404"/>
    </row>
    <row r="46" spans="2:8" ht="14.5">
      <c r="G46" s="404"/>
      <c r="H46" s="404"/>
    </row>
    <row r="47" spans="2:8" ht="14.5">
      <c r="G47" s="404"/>
      <c r="H47" s="404"/>
    </row>
    <row r="48" spans="2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</sheetData>
  <mergeCells count="8">
    <mergeCell ref="A9:B9"/>
    <mergeCell ref="C9:D9"/>
    <mergeCell ref="E9:F9"/>
    <mergeCell ref="A1:F1"/>
    <mergeCell ref="A2:B2"/>
    <mergeCell ref="C2:D2"/>
    <mergeCell ref="E2:F2"/>
    <mergeCell ref="A8:F8"/>
  </mergeCells>
  <conditionalFormatting sqref="F14">
    <cfRule type="cellIs" dxfId="97" priority="11" operator="lessThan">
      <formula>0</formula>
    </cfRule>
  </conditionalFormatting>
  <conditionalFormatting sqref="D13">
    <cfRule type="cellIs" dxfId="96" priority="12" operator="lessThan">
      <formula>0</formula>
    </cfRule>
  </conditionalFormatting>
  <conditionalFormatting sqref="F14">
    <cfRule type="cellIs" dxfId="95" priority="13" operator="lessThan">
      <formula>0</formula>
    </cfRule>
  </conditionalFormatting>
  <conditionalFormatting sqref="D13">
    <cfRule type="cellIs" dxfId="94" priority="14" operator="lessThan">
      <formula>0</formula>
    </cfRule>
  </conditionalFormatting>
  <conditionalFormatting sqref="F7">
    <cfRule type="cellIs" dxfId="93" priority="15" operator="lessThan">
      <formula>0</formula>
    </cfRule>
  </conditionalFormatting>
  <conditionalFormatting sqref="D6">
    <cfRule type="cellIs" dxfId="92" priority="16" operator="lessThan">
      <formula>0</formula>
    </cfRule>
  </conditionalFormatting>
  <conditionalFormatting sqref="F7">
    <cfRule type="cellIs" dxfId="91" priority="17" operator="lessThan">
      <formula>0</formula>
    </cfRule>
  </conditionalFormatting>
  <conditionalFormatting sqref="D6">
    <cfRule type="cellIs" dxfId="90" priority="18" operator="lessThan">
      <formula>0</formula>
    </cfRule>
  </conditionalFormatting>
  <conditionalFormatting sqref="F31">
    <cfRule type="cellIs" dxfId="89" priority="1" operator="lessThan">
      <formula>0</formula>
    </cfRule>
  </conditionalFormatting>
  <conditionalFormatting sqref="F31">
    <cfRule type="cellIs" dxfId="88" priority="2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C60B-C287-450A-AA1E-72425DB50D88}">
  <dimension ref="A1:Q993"/>
  <sheetViews>
    <sheetView tabSelected="1" zoomScale="85" zoomScaleNormal="85" workbookViewId="0">
      <selection activeCell="I13" sqref="I13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14.1796875" customWidth="1"/>
    <col min="10" max="11" width="8.54296875" customWidth="1"/>
    <col min="12" max="12" width="17.1796875" customWidth="1"/>
    <col min="13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9" t="s">
        <v>66</v>
      </c>
      <c r="B1" s="870"/>
      <c r="C1" s="870"/>
      <c r="D1" s="870"/>
      <c r="E1" s="870"/>
      <c r="F1" s="870"/>
      <c r="G1" s="404"/>
      <c r="H1" s="404"/>
      <c r="I1" s="39"/>
    </row>
    <row r="2" spans="1:17" thickBot="1">
      <c r="A2" s="867" t="s">
        <v>47</v>
      </c>
      <c r="B2" s="868"/>
      <c r="C2" s="867" t="s">
        <v>48</v>
      </c>
      <c r="D2" s="868"/>
      <c r="E2" s="867" t="s">
        <v>49</v>
      </c>
      <c r="F2" s="868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3400</v>
      </c>
      <c r="C3" s="405" t="s">
        <v>50</v>
      </c>
      <c r="D3" s="406">
        <f>B3</f>
        <v>3400</v>
      </c>
      <c r="E3" s="407" t="s">
        <v>51</v>
      </c>
      <c r="F3" s="408">
        <v>2.9999999999999997E-4</v>
      </c>
      <c r="G3" s="404">
        <v>34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12</v>
      </c>
      <c r="C4" s="407" t="s">
        <v>52</v>
      </c>
      <c r="D4" s="409">
        <f>H4/100</f>
        <v>11.9</v>
      </c>
      <c r="E4" s="410" t="s">
        <v>53</v>
      </c>
      <c r="F4" s="411">
        <f>B7+(B5*F3)</f>
        <v>12.239999999999998</v>
      </c>
      <c r="G4" s="404">
        <v>1200</v>
      </c>
      <c r="H4" s="404">
        <v>1190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40800</v>
      </c>
      <c r="C5" s="407" t="s">
        <v>55</v>
      </c>
      <c r="D5" s="412">
        <f>D4*D3</f>
        <v>40460</v>
      </c>
      <c r="E5" s="407" t="s">
        <v>56</v>
      </c>
      <c r="F5" s="413">
        <f>B7+(D5*F3)</f>
        <v>12.137999999999998</v>
      </c>
      <c r="G5" s="404"/>
      <c r="H5" s="404"/>
      <c r="I5" s="39"/>
    </row>
    <row r="6" spans="1:17" ht="14.5">
      <c r="A6" s="410" t="s">
        <v>57</v>
      </c>
      <c r="B6" s="411">
        <f>B5+F4</f>
        <v>40812.239999999998</v>
      </c>
      <c r="C6" s="410" t="s">
        <v>57</v>
      </c>
      <c r="D6" s="414">
        <f>D5-F5</f>
        <v>40447.862000000001</v>
      </c>
      <c r="E6" s="410" t="s">
        <v>58</v>
      </c>
      <c r="F6" s="411">
        <f>D5-B5-F4-F5</f>
        <v>-364.37799999999999</v>
      </c>
      <c r="G6" s="404"/>
      <c r="H6" s="404"/>
      <c r="I6" s="39" t="str">
        <f ca="1">CONCATENATE("                 ['",TEXT(DAY($I$7),"00"),"/",TEXT(MONTH($I$7),"00"),"/",TEXT(YEAR($I$7),"0000"),"', '",ROUND(F7*100,2),"', '",ROUND(F6,2),"', '",ROUND(D3,2),"', ",INT(H4/100),".",H4-INT(H4/100)*100,"]")</f>
        <v xml:space="preserve">                 ['13/06/2023', '-0,89', '-364,38', '3400', 11.90]</v>
      </c>
      <c r="K6" s="415"/>
      <c r="M6" s="39">
        <v>122859.72</v>
      </c>
      <c r="N6" s="39">
        <v>100</v>
      </c>
      <c r="Q6" s="39">
        <v>-3.26</v>
      </c>
    </row>
    <row r="7" spans="1:17" thickBot="1">
      <c r="A7" s="416" t="s">
        <v>59</v>
      </c>
      <c r="B7" s="417">
        <v>0</v>
      </c>
      <c r="C7" s="418" t="s">
        <v>60</v>
      </c>
      <c r="D7" s="419">
        <f>(D4-B4)/B4</f>
        <v>-8.3333333333333037E-3</v>
      </c>
      <c r="E7" s="418" t="s">
        <v>60</v>
      </c>
      <c r="F7" s="419">
        <f>F6/B6</f>
        <v>-8.928154886867273E-3</v>
      </c>
      <c r="G7" s="404"/>
      <c r="H7" s="404"/>
      <c r="I7" s="420" t="str">
        <f ca="1">CONCATENATE(DAY(NOW()),"/",MONTH(NOW()),"/",YEAR(NOW()))</f>
        <v>13/6/2023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71" t="s">
        <v>154</v>
      </c>
      <c r="B8" s="870"/>
      <c r="C8" s="870"/>
      <c r="D8" s="870"/>
      <c r="E8" s="870"/>
      <c r="F8" s="870"/>
      <c r="G8" s="404"/>
      <c r="H8" s="404"/>
      <c r="O8" s="39">
        <v>-1.94</v>
      </c>
      <c r="Q8" s="39">
        <f>Q6+Q7</f>
        <v>-3.69</v>
      </c>
    </row>
    <row r="9" spans="1:17" thickBot="1">
      <c r="A9" s="867" t="s">
        <v>47</v>
      </c>
      <c r="B9" s="868"/>
      <c r="C9" s="867" t="s">
        <v>48</v>
      </c>
      <c r="D9" s="868"/>
      <c r="E9" s="867" t="s">
        <v>49</v>
      </c>
      <c r="F9" s="868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14300</v>
      </c>
      <c r="C10" s="405" t="s">
        <v>50</v>
      </c>
      <c r="D10" s="406">
        <f>B10</f>
        <v>14300</v>
      </c>
      <c r="E10" s="407" t="s">
        <v>51</v>
      </c>
      <c r="F10" s="408">
        <f>F3</f>
        <v>2.9999999999999997E-4</v>
      </c>
      <c r="G10" s="588">
        <v>143</v>
      </c>
      <c r="H10" s="588"/>
      <c r="I10" s="404"/>
    </row>
    <row r="11" spans="1:17" ht="15.5">
      <c r="A11" s="407" t="s">
        <v>52</v>
      </c>
      <c r="B11" s="409">
        <f>G11/100</f>
        <v>6.59</v>
      </c>
      <c r="C11" s="407" t="s">
        <v>52</v>
      </c>
      <c r="D11" s="409">
        <f>H11/100</f>
        <v>6.8</v>
      </c>
      <c r="E11" s="410" t="s">
        <v>53</v>
      </c>
      <c r="F11" s="411">
        <f>B14+(B12*F10)</f>
        <v>28.271099999999997</v>
      </c>
      <c r="G11" s="588">
        <v>659</v>
      </c>
      <c r="H11" s="588">
        <v>680</v>
      </c>
      <c r="I11" s="404"/>
    </row>
    <row r="12" spans="1:17" ht="14.5">
      <c r="A12" s="407" t="s">
        <v>55</v>
      </c>
      <c r="B12" s="412">
        <f>B11*B10</f>
        <v>94237</v>
      </c>
      <c r="C12" s="407" t="s">
        <v>55</v>
      </c>
      <c r="D12" s="412">
        <f>D11*D10</f>
        <v>97240</v>
      </c>
      <c r="E12" s="407" t="s">
        <v>56</v>
      </c>
      <c r="F12" s="413">
        <f>B14+(D12*F10)</f>
        <v>29.171999999999997</v>
      </c>
      <c r="G12" s="404" t="s">
        <v>54</v>
      </c>
      <c r="H12" s="404"/>
      <c r="I12" s="404"/>
    </row>
    <row r="13" spans="1:17" ht="14.5">
      <c r="A13" s="410" t="s">
        <v>57</v>
      </c>
      <c r="B13" s="411">
        <f>B12+F11</f>
        <v>94265.271099999998</v>
      </c>
      <c r="C13" s="410" t="s">
        <v>57</v>
      </c>
      <c r="D13" s="414">
        <f>D12-F12</f>
        <v>97210.827999999994</v>
      </c>
      <c r="E13" s="410" t="s">
        <v>58</v>
      </c>
      <c r="F13" s="411">
        <f>D12-B12-F11-F12</f>
        <v>2945.5569</v>
      </c>
      <c r="G13" s="404"/>
      <c r="H13" s="404"/>
      <c r="I13" s="39" t="str">
        <f ca="1">CONCATENATE("                 ['",TEXT(DAY($I$7),"00"),"/",TEXT(MONTH($I$7),"00"),"/",TEXT(YEAR($I$7),"0000"),"', '",ROUND(F14*100,2),"', '",ROUND(F13,2),"', '",ROUND(D10,2),"', ",INT(H11/100),".",H11-INT(H11/100)*100,"]")</f>
        <v xml:space="preserve">                 ['13/06/2023', '3,12', '2945,56', '14300', 6.80]</v>
      </c>
    </row>
    <row r="14" spans="1:17" thickBot="1">
      <c r="A14" s="416" t="s">
        <v>59</v>
      </c>
      <c r="B14" s="417">
        <f>B7</f>
        <v>0</v>
      </c>
      <c r="C14" s="418" t="s">
        <v>60</v>
      </c>
      <c r="D14" s="419">
        <f>(D11-B11)/B11</f>
        <v>3.1866464339908945E-2</v>
      </c>
      <c r="E14" s="418" t="s">
        <v>60</v>
      </c>
      <c r="F14" s="419">
        <f>F13/B13</f>
        <v>3.1247530141564513E-2</v>
      </c>
      <c r="G14" s="404"/>
      <c r="H14" s="404"/>
      <c r="K14" s="39">
        <v>330</v>
      </c>
    </row>
    <row r="15" spans="1:17" thickBot="1">
      <c r="G15" s="404"/>
      <c r="H15" s="404"/>
    </row>
    <row r="16" spans="1:17" ht="14.5">
      <c r="A16" s="824" t="s">
        <v>51</v>
      </c>
      <c r="B16" s="825">
        <f>F3</f>
        <v>2.9999999999999997E-4</v>
      </c>
      <c r="C16" s="849" t="s">
        <v>10</v>
      </c>
      <c r="D16" s="850">
        <f>G17/100</f>
        <v>6.59</v>
      </c>
      <c r="E16" s="851" t="str">
        <f>_xlfn.CONCAT("Valor ",G18,"%")</f>
        <v>Valor 1,5%</v>
      </c>
      <c r="F16" s="850">
        <f>ROUND(D16*((G18/100)+1.001),2)</f>
        <v>6.7</v>
      </c>
      <c r="G16" s="404">
        <f>G10</f>
        <v>143</v>
      </c>
      <c r="H16" s="404"/>
    </row>
    <row r="17" spans="1:9" thickBot="1">
      <c r="A17" s="826" t="s">
        <v>59</v>
      </c>
      <c r="B17" s="827">
        <f>B7</f>
        <v>0</v>
      </c>
      <c r="C17" s="830" t="s">
        <v>146</v>
      </c>
      <c r="D17" s="831">
        <f>D16*B21</f>
        <v>94237</v>
      </c>
      <c r="E17" s="842" t="str">
        <f>_xlfn.CONCAT("Total ",G18,"%")</f>
        <v>Total 1,5%</v>
      </c>
      <c r="F17" s="831">
        <f>F16*B21</f>
        <v>95810</v>
      </c>
      <c r="G17" s="404">
        <f>G11</f>
        <v>659</v>
      </c>
      <c r="H17" s="404"/>
    </row>
    <row r="18" spans="1:9" ht="14.5">
      <c r="A18" s="828" t="s">
        <v>53</v>
      </c>
      <c r="B18" s="829">
        <f>B17+(D17*B16)</f>
        <v>28.271099999999997</v>
      </c>
      <c r="C18" s="835" t="s">
        <v>152</v>
      </c>
      <c r="D18" s="836">
        <f>D17+B18</f>
        <v>94265.271099999998</v>
      </c>
      <c r="E18" s="844" t="str">
        <f>_xlfn.CONCAT("Total Líquido ",G18,"%")</f>
        <v>Total Líquido 1,5%</v>
      </c>
      <c r="F18" s="833">
        <f>F17-B20</f>
        <v>95781.256999999998</v>
      </c>
      <c r="G18" s="858">
        <v>1.5</v>
      </c>
      <c r="H18" s="404"/>
      <c r="I18" s="39" t="str">
        <f ca="1">CONCATENATE("                 ['",TEXT(DAY($I$7),"00"),"/",TEXT(MONTH($I$7),"00"),"/",TEXT(YEAR($I$7),"0000"),"', '",ROUND(F14*100,2),"', '",ROUND(F6+F13,2),"']")</f>
        <v xml:space="preserve">                 ['13/06/2023', '3,12', '2581,18']</v>
      </c>
    </row>
    <row r="19" spans="1:9" ht="14.5">
      <c r="A19" s="830" t="s">
        <v>150</v>
      </c>
      <c r="B19" s="831">
        <f>B17+(D20*B16)</f>
        <v>28.657199999999996</v>
      </c>
      <c r="C19" s="837" t="s">
        <v>153</v>
      </c>
      <c r="D19" s="857">
        <f>ROUND(D16*1.0142,2)</f>
        <v>6.68</v>
      </c>
      <c r="E19" s="837" t="s">
        <v>58</v>
      </c>
      <c r="F19" s="838">
        <f>F17-D17-B18-B20</f>
        <v>1515.9859000000001</v>
      </c>
      <c r="G19" s="404"/>
      <c r="H19" s="404"/>
    </row>
    <row r="20" spans="1:9" ht="14.5">
      <c r="A20" s="832" t="s">
        <v>56</v>
      </c>
      <c r="B20" s="833">
        <f>B17+(F17*B16)</f>
        <v>28.742999999999999</v>
      </c>
      <c r="C20" s="832" t="s">
        <v>148</v>
      </c>
      <c r="D20" s="833">
        <f>D19*B21</f>
        <v>95524</v>
      </c>
      <c r="E20" s="845" t="s">
        <v>60</v>
      </c>
      <c r="F20" s="846">
        <f>(F16-D16)/D16</f>
        <v>1.6691957511380928E-2</v>
      </c>
      <c r="G20" s="404"/>
      <c r="H20" s="404"/>
    </row>
    <row r="21" spans="1:9" thickBot="1">
      <c r="A21" s="847" t="s">
        <v>50</v>
      </c>
      <c r="B21" s="852">
        <f>G16*100</f>
        <v>14300</v>
      </c>
      <c r="C21" s="847" t="s">
        <v>149</v>
      </c>
      <c r="D21" s="853">
        <f>D20+B19</f>
        <v>95552.657200000001</v>
      </c>
      <c r="E21" s="847" t="s">
        <v>65</v>
      </c>
      <c r="F21" s="854">
        <f>F19/D18</f>
        <v>1.6082125286541505E-2</v>
      </c>
      <c r="G21" s="404"/>
      <c r="H21" s="404"/>
    </row>
    <row r="22" spans="1:9" ht="14.5">
      <c r="G22" s="404"/>
      <c r="H22" s="404"/>
    </row>
    <row r="23" spans="1:9" ht="14.5">
      <c r="G23" s="404"/>
      <c r="H23" s="404"/>
    </row>
    <row r="24" spans="1:9" ht="14.5">
      <c r="G24" s="404"/>
      <c r="H24" s="404"/>
    </row>
    <row r="25" spans="1:9" ht="14.5">
      <c r="D25" s="424"/>
      <c r="G25" s="404"/>
      <c r="H25" s="404"/>
    </row>
    <row r="26" spans="1:9" ht="14.5">
      <c r="G26" s="404"/>
      <c r="H26" s="404"/>
    </row>
    <row r="27" spans="1:9" ht="14.5">
      <c r="G27" s="404"/>
      <c r="H27" s="404"/>
    </row>
    <row r="28" spans="1:9" ht="14.5">
      <c r="G28" s="404"/>
      <c r="H28" s="404"/>
    </row>
    <row r="29" spans="1:9" ht="14.5">
      <c r="G29" s="404"/>
      <c r="H29" s="404"/>
    </row>
    <row r="30" spans="1:9" ht="14.5">
      <c r="G30" s="404"/>
      <c r="H30" s="404"/>
    </row>
    <row r="31" spans="1:9" ht="14.5">
      <c r="G31" s="404"/>
      <c r="H31" s="404"/>
    </row>
    <row r="32" spans="1:9" ht="14.5">
      <c r="G32" s="404"/>
      <c r="H32" s="404"/>
    </row>
    <row r="33" spans="2:8" ht="14.5">
      <c r="G33" s="404"/>
      <c r="H33" s="404"/>
    </row>
    <row r="34" spans="2:8" ht="14.5">
      <c r="G34" s="404"/>
      <c r="H34" s="404"/>
    </row>
    <row r="35" spans="2:8" ht="14.5">
      <c r="G35" s="404"/>
      <c r="H35" s="404"/>
    </row>
    <row r="36" spans="2:8" ht="14.5">
      <c r="G36" s="404"/>
      <c r="H36" s="404"/>
    </row>
    <row r="37" spans="2:8" ht="14.5">
      <c r="G37" s="404"/>
      <c r="H37" s="404"/>
    </row>
    <row r="38" spans="2:8" ht="14.5">
      <c r="G38" s="404"/>
      <c r="H38" s="404"/>
    </row>
    <row r="39" spans="2:8" ht="14.5">
      <c r="C39" t="s">
        <v>47</v>
      </c>
      <c r="D39" t="s">
        <v>67</v>
      </c>
      <c r="E39" t="s">
        <v>68</v>
      </c>
      <c r="G39" s="404"/>
      <c r="H39" s="404"/>
    </row>
    <row r="40" spans="2:8" ht="14.5">
      <c r="B40" t="s">
        <v>50</v>
      </c>
      <c r="G40" s="404"/>
      <c r="H40" s="404"/>
    </row>
    <row r="41" spans="2:8" ht="14.5">
      <c r="B41" t="s">
        <v>52</v>
      </c>
      <c r="G41" s="404"/>
      <c r="H41" s="404"/>
    </row>
    <row r="42" spans="2:8" ht="14.5">
      <c r="B42" t="s">
        <v>55</v>
      </c>
      <c r="G42" s="404"/>
      <c r="H42" s="404"/>
    </row>
    <row r="43" spans="2:8" ht="14.5">
      <c r="B43" t="s">
        <v>57</v>
      </c>
      <c r="G43" s="404"/>
      <c r="H43" s="404"/>
    </row>
    <row r="44" spans="2:8" ht="14.5">
      <c r="B44" t="s">
        <v>59</v>
      </c>
      <c r="G44" s="404"/>
      <c r="H44" s="404"/>
    </row>
    <row r="45" spans="2:8" ht="14.5">
      <c r="G45" s="404"/>
      <c r="H45" s="404"/>
    </row>
    <row r="46" spans="2:8" ht="14.5">
      <c r="G46" s="404"/>
      <c r="H46" s="404"/>
    </row>
    <row r="47" spans="2:8" ht="14.5">
      <c r="G47" s="404"/>
      <c r="H47" s="404"/>
    </row>
    <row r="48" spans="2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</sheetData>
  <mergeCells count="8">
    <mergeCell ref="A9:B9"/>
    <mergeCell ref="C9:D9"/>
    <mergeCell ref="E9:F9"/>
    <mergeCell ref="A1:F1"/>
    <mergeCell ref="A2:B2"/>
    <mergeCell ref="C2:D2"/>
    <mergeCell ref="E2:F2"/>
    <mergeCell ref="A8:F8"/>
  </mergeCells>
  <conditionalFormatting sqref="F14">
    <cfRule type="cellIs" dxfId="87" priority="7" operator="lessThan">
      <formula>0</formula>
    </cfRule>
  </conditionalFormatting>
  <conditionalFormatting sqref="D13">
    <cfRule type="cellIs" dxfId="86" priority="8" operator="lessThan">
      <formula>0</formula>
    </cfRule>
  </conditionalFormatting>
  <conditionalFormatting sqref="F14">
    <cfRule type="cellIs" dxfId="85" priority="9" operator="lessThan">
      <formula>0</formula>
    </cfRule>
  </conditionalFormatting>
  <conditionalFormatting sqref="D13">
    <cfRule type="cellIs" dxfId="84" priority="10" operator="lessThan">
      <formula>0</formula>
    </cfRule>
  </conditionalFormatting>
  <conditionalFormatting sqref="F7">
    <cfRule type="cellIs" dxfId="83" priority="11" operator="lessThan">
      <formula>0</formula>
    </cfRule>
  </conditionalFormatting>
  <conditionalFormatting sqref="D6">
    <cfRule type="cellIs" dxfId="82" priority="12" operator="lessThan">
      <formula>0</formula>
    </cfRule>
  </conditionalFormatting>
  <conditionalFormatting sqref="F7">
    <cfRule type="cellIs" dxfId="81" priority="13" operator="lessThan">
      <formula>0</formula>
    </cfRule>
  </conditionalFormatting>
  <conditionalFormatting sqref="D6">
    <cfRule type="cellIs" dxfId="80" priority="14" operator="lessThan">
      <formula>0</formula>
    </cfRule>
  </conditionalFormatting>
  <conditionalFormatting sqref="F21">
    <cfRule type="cellIs" dxfId="79" priority="1" operator="lessThan">
      <formula>0</formula>
    </cfRule>
  </conditionalFormatting>
  <conditionalFormatting sqref="F21">
    <cfRule type="cellIs" dxfId="78" priority="2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A763-6829-486F-826A-35651EDBA0A0}">
  <dimension ref="A1:O37"/>
  <sheetViews>
    <sheetView workbookViewId="0">
      <selection activeCell="A2" sqref="A2"/>
    </sheetView>
  </sheetViews>
  <sheetFormatPr defaultColWidth="66.36328125" defaultRowHeight="14.5"/>
  <cols>
    <col min="1" max="1" width="2.81640625" customWidth="1"/>
    <col min="2" max="2" width="18.54296875" customWidth="1"/>
    <col min="3" max="3" width="5.26953125" bestFit="1" customWidth="1"/>
    <col min="4" max="4" width="5" bestFit="1" customWidth="1"/>
    <col min="5" max="9" width="5.26953125" bestFit="1" customWidth="1"/>
    <col min="10" max="10" width="6.36328125" bestFit="1" customWidth="1"/>
    <col min="11" max="12" width="7" bestFit="1" customWidth="1"/>
    <col min="13" max="13" width="7.90625" bestFit="1" customWidth="1"/>
    <col min="14" max="14" width="2.08984375" customWidth="1"/>
    <col min="15" max="15" width="7.36328125" bestFit="1" customWidth="1"/>
  </cols>
  <sheetData>
    <row r="1" spans="1:15" ht="43.5">
      <c r="A1" s="856"/>
      <c r="B1" s="855" t="s">
        <v>155</v>
      </c>
      <c r="C1" s="855" t="s">
        <v>156</v>
      </c>
      <c r="D1" s="855" t="s">
        <v>157</v>
      </c>
      <c r="E1" s="855" t="s">
        <v>158</v>
      </c>
      <c r="F1" s="855" t="s">
        <v>159</v>
      </c>
      <c r="G1" s="855" t="s">
        <v>160</v>
      </c>
      <c r="H1" s="855" t="s">
        <v>47</v>
      </c>
      <c r="I1" s="855" t="s">
        <v>48</v>
      </c>
      <c r="J1" s="855" t="s">
        <v>161</v>
      </c>
      <c r="K1" s="855" t="s">
        <v>162</v>
      </c>
      <c r="L1" s="855" t="s">
        <v>163</v>
      </c>
      <c r="M1" s="855" t="s">
        <v>164</v>
      </c>
      <c r="N1" s="855"/>
      <c r="O1" s="855" t="s">
        <v>165</v>
      </c>
    </row>
    <row r="2" spans="1:15">
      <c r="O2" s="874" t="e">
        <f>(F2/E2)-1</f>
        <v>#DIV/0!</v>
      </c>
    </row>
    <row r="3" spans="1:15" ht="15" thickBot="1">
      <c r="O3" s="873"/>
    </row>
    <row r="4" spans="1:15">
      <c r="O4" s="872" t="e">
        <f t="shared" ref="O4" si="0">(F4/E4)-1</f>
        <v>#DIV/0!</v>
      </c>
    </row>
    <row r="5" spans="1:15" ht="15" thickBot="1">
      <c r="O5" s="873"/>
    </row>
    <row r="6" spans="1:15">
      <c r="O6" s="872" t="e">
        <f t="shared" ref="O6" si="1">(F6/E6)-1</f>
        <v>#DIV/0!</v>
      </c>
    </row>
    <row r="7" spans="1:15" ht="15" thickBot="1">
      <c r="O7" s="873"/>
    </row>
    <row r="8" spans="1:15">
      <c r="O8" s="872" t="e">
        <f t="shared" ref="O8" si="2">(F8/E8)-1</f>
        <v>#DIV/0!</v>
      </c>
    </row>
    <row r="9" spans="1:15" ht="15" thickBot="1">
      <c r="O9" s="873"/>
    </row>
    <row r="10" spans="1:15">
      <c r="O10" s="872" t="e">
        <f t="shared" ref="O10" si="3">(F10/E10)-1</f>
        <v>#DIV/0!</v>
      </c>
    </row>
    <row r="11" spans="1:15" ht="15" thickBot="1">
      <c r="O11" s="873"/>
    </row>
    <row r="12" spans="1:15">
      <c r="O12" s="872" t="e">
        <f t="shared" ref="O12" si="4">(F12/E12)-1</f>
        <v>#DIV/0!</v>
      </c>
    </row>
    <row r="13" spans="1:15" ht="15" thickBot="1">
      <c r="O13" s="873"/>
    </row>
    <row r="14" spans="1:15">
      <c r="O14" s="872" t="e">
        <f t="shared" ref="O14" si="5">(F14/E14)-1</f>
        <v>#DIV/0!</v>
      </c>
    </row>
    <row r="15" spans="1:15" ht="15" thickBot="1">
      <c r="O15" s="873"/>
    </row>
    <row r="16" spans="1:15">
      <c r="O16" s="872" t="e">
        <f t="shared" ref="O16" si="6">(F16/E16)-1</f>
        <v>#DIV/0!</v>
      </c>
    </row>
    <row r="17" spans="15:15" ht="15" thickBot="1">
      <c r="O17" s="873"/>
    </row>
    <row r="18" spans="15:15">
      <c r="O18" s="872" t="e">
        <f t="shared" ref="O18:O36" si="7">(F18/E18)-1</f>
        <v>#DIV/0!</v>
      </c>
    </row>
    <row r="19" spans="15:15" ht="15" thickBot="1">
      <c r="O19" s="873"/>
    </row>
    <row r="20" spans="15:15">
      <c r="O20" s="872" t="e">
        <f t="shared" si="7"/>
        <v>#DIV/0!</v>
      </c>
    </row>
    <row r="21" spans="15:15" ht="15" thickBot="1">
      <c r="O21" s="873"/>
    </row>
    <row r="22" spans="15:15">
      <c r="O22" s="872" t="e">
        <f t="shared" si="7"/>
        <v>#DIV/0!</v>
      </c>
    </row>
    <row r="23" spans="15:15" ht="15" thickBot="1">
      <c r="O23" s="873"/>
    </row>
    <row r="24" spans="15:15">
      <c r="O24" s="872" t="e">
        <f t="shared" si="7"/>
        <v>#DIV/0!</v>
      </c>
    </row>
    <row r="25" spans="15:15" ht="15" thickBot="1">
      <c r="O25" s="873"/>
    </row>
    <row r="26" spans="15:15">
      <c r="O26" s="872" t="e">
        <f t="shared" si="7"/>
        <v>#DIV/0!</v>
      </c>
    </row>
    <row r="27" spans="15:15" ht="15" thickBot="1">
      <c r="O27" s="873"/>
    </row>
    <row r="28" spans="15:15">
      <c r="O28" s="872" t="e">
        <f t="shared" si="7"/>
        <v>#DIV/0!</v>
      </c>
    </row>
    <row r="29" spans="15:15" ht="15" thickBot="1">
      <c r="O29" s="873"/>
    </row>
    <row r="30" spans="15:15">
      <c r="O30" s="872" t="e">
        <f t="shared" si="7"/>
        <v>#DIV/0!</v>
      </c>
    </row>
    <row r="31" spans="15:15" ht="15" thickBot="1">
      <c r="O31" s="873"/>
    </row>
    <row r="32" spans="15:15">
      <c r="O32" s="872" t="e">
        <f t="shared" si="7"/>
        <v>#DIV/0!</v>
      </c>
    </row>
    <row r="33" spans="15:15" ht="15" thickBot="1">
      <c r="O33" s="873"/>
    </row>
    <row r="34" spans="15:15">
      <c r="O34" s="872" t="e">
        <f t="shared" si="7"/>
        <v>#DIV/0!</v>
      </c>
    </row>
    <row r="35" spans="15:15" ht="15" thickBot="1">
      <c r="O35" s="873"/>
    </row>
    <row r="36" spans="15:15">
      <c r="O36" s="872" t="e">
        <f t="shared" si="7"/>
        <v>#DIV/0!</v>
      </c>
    </row>
    <row r="37" spans="15:15">
      <c r="O37" s="874"/>
    </row>
  </sheetData>
  <mergeCells count="18">
    <mergeCell ref="O2:O3"/>
    <mergeCell ref="O4:O5"/>
    <mergeCell ref="O6:O7"/>
    <mergeCell ref="O8:O9"/>
    <mergeCell ref="O10:O11"/>
    <mergeCell ref="O34:O35"/>
    <mergeCell ref="O36:O37"/>
    <mergeCell ref="O20:O21"/>
    <mergeCell ref="O22:O23"/>
    <mergeCell ref="O24:O25"/>
    <mergeCell ref="O26:O27"/>
    <mergeCell ref="O28:O29"/>
    <mergeCell ref="O30:O31"/>
    <mergeCell ref="O12:O13"/>
    <mergeCell ref="O14:O15"/>
    <mergeCell ref="O16:O17"/>
    <mergeCell ref="O18:O19"/>
    <mergeCell ref="O32:O33"/>
  </mergeCells>
  <conditionalFormatting sqref="O2:O37">
    <cfRule type="cellIs" dxfId="77" priority="1" operator="greaterThan">
      <formula>0.0099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59" t="s">
        <v>9</v>
      </c>
      <c r="K1" s="860"/>
      <c r="L1" s="2" t="s">
        <v>10</v>
      </c>
      <c r="M1" s="4" t="s">
        <v>11</v>
      </c>
      <c r="N1" s="5">
        <f>COUNTIF(I3:I289,"&gt;0")</f>
        <v>119</v>
      </c>
      <c r="O1" s="861" t="s">
        <v>12</v>
      </c>
      <c r="P1" s="862"/>
      <c r="Q1" s="6"/>
      <c r="R1" s="86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68545.430000000022</v>
      </c>
      <c r="J2" s="865">
        <f>SUM(J3:J1000)-J219-J289</f>
        <v>77.150000000000063</v>
      </c>
      <c r="K2" s="866"/>
      <c r="L2" s="16" t="s">
        <v>17</v>
      </c>
      <c r="M2" s="561" t="s">
        <v>18</v>
      </c>
      <c r="N2" s="17">
        <f>COUNTIF(I3:I289,"&lt;0")</f>
        <v>25</v>
      </c>
      <c r="O2" s="18"/>
      <c r="P2" s="18"/>
      <c r="Q2" s="18"/>
      <c r="R2" s="86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>
        <v>43832</v>
      </c>
      <c r="B3" s="23" t="s">
        <v>47</v>
      </c>
      <c r="C3" s="24" t="s">
        <v>69</v>
      </c>
      <c r="D3" s="25" t="s">
        <v>70</v>
      </c>
      <c r="E3" s="24" t="s">
        <v>71</v>
      </c>
      <c r="F3" s="26">
        <v>2600</v>
      </c>
      <c r="G3" s="27">
        <v>7.5999999999999988</v>
      </c>
      <c r="H3" s="28">
        <v>0</v>
      </c>
      <c r="I3" s="29">
        <v>0</v>
      </c>
      <c r="J3" s="30">
        <v>0</v>
      </c>
      <c r="K3" s="31" t="s">
        <v>9</v>
      </c>
      <c r="L3" s="32">
        <f t="shared" ref="L3:L66" si="0">IF(B3="Compra",(F3*G3)+10+(F3*G3*0.000325),"")</f>
        <v>19776.421999999995</v>
      </c>
      <c r="M3" s="33" t="s">
        <v>19</v>
      </c>
      <c r="N3" s="34"/>
      <c r="O3" s="35"/>
      <c r="P3" s="35"/>
      <c r="Q3" s="35"/>
      <c r="R3" s="36">
        <f>'Operações 2019'!R146</f>
        <v>475.09680778173993</v>
      </c>
      <c r="S3" s="562">
        <f t="shared" ref="S3:S218" si="1">IF(R3&lt;&gt;R2,R3-R2,"")</f>
        <v>475.09680778173993</v>
      </c>
      <c r="T3" s="37"/>
      <c r="U3" s="38">
        <f>M7</f>
        <v>-2397.4899999999998</v>
      </c>
      <c r="V3" s="39" t="s">
        <v>20</v>
      </c>
      <c r="W3" s="40">
        <f>M9</f>
        <v>-0.13239999999999999</v>
      </c>
      <c r="X3" s="41">
        <f>IF(I4&lt;&gt;0,I4,"")</f>
        <v>201.58</v>
      </c>
      <c r="Y3" s="42">
        <f>IF(I4&lt;&gt;0,A4,"")</f>
        <v>43833</v>
      </c>
    </row>
    <row r="4" spans="1:25" ht="14.5">
      <c r="A4" s="22">
        <v>43833</v>
      </c>
      <c r="B4" s="23" t="s">
        <v>48</v>
      </c>
      <c r="C4" s="24" t="s">
        <v>69</v>
      </c>
      <c r="D4" s="25" t="s">
        <v>70</v>
      </c>
      <c r="E4" s="24" t="s">
        <v>71</v>
      </c>
      <c r="F4" s="26">
        <v>2600</v>
      </c>
      <c r="G4" s="27">
        <v>7.68</v>
      </c>
      <c r="H4" s="27">
        <v>7.61</v>
      </c>
      <c r="I4" s="43">
        <v>201.58</v>
      </c>
      <c r="J4" s="44">
        <v>1.01</v>
      </c>
      <c r="K4" s="25" t="s">
        <v>9</v>
      </c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479.89528554033552</v>
      </c>
      <c r="S4" s="37">
        <f t="shared" si="1"/>
        <v>4.7984777585955953</v>
      </c>
      <c r="T4" s="37"/>
      <c r="U4" s="38">
        <f>M34</f>
        <v>6051.57</v>
      </c>
      <c r="V4" s="39" t="s">
        <v>22</v>
      </c>
      <c r="W4" s="46">
        <f>M36</f>
        <v>0.2621</v>
      </c>
      <c r="X4" s="41">
        <f>IF(I6&lt;&gt;0,I6,"")</f>
        <v>-1040.3</v>
      </c>
      <c r="Y4" s="42">
        <f>IF(I6&lt;&gt;0,A6,"")</f>
        <v>43838</v>
      </c>
    </row>
    <row r="5" spans="1:25" ht="14.5">
      <c r="A5" s="47">
        <v>43833</v>
      </c>
      <c r="B5" s="48" t="s">
        <v>47</v>
      </c>
      <c r="C5" s="49" t="s">
        <v>69</v>
      </c>
      <c r="D5" s="50" t="s">
        <v>72</v>
      </c>
      <c r="E5" s="49" t="s">
        <v>71</v>
      </c>
      <c r="F5" s="50">
        <v>4200</v>
      </c>
      <c r="G5" s="51">
        <v>4.82</v>
      </c>
      <c r="H5" s="51">
        <v>0</v>
      </c>
      <c r="I5" s="52">
        <v>0</v>
      </c>
      <c r="J5" s="53">
        <v>0</v>
      </c>
      <c r="K5" s="54" t="s">
        <v>9</v>
      </c>
      <c r="L5" s="55">
        <f t="shared" si="0"/>
        <v>20260.579300000001</v>
      </c>
      <c r="M5" s="56">
        <f>IFERROR(AVERAGE(L3:L29),0)</f>
        <v>16829.464550000001</v>
      </c>
      <c r="N5" s="34"/>
      <c r="O5" s="35"/>
      <c r="P5" s="35"/>
      <c r="Q5" s="35"/>
      <c r="R5" s="36">
        <f t="shared" si="2"/>
        <v>479.89528554033552</v>
      </c>
      <c r="S5" s="37" t="str">
        <f t="shared" si="1"/>
        <v/>
      </c>
      <c r="T5" s="37"/>
      <c r="U5" s="38">
        <f>M63</f>
        <v>-3429.1499999999996</v>
      </c>
      <c r="V5" s="39" t="s">
        <v>23</v>
      </c>
      <c r="W5" s="46">
        <f>M65</f>
        <v>-0.10979999999999998</v>
      </c>
      <c r="X5" s="41">
        <f>IF(I8&lt;&gt;0,I8,"")</f>
        <v>221.24</v>
      </c>
      <c r="Y5" s="42">
        <f>IF(I8&lt;&gt;0,A8,"")</f>
        <v>43839</v>
      </c>
    </row>
    <row r="6" spans="1:25" ht="14.5">
      <c r="A6" s="47">
        <v>43838</v>
      </c>
      <c r="B6" s="48" t="s">
        <v>48</v>
      </c>
      <c r="C6" s="49" t="s">
        <v>69</v>
      </c>
      <c r="D6" s="50" t="s">
        <v>72</v>
      </c>
      <c r="E6" s="49" t="s">
        <v>71</v>
      </c>
      <c r="F6" s="50">
        <v>4200</v>
      </c>
      <c r="G6" s="51">
        <v>4.57</v>
      </c>
      <c r="H6" s="51">
        <v>4.82</v>
      </c>
      <c r="I6" s="52">
        <v>-1040.3</v>
      </c>
      <c r="J6" s="53">
        <v>-5.13</v>
      </c>
      <c r="K6" s="54" t="s">
        <v>9</v>
      </c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455.27665739211631</v>
      </c>
      <c r="S6" s="37">
        <f t="shared" si="1"/>
        <v>-24.618628148219216</v>
      </c>
      <c r="T6" s="37"/>
      <c r="U6" s="38">
        <f>M80</f>
        <v>13182.16</v>
      </c>
      <c r="V6" s="39" t="s">
        <v>25</v>
      </c>
      <c r="W6" s="46">
        <f>M82</f>
        <v>0.26580000000000004</v>
      </c>
      <c r="X6" s="41">
        <f>IF(I10&lt;&gt;0,I10,"")</f>
        <v>158.34</v>
      </c>
      <c r="Y6" s="42">
        <f>IF(I10&lt;&gt;0,A10,"")</f>
        <v>43843</v>
      </c>
    </row>
    <row r="7" spans="1:25" ht="14.5">
      <c r="A7" s="22">
        <v>43838</v>
      </c>
      <c r="B7" s="23" t="s">
        <v>47</v>
      </c>
      <c r="C7" s="24" t="s">
        <v>69</v>
      </c>
      <c r="D7" s="25" t="s">
        <v>73</v>
      </c>
      <c r="E7" s="24" t="s">
        <v>71</v>
      </c>
      <c r="F7" s="26">
        <v>2800</v>
      </c>
      <c r="G7" s="27">
        <v>6.12</v>
      </c>
      <c r="H7" s="27">
        <v>0</v>
      </c>
      <c r="I7" s="43">
        <v>0</v>
      </c>
      <c r="J7" s="44">
        <v>0</v>
      </c>
      <c r="K7" s="25" t="s">
        <v>9</v>
      </c>
      <c r="L7" s="32">
        <f t="shared" si="0"/>
        <v>17151.569200000002</v>
      </c>
      <c r="M7" s="56">
        <f>SUM(I3:I29)</f>
        <v>-2397.4899999999998</v>
      </c>
      <c r="N7" s="34"/>
      <c r="O7" s="35"/>
      <c r="P7" s="35"/>
      <c r="Q7" s="35"/>
      <c r="R7" s="36">
        <f t="shared" si="2"/>
        <v>455.27665739211631</v>
      </c>
      <c r="S7" s="37" t="str">
        <f t="shared" si="1"/>
        <v/>
      </c>
      <c r="T7" s="37"/>
      <c r="U7" s="38">
        <f>M111</f>
        <v>12163.04</v>
      </c>
      <c r="V7" s="39" t="s">
        <v>26</v>
      </c>
      <c r="W7" s="46">
        <f>M113</f>
        <v>9.2499999999999999E-2</v>
      </c>
      <c r="X7" s="41">
        <f>IF(I12&lt;&gt;0,I12,"")</f>
        <v>310.72000000000003</v>
      </c>
      <c r="Y7" s="42">
        <f>IF(I12&lt;&gt;0,A12,"")</f>
        <v>43844</v>
      </c>
    </row>
    <row r="8" spans="1:25" ht="14.5">
      <c r="A8" s="22">
        <v>43839</v>
      </c>
      <c r="B8" s="23" t="s">
        <v>48</v>
      </c>
      <c r="C8" s="24" t="s">
        <v>69</v>
      </c>
      <c r="D8" s="25" t="s">
        <v>73</v>
      </c>
      <c r="E8" s="24" t="s">
        <v>71</v>
      </c>
      <c r="F8" s="26">
        <v>2800</v>
      </c>
      <c r="G8" s="27">
        <v>6.2</v>
      </c>
      <c r="H8" s="27">
        <v>6.13</v>
      </c>
      <c r="I8" s="43">
        <v>221.24</v>
      </c>
      <c r="J8" s="44">
        <v>1.28</v>
      </c>
      <c r="K8" s="25" t="s">
        <v>9</v>
      </c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461.10419860673534</v>
      </c>
      <c r="S8" s="37">
        <f t="shared" si="1"/>
        <v>5.827541214619032</v>
      </c>
      <c r="T8" s="37"/>
      <c r="U8" s="38">
        <f>M144</f>
        <v>7232.29</v>
      </c>
      <c r="V8" s="39" t="s">
        <v>28</v>
      </c>
      <c r="W8" s="46">
        <f>M146</f>
        <v>8.0599999999999991E-2</v>
      </c>
      <c r="X8" s="41">
        <f>IF(I14&lt;&gt;0,I14,"")</f>
        <v>137.65</v>
      </c>
      <c r="Y8" s="42">
        <f>IF(I14&lt;&gt;0,A14,"")</f>
        <v>43846</v>
      </c>
    </row>
    <row r="9" spans="1:25" ht="14.5">
      <c r="A9" s="57">
        <v>43840</v>
      </c>
      <c r="B9" s="58" t="s">
        <v>47</v>
      </c>
      <c r="C9" s="59" t="s">
        <v>69</v>
      </c>
      <c r="D9" s="60" t="s">
        <v>74</v>
      </c>
      <c r="E9" s="59" t="s">
        <v>71</v>
      </c>
      <c r="F9" s="60">
        <v>500</v>
      </c>
      <c r="G9" s="61">
        <v>37.25</v>
      </c>
      <c r="H9" s="61">
        <v>0</v>
      </c>
      <c r="I9" s="62">
        <v>0</v>
      </c>
      <c r="J9" s="63">
        <v>0</v>
      </c>
      <c r="K9" s="64" t="s">
        <v>9</v>
      </c>
      <c r="L9" s="65">
        <f t="shared" si="0"/>
        <v>18641.053124999999</v>
      </c>
      <c r="M9" s="66">
        <f>SUM(J3:J29)/100</f>
        <v>-0.13239999999999999</v>
      </c>
      <c r="N9" s="34"/>
      <c r="O9" s="35"/>
      <c r="P9" s="35"/>
      <c r="Q9" s="35"/>
      <c r="R9" s="36">
        <f t="shared" si="2"/>
        <v>461.10419860673534</v>
      </c>
      <c r="S9" s="37" t="str">
        <f t="shared" si="1"/>
        <v/>
      </c>
      <c r="T9" s="37"/>
      <c r="U9" s="38">
        <f>M188</f>
        <v>27971.390000000007</v>
      </c>
      <c r="V9" s="39" t="s">
        <v>29</v>
      </c>
      <c r="W9" s="46">
        <f>M190</f>
        <v>0.21259999999999998</v>
      </c>
      <c r="X9" s="41">
        <f>IF(I16&lt;&gt;0,I16,"")</f>
        <v>-300.66000000000003</v>
      </c>
      <c r="Y9" s="42">
        <f>IF(I16&lt;&gt;0,A16,"")</f>
        <v>43847</v>
      </c>
    </row>
    <row r="10" spans="1:25" ht="14.5">
      <c r="A10" s="57">
        <v>43843</v>
      </c>
      <c r="B10" s="58" t="s">
        <v>48</v>
      </c>
      <c r="C10" s="59" t="s">
        <v>69</v>
      </c>
      <c r="D10" s="60" t="s">
        <v>74</v>
      </c>
      <c r="E10" s="59" t="s">
        <v>71</v>
      </c>
      <c r="F10" s="60">
        <v>500</v>
      </c>
      <c r="G10" s="61">
        <v>37.56</v>
      </c>
      <c r="H10" s="61">
        <v>37.25</v>
      </c>
      <c r="I10" s="62">
        <v>158.34</v>
      </c>
      <c r="J10" s="63">
        <v>0.85</v>
      </c>
      <c r="K10" s="64" t="s">
        <v>9</v>
      </c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465.02358429489254</v>
      </c>
      <c r="S10" s="37">
        <f t="shared" si="1"/>
        <v>3.919385688157206</v>
      </c>
      <c r="T10" s="37"/>
      <c r="U10" s="38">
        <f>M233</f>
        <v>-363.74000000000069</v>
      </c>
      <c r="V10" s="39" t="s">
        <v>30</v>
      </c>
      <c r="W10" s="46">
        <f>M235</f>
        <v>8.9999999999998523E-4</v>
      </c>
      <c r="X10" s="41">
        <f>IF(I18&lt;&gt;0,I18,"")</f>
        <v>165.71</v>
      </c>
      <c r="Y10" s="42">
        <f>IF(I18&lt;&gt;0,A18,"")</f>
        <v>43850</v>
      </c>
    </row>
    <row r="11" spans="1:25" ht="14.5">
      <c r="A11" s="69">
        <v>43843</v>
      </c>
      <c r="B11" s="70" t="s">
        <v>47</v>
      </c>
      <c r="C11" s="71" t="s">
        <v>69</v>
      </c>
      <c r="D11" s="72" t="s">
        <v>75</v>
      </c>
      <c r="E11" s="71" t="s">
        <v>71</v>
      </c>
      <c r="F11" s="72">
        <v>1900</v>
      </c>
      <c r="G11" s="73">
        <v>9.43</v>
      </c>
      <c r="H11" s="73">
        <v>0</v>
      </c>
      <c r="I11" s="74">
        <v>0</v>
      </c>
      <c r="J11" s="75">
        <v>0</v>
      </c>
      <c r="K11" s="76" t="s">
        <v>9</v>
      </c>
      <c r="L11" s="77">
        <f t="shared" si="0"/>
        <v>17932.823025000002</v>
      </c>
      <c r="M11" s="78"/>
      <c r="N11" s="68"/>
      <c r="O11" s="35"/>
      <c r="P11" s="35"/>
      <c r="Q11" s="35"/>
      <c r="R11" s="36">
        <f t="shared" si="2"/>
        <v>465.02358429489254</v>
      </c>
      <c r="S11" s="37" t="str">
        <f t="shared" si="1"/>
        <v/>
      </c>
      <c r="T11" s="37"/>
      <c r="U11" s="38">
        <f>M275</f>
        <v>-21864.04</v>
      </c>
      <c r="V11" s="39" t="s">
        <v>31</v>
      </c>
      <c r="W11" s="46">
        <f>M277</f>
        <v>-0.15099999999999997</v>
      </c>
      <c r="X11" s="41">
        <f>IF(I20&lt;&gt;0,I20,"")</f>
        <v>3.61</v>
      </c>
      <c r="Y11" s="42">
        <f>IF(I20&lt;&gt;0,A20,"")</f>
        <v>43851</v>
      </c>
    </row>
    <row r="12" spans="1:25" ht="14.5">
      <c r="A12" s="69">
        <v>43844</v>
      </c>
      <c r="B12" s="70" t="s">
        <v>48</v>
      </c>
      <c r="C12" s="71" t="s">
        <v>69</v>
      </c>
      <c r="D12" s="72" t="s">
        <v>75</v>
      </c>
      <c r="E12" s="71" t="s">
        <v>71</v>
      </c>
      <c r="F12" s="72">
        <v>1900</v>
      </c>
      <c r="G12" s="73">
        <v>9.6</v>
      </c>
      <c r="H12" s="73">
        <v>9.44</v>
      </c>
      <c r="I12" s="74">
        <v>310.72000000000003</v>
      </c>
      <c r="J12" s="75">
        <v>1.73</v>
      </c>
      <c r="K12" s="76" t="s">
        <v>9</v>
      </c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473.0684923031942</v>
      </c>
      <c r="S12" s="37">
        <f t="shared" si="1"/>
        <v>8.0449080083016611</v>
      </c>
      <c r="T12" s="37"/>
      <c r="U12" s="38">
        <f>M310</f>
        <v>3494.4700000000003</v>
      </c>
      <c r="V12" s="39" t="s">
        <v>32</v>
      </c>
      <c r="W12" s="46">
        <f>M312</f>
        <v>3.2099999999999997E-2</v>
      </c>
      <c r="X12" s="41">
        <f>IF(I22&lt;&gt;0,I22,"")</f>
        <v>115.59</v>
      </c>
      <c r="Y12" s="42">
        <f>IF(I22&lt;&gt;0,A22,"")</f>
        <v>43852</v>
      </c>
    </row>
    <row r="13" spans="1:25" ht="14.5">
      <c r="A13" s="57">
        <v>43845</v>
      </c>
      <c r="B13" s="58" t="s">
        <v>47</v>
      </c>
      <c r="C13" s="59" t="s">
        <v>69</v>
      </c>
      <c r="D13" s="60" t="s">
        <v>74</v>
      </c>
      <c r="E13" s="59" t="s">
        <v>71</v>
      </c>
      <c r="F13" s="60">
        <v>400</v>
      </c>
      <c r="G13" s="61">
        <v>41.33</v>
      </c>
      <c r="H13" s="61">
        <v>0</v>
      </c>
      <c r="I13" s="62">
        <v>0</v>
      </c>
      <c r="J13" s="63">
        <v>0</v>
      </c>
      <c r="K13" s="64" t="s">
        <v>9</v>
      </c>
      <c r="L13" s="67">
        <f t="shared" si="0"/>
        <v>16547.372899999998</v>
      </c>
      <c r="M13" s="78"/>
      <c r="N13" s="68"/>
      <c r="O13" s="35"/>
      <c r="P13" s="35"/>
      <c r="Q13" s="35"/>
      <c r="R13" s="36">
        <f t="shared" si="2"/>
        <v>473.0684923031942</v>
      </c>
      <c r="S13" s="37" t="str">
        <f t="shared" si="1"/>
        <v/>
      </c>
      <c r="T13" s="37"/>
      <c r="U13" s="38">
        <f>M345</f>
        <v>8680.98</v>
      </c>
      <c r="V13" s="39" t="s">
        <v>33</v>
      </c>
      <c r="W13" s="46">
        <f>M347</f>
        <v>7.580000000000002E-2</v>
      </c>
      <c r="X13" s="41">
        <f>IF(I24&lt;&gt;0,I24,"")</f>
        <v>449.9</v>
      </c>
      <c r="Y13" s="42">
        <f>IF(I24&lt;&gt;0,A24,"")</f>
        <v>43853</v>
      </c>
    </row>
    <row r="14" spans="1:25" ht="14.5">
      <c r="A14" s="57">
        <v>43846</v>
      </c>
      <c r="B14" s="58" t="s">
        <v>48</v>
      </c>
      <c r="C14" s="59" t="s">
        <v>69</v>
      </c>
      <c r="D14" s="60" t="s">
        <v>74</v>
      </c>
      <c r="E14" s="59" t="s">
        <v>71</v>
      </c>
      <c r="F14" s="60">
        <v>400</v>
      </c>
      <c r="G14" s="61">
        <v>41.68</v>
      </c>
      <c r="H14" s="61">
        <v>41.34</v>
      </c>
      <c r="I14" s="62">
        <v>137.65</v>
      </c>
      <c r="J14" s="63">
        <v>0.82999999999999985</v>
      </c>
      <c r="K14" s="64" t="s">
        <v>9</v>
      </c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476.99496078931071</v>
      </c>
      <c r="S14" s="37">
        <f t="shared" si="1"/>
        <v>3.9264684861165051</v>
      </c>
      <c r="T14" s="37"/>
      <c r="U14" s="38">
        <f>M382</f>
        <v>17823.95</v>
      </c>
      <c r="V14" s="39" t="s">
        <v>34</v>
      </c>
      <c r="W14" s="46">
        <f>M384</f>
        <v>0.14229999999999998</v>
      </c>
      <c r="X14" s="41">
        <f>IF(I26&lt;&gt;0,I26,"")</f>
        <v>-139.15</v>
      </c>
      <c r="Y14" s="42">
        <f>IF(I26&lt;&gt;0,A26,"")</f>
        <v>43854</v>
      </c>
    </row>
    <row r="15" spans="1:25" ht="14.5">
      <c r="A15" s="79">
        <v>43846</v>
      </c>
      <c r="B15" s="80" t="s">
        <v>47</v>
      </c>
      <c r="C15" s="81" t="s">
        <v>69</v>
      </c>
      <c r="D15" s="82" t="s">
        <v>75</v>
      </c>
      <c r="E15" s="81" t="s">
        <v>71</v>
      </c>
      <c r="F15" s="83">
        <v>1800</v>
      </c>
      <c r="G15" s="84">
        <v>9.58</v>
      </c>
      <c r="H15" s="84">
        <v>0</v>
      </c>
      <c r="I15" s="85">
        <v>0</v>
      </c>
      <c r="J15" s="86">
        <v>0</v>
      </c>
      <c r="K15" s="82" t="s">
        <v>9</v>
      </c>
      <c r="L15" s="87">
        <f t="shared" si="0"/>
        <v>17259.604299999999</v>
      </c>
      <c r="M15" s="78"/>
      <c r="N15" s="68"/>
      <c r="O15" s="35"/>
      <c r="P15" s="35"/>
      <c r="Q15" s="35"/>
      <c r="R15" s="36">
        <f t="shared" si="2"/>
        <v>476.99496078931071</v>
      </c>
      <c r="S15" s="37" t="str">
        <f t="shared" si="1"/>
        <v/>
      </c>
      <c r="T15" s="37"/>
      <c r="U15" s="88"/>
      <c r="W15" s="88"/>
      <c r="X15" s="41">
        <f>IF(I28&lt;&gt;0,I28,"")</f>
        <v>-2681.72</v>
      </c>
      <c r="Y15" s="42">
        <f>IF(I28&lt;&gt;0,A28,"")</f>
        <v>43860</v>
      </c>
    </row>
    <row r="16" spans="1:25" ht="14.5">
      <c r="A16" s="79">
        <v>43847</v>
      </c>
      <c r="B16" s="80" t="s">
        <v>48</v>
      </c>
      <c r="C16" s="81" t="s">
        <v>69</v>
      </c>
      <c r="D16" s="82" t="s">
        <v>75</v>
      </c>
      <c r="E16" s="81" t="s">
        <v>71</v>
      </c>
      <c r="F16" s="83">
        <v>1800</v>
      </c>
      <c r="G16" s="84">
        <v>9.42</v>
      </c>
      <c r="H16" s="84">
        <v>9.59</v>
      </c>
      <c r="I16" s="85">
        <v>-300.66000000000003</v>
      </c>
      <c r="J16" s="86">
        <v>-1.74</v>
      </c>
      <c r="K16" s="82" t="s">
        <v>9</v>
      </c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468.69524847157669</v>
      </c>
      <c r="S16" s="37">
        <f t="shared" si="1"/>
        <v>-8.29971231773402</v>
      </c>
      <c r="T16" s="37"/>
      <c r="U16" s="88"/>
      <c r="V16" s="88"/>
      <c r="W16" s="88"/>
      <c r="X16" s="41">
        <f>IF(I30&lt;&gt;0,I30,"")</f>
        <v>447.24</v>
      </c>
      <c r="Y16" s="42">
        <f>IF(I30&lt;&gt;0,A30,"")</f>
        <v>43864</v>
      </c>
    </row>
    <row r="17" spans="1:25" ht="14.5">
      <c r="A17" s="57">
        <v>43847</v>
      </c>
      <c r="B17" s="58" t="s">
        <v>47</v>
      </c>
      <c r="C17" s="59" t="s">
        <v>69</v>
      </c>
      <c r="D17" s="60" t="s">
        <v>74</v>
      </c>
      <c r="E17" s="59" t="s">
        <v>71</v>
      </c>
      <c r="F17" s="60">
        <v>400</v>
      </c>
      <c r="G17" s="61">
        <v>41.04</v>
      </c>
      <c r="H17" s="61">
        <v>0</v>
      </c>
      <c r="I17" s="62">
        <v>0</v>
      </c>
      <c r="J17" s="63">
        <v>0</v>
      </c>
      <c r="K17" s="64" t="s">
        <v>9</v>
      </c>
      <c r="L17" s="67">
        <f t="shared" si="0"/>
        <v>16431.335200000001</v>
      </c>
      <c r="M17" s="78"/>
      <c r="N17" s="68"/>
      <c r="O17" s="35"/>
      <c r="P17" s="35"/>
      <c r="Q17" s="35"/>
      <c r="R17" s="36">
        <f t="shared" si="2"/>
        <v>468.69524847157669</v>
      </c>
      <c r="S17" s="37" t="str">
        <f t="shared" si="1"/>
        <v/>
      </c>
      <c r="T17" s="37"/>
      <c r="U17" s="88"/>
      <c r="V17" s="88"/>
      <c r="W17" s="88"/>
      <c r="X17" s="41">
        <f>IF(I32&lt;&gt;0,I32,"")</f>
        <v>879.77</v>
      </c>
      <c r="Y17" s="42">
        <f>IF(I32&lt;&gt;0,A32,"")</f>
        <v>43865</v>
      </c>
    </row>
    <row r="18" spans="1:25" ht="14.5">
      <c r="A18" s="57">
        <v>43850</v>
      </c>
      <c r="B18" s="58" t="s">
        <v>48</v>
      </c>
      <c r="C18" s="59" t="s">
        <v>69</v>
      </c>
      <c r="D18" s="60" t="s">
        <v>74</v>
      </c>
      <c r="E18" s="59" t="s">
        <v>71</v>
      </c>
      <c r="F18" s="60">
        <v>400</v>
      </c>
      <c r="G18" s="61">
        <v>41.46</v>
      </c>
      <c r="H18" s="61">
        <v>41.05</v>
      </c>
      <c r="I18" s="62">
        <v>165.71</v>
      </c>
      <c r="J18" s="63">
        <v>1</v>
      </c>
      <c r="K18" s="64" t="s">
        <v>9</v>
      </c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473.38220095629248</v>
      </c>
      <c r="S18" s="37">
        <f t="shared" si="1"/>
        <v>4.6869524847157891</v>
      </c>
      <c r="T18" s="37"/>
      <c r="U18" s="88"/>
      <c r="V18" s="88"/>
      <c r="W18" s="88"/>
      <c r="X18" s="41">
        <f>IF(I34&lt;&gt;0,I34,"")</f>
        <v>474.48</v>
      </c>
      <c r="Y18" s="42">
        <f>IF(I34&lt;&gt;0,A34,"")</f>
        <v>43866</v>
      </c>
    </row>
    <row r="19" spans="1:25" ht="14.5">
      <c r="A19" s="89">
        <v>43850</v>
      </c>
      <c r="B19" s="90" t="s">
        <v>47</v>
      </c>
      <c r="C19" s="91" t="s">
        <v>69</v>
      </c>
      <c r="D19" s="92" t="s">
        <v>75</v>
      </c>
      <c r="E19" s="91" t="s">
        <v>71</v>
      </c>
      <c r="F19" s="93">
        <v>1700</v>
      </c>
      <c r="G19" s="94">
        <v>9.7899999999999991</v>
      </c>
      <c r="H19" s="94">
        <v>0</v>
      </c>
      <c r="I19" s="95">
        <v>0</v>
      </c>
      <c r="J19" s="96">
        <v>0</v>
      </c>
      <c r="K19" s="92" t="s">
        <v>9</v>
      </c>
      <c r="L19" s="97">
        <f t="shared" si="0"/>
        <v>16658.408974999998</v>
      </c>
      <c r="M19" s="78"/>
      <c r="N19" s="68"/>
      <c r="O19" s="35"/>
      <c r="P19" s="35"/>
      <c r="Q19" s="35"/>
      <c r="R19" s="36">
        <f t="shared" si="2"/>
        <v>473.38220095629248</v>
      </c>
      <c r="S19" s="37" t="str">
        <f t="shared" si="1"/>
        <v/>
      </c>
      <c r="T19" s="37"/>
      <c r="U19" s="88"/>
      <c r="V19" s="88"/>
      <c r="W19" s="88"/>
      <c r="X19" s="41">
        <f>IF(I36&lt;&gt;0,I36,"")</f>
        <v>296.2</v>
      </c>
      <c r="Y19" s="42">
        <f>IF(I36&lt;&gt;0,A36,"")</f>
        <v>43867</v>
      </c>
    </row>
    <row r="20" spans="1:25" ht="14.5">
      <c r="A20" s="89">
        <v>43851</v>
      </c>
      <c r="B20" s="90" t="s">
        <v>48</v>
      </c>
      <c r="C20" s="91" t="s">
        <v>69</v>
      </c>
      <c r="D20" s="92" t="s">
        <v>75</v>
      </c>
      <c r="E20" s="91" t="s">
        <v>71</v>
      </c>
      <c r="F20" s="93">
        <v>1700</v>
      </c>
      <c r="G20" s="94">
        <v>9.8000000000000007</v>
      </c>
      <c r="H20" s="94">
        <v>9.8000000000000007</v>
      </c>
      <c r="I20" s="95">
        <v>3.61</v>
      </c>
      <c r="J20" s="96">
        <v>0.02</v>
      </c>
      <c r="K20" s="92" t="s">
        <v>9</v>
      </c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473.4768773964837</v>
      </c>
      <c r="S20" s="37">
        <f t="shared" si="1"/>
        <v>9.46764401912219E-2</v>
      </c>
      <c r="T20" s="37"/>
      <c r="U20" s="88"/>
      <c r="V20" s="88"/>
      <c r="W20" s="88"/>
      <c r="X20" s="41">
        <f>IF(I38&lt;&gt;0,I38,"")</f>
        <v>564.64</v>
      </c>
      <c r="Y20" s="42">
        <f>IF(I38&lt;&gt;0,A38,"")</f>
        <v>43868</v>
      </c>
    </row>
    <row r="21" spans="1:25" ht="14.5">
      <c r="A21" s="57">
        <v>43851</v>
      </c>
      <c r="B21" s="58" t="s">
        <v>47</v>
      </c>
      <c r="C21" s="59" t="s">
        <v>69</v>
      </c>
      <c r="D21" s="60" t="s">
        <v>74</v>
      </c>
      <c r="E21" s="59" t="s">
        <v>71</v>
      </c>
      <c r="F21" s="60">
        <v>300</v>
      </c>
      <c r="G21" s="61">
        <v>44.76</v>
      </c>
      <c r="H21" s="61">
        <v>0</v>
      </c>
      <c r="I21" s="62">
        <v>0</v>
      </c>
      <c r="J21" s="63">
        <v>0</v>
      </c>
      <c r="K21" s="64" t="s">
        <v>9</v>
      </c>
      <c r="L21" s="67">
        <f t="shared" si="0"/>
        <v>13442.364100000001</v>
      </c>
      <c r="M21" s="78"/>
      <c r="N21" s="68"/>
      <c r="O21" s="35"/>
      <c r="P21" s="35"/>
      <c r="Q21" s="35"/>
      <c r="R21" s="36">
        <f t="shared" si="2"/>
        <v>473.4768773964837</v>
      </c>
      <c r="S21" s="37" t="str">
        <f t="shared" si="1"/>
        <v/>
      </c>
      <c r="T21" s="37"/>
      <c r="U21" s="88"/>
      <c r="V21" s="88"/>
      <c r="W21" s="88"/>
      <c r="X21" s="41">
        <f>IF(I39&lt;&gt;0,I39,"")</f>
        <v>-325.77</v>
      </c>
      <c r="Y21" s="42">
        <f>IF(I39&lt;&gt;0,A39,"")</f>
        <v>43872</v>
      </c>
    </row>
    <row r="22" spans="1:25" ht="14.5">
      <c r="A22" s="57">
        <v>43852</v>
      </c>
      <c r="B22" s="58" t="s">
        <v>48</v>
      </c>
      <c r="C22" s="59" t="s">
        <v>69</v>
      </c>
      <c r="D22" s="60" t="s">
        <v>74</v>
      </c>
      <c r="E22" s="59" t="s">
        <v>71</v>
      </c>
      <c r="F22" s="60">
        <v>300</v>
      </c>
      <c r="G22" s="61">
        <v>45.15</v>
      </c>
      <c r="H22" s="61">
        <v>44.77</v>
      </c>
      <c r="I22" s="62">
        <v>115.59</v>
      </c>
      <c r="J22" s="63">
        <v>0.85999999999999976</v>
      </c>
      <c r="K22" s="64" t="s">
        <v>9</v>
      </c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477.54877854209343</v>
      </c>
      <c r="S22" s="37">
        <f t="shared" si="1"/>
        <v>4.0719011456097292</v>
      </c>
      <c r="T22" s="37"/>
      <c r="U22" s="88"/>
      <c r="V22" s="88"/>
      <c r="W22" s="88"/>
      <c r="X22" s="41">
        <f>IF(I41&lt;&gt;0,I41,"")</f>
        <v>401.91</v>
      </c>
      <c r="Y22" s="42">
        <f>IF(I41&lt;&gt;0,A41,"")</f>
        <v>43872</v>
      </c>
    </row>
    <row r="23" spans="1:25" ht="14.5">
      <c r="A23" s="98">
        <v>43852</v>
      </c>
      <c r="B23" s="99" t="s">
        <v>47</v>
      </c>
      <c r="C23" s="100" t="s">
        <v>69</v>
      </c>
      <c r="D23" s="101" t="s">
        <v>76</v>
      </c>
      <c r="E23" s="100" t="s">
        <v>71</v>
      </c>
      <c r="F23" s="102">
        <v>6000</v>
      </c>
      <c r="G23" s="103">
        <v>2.66</v>
      </c>
      <c r="H23" s="103">
        <v>0</v>
      </c>
      <c r="I23" s="104">
        <v>0</v>
      </c>
      <c r="J23" s="105">
        <v>0</v>
      </c>
      <c r="K23" s="101" t="s">
        <v>9</v>
      </c>
      <c r="L23" s="106">
        <f t="shared" si="0"/>
        <v>15975.187</v>
      </c>
      <c r="M23" s="78"/>
      <c r="N23" s="68"/>
      <c r="O23" s="35"/>
      <c r="P23" s="35"/>
      <c r="Q23" s="35"/>
      <c r="R23" s="36">
        <f t="shared" si="2"/>
        <v>477.54877854209343</v>
      </c>
      <c r="S23" s="37" t="str">
        <f t="shared" si="1"/>
        <v/>
      </c>
      <c r="T23" s="37"/>
      <c r="U23" s="88"/>
      <c r="V23" s="88"/>
      <c r="W23" s="88"/>
      <c r="X23" s="41">
        <f>IF(I43&lt;&gt;0,I43,"")</f>
        <v>568.91</v>
      </c>
      <c r="Y23" s="42">
        <f>IF(I43&lt;&gt;0,A43,"")</f>
        <v>43873</v>
      </c>
    </row>
    <row r="24" spans="1:25" ht="14.5">
      <c r="A24" s="98">
        <v>43853</v>
      </c>
      <c r="B24" s="99" t="s">
        <v>48</v>
      </c>
      <c r="C24" s="100" t="s">
        <v>69</v>
      </c>
      <c r="D24" s="101" t="s">
        <v>76</v>
      </c>
      <c r="E24" s="100" t="s">
        <v>71</v>
      </c>
      <c r="F24" s="102">
        <v>6000</v>
      </c>
      <c r="G24" s="103">
        <v>2.73</v>
      </c>
      <c r="H24" s="103">
        <v>2.66</v>
      </c>
      <c r="I24" s="104">
        <v>449.9</v>
      </c>
      <c r="J24" s="105">
        <v>2.81</v>
      </c>
      <c r="K24" s="101" t="s">
        <v>9</v>
      </c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490.96789921912625</v>
      </c>
      <c r="S24" s="37">
        <f t="shared" si="1"/>
        <v>13.419120677032822</v>
      </c>
      <c r="T24" s="37"/>
      <c r="U24" s="88"/>
      <c r="V24" s="88"/>
      <c r="W24" s="88"/>
      <c r="X24" s="41">
        <f>IF(I45&lt;&gt;0,I45,"")</f>
        <v>569.36</v>
      </c>
      <c r="Y24" s="42">
        <f>IF(I45&lt;&gt;0,A45,"")</f>
        <v>43874</v>
      </c>
    </row>
    <row r="25" spans="1:25" ht="14.5">
      <c r="A25" s="107">
        <v>43853</v>
      </c>
      <c r="B25" s="108" t="s">
        <v>47</v>
      </c>
      <c r="C25" s="109" t="s">
        <v>69</v>
      </c>
      <c r="D25" s="110" t="s">
        <v>77</v>
      </c>
      <c r="E25" s="109" t="s">
        <v>71</v>
      </c>
      <c r="F25" s="111">
        <v>500</v>
      </c>
      <c r="G25" s="112">
        <v>29.51</v>
      </c>
      <c r="H25" s="112">
        <v>0</v>
      </c>
      <c r="I25" s="113">
        <v>0</v>
      </c>
      <c r="J25" s="114">
        <v>0</v>
      </c>
      <c r="K25" s="110" t="s">
        <v>9</v>
      </c>
      <c r="L25" s="115">
        <f t="shared" si="0"/>
        <v>14769.795375</v>
      </c>
      <c r="M25" s="78"/>
      <c r="N25" s="68"/>
      <c r="O25" s="35"/>
      <c r="P25" s="35"/>
      <c r="Q25" s="35"/>
      <c r="R25" s="36">
        <f t="shared" si="2"/>
        <v>490.96789921912625</v>
      </c>
      <c r="S25" s="37" t="str">
        <f t="shared" si="1"/>
        <v/>
      </c>
      <c r="T25" s="37"/>
      <c r="U25" s="88"/>
      <c r="V25" s="88"/>
      <c r="W25" s="88"/>
      <c r="X25" s="41">
        <f>IF(I47&lt;&gt;0,I47,"")</f>
        <v>281.82</v>
      </c>
      <c r="Y25" s="42">
        <f>IF(I47&lt;&gt;0,A47,"")</f>
        <v>43875</v>
      </c>
    </row>
    <row r="26" spans="1:25" ht="14.5">
      <c r="A26" s="107">
        <v>43854</v>
      </c>
      <c r="B26" s="108" t="s">
        <v>48</v>
      </c>
      <c r="C26" s="109" t="s">
        <v>69</v>
      </c>
      <c r="D26" s="110" t="s">
        <v>77</v>
      </c>
      <c r="E26" s="109" t="s">
        <v>71</v>
      </c>
      <c r="F26" s="111">
        <v>500</v>
      </c>
      <c r="G26" s="112">
        <v>29.24</v>
      </c>
      <c r="H26" s="112">
        <v>29.52</v>
      </c>
      <c r="I26" s="113">
        <v>-139.15</v>
      </c>
      <c r="J26" s="114">
        <v>-0.93999999999999984</v>
      </c>
      <c r="K26" s="110" t="s">
        <v>9</v>
      </c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486.35280096646648</v>
      </c>
      <c r="S26" s="37">
        <f t="shared" si="1"/>
        <v>-4.6150982526597772</v>
      </c>
      <c r="T26" s="37"/>
      <c r="U26" s="88"/>
      <c r="V26" s="88"/>
      <c r="W26" s="88"/>
      <c r="X26" s="41">
        <f>IF(I49&lt;&gt;0,I49,"")</f>
        <v>612.08000000000004</v>
      </c>
      <c r="Y26" s="42">
        <f>IF(I49&lt;&gt;0,A49,"")</f>
        <v>43878</v>
      </c>
    </row>
    <row r="27" spans="1:25" ht="14.5">
      <c r="A27" s="79">
        <v>43854</v>
      </c>
      <c r="B27" s="80" t="s">
        <v>47</v>
      </c>
      <c r="C27" s="81" t="s">
        <v>69</v>
      </c>
      <c r="D27" s="82" t="s">
        <v>75</v>
      </c>
      <c r="E27" s="81" t="s">
        <v>71</v>
      </c>
      <c r="F27" s="83">
        <v>1700</v>
      </c>
      <c r="G27" s="84">
        <v>9.9600000000000009</v>
      </c>
      <c r="H27" s="84">
        <v>0</v>
      </c>
      <c r="I27" s="85">
        <v>0</v>
      </c>
      <c r="J27" s="86">
        <v>0</v>
      </c>
      <c r="K27" s="82" t="s">
        <v>9</v>
      </c>
      <c r="L27" s="87">
        <f t="shared" si="0"/>
        <v>16947.502899999999</v>
      </c>
      <c r="M27" s="78"/>
      <c r="N27" s="68"/>
      <c r="O27" s="35"/>
      <c r="P27" s="35"/>
      <c r="Q27" s="35"/>
      <c r="R27" s="36">
        <f t="shared" si="2"/>
        <v>486.35280096646648</v>
      </c>
      <c r="S27" s="37" t="str">
        <f t="shared" si="1"/>
        <v/>
      </c>
      <c r="T27" s="37"/>
      <c r="U27" s="88"/>
      <c r="V27" s="88"/>
      <c r="W27" s="88"/>
      <c r="X27" s="41">
        <f>IF(I51&lt;&gt;0,I51,"")</f>
        <v>-246.65</v>
      </c>
      <c r="Y27" s="42">
        <f>IF(I51&lt;&gt;0,A51,"")</f>
        <v>43879</v>
      </c>
    </row>
    <row r="28" spans="1:25" ht="14.5">
      <c r="A28" s="79">
        <v>43860</v>
      </c>
      <c r="B28" s="80" t="s">
        <v>48</v>
      </c>
      <c r="C28" s="81" t="s">
        <v>69</v>
      </c>
      <c r="D28" s="82" t="s">
        <v>75</v>
      </c>
      <c r="E28" s="81" t="s">
        <v>71</v>
      </c>
      <c r="F28" s="83">
        <v>1700</v>
      </c>
      <c r="G28" s="84">
        <v>8.39</v>
      </c>
      <c r="H28" s="84">
        <v>9.9700000000000006</v>
      </c>
      <c r="I28" s="85">
        <v>-2681.72</v>
      </c>
      <c r="J28" s="86">
        <v>-15.82</v>
      </c>
      <c r="K28" s="82" t="s">
        <v>9</v>
      </c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409.41178785357147</v>
      </c>
      <c r="S28" s="37">
        <f t="shared" si="1"/>
        <v>-76.941013112895007</v>
      </c>
      <c r="T28" s="37"/>
      <c r="U28" s="88"/>
      <c r="V28" s="88"/>
      <c r="W28" s="88"/>
      <c r="X28" s="41">
        <f>IF(I53&lt;&gt;0,I53,"")</f>
        <v>661.14</v>
      </c>
      <c r="Y28" s="42">
        <f>IF(I53&lt;&gt;0,A53,"")</f>
        <v>43880</v>
      </c>
    </row>
    <row r="29" spans="1:25" ht="14.5">
      <c r="A29" s="116">
        <v>43861</v>
      </c>
      <c r="B29" s="99" t="s">
        <v>47</v>
      </c>
      <c r="C29" s="100" t="s">
        <v>69</v>
      </c>
      <c r="D29" s="101" t="s">
        <v>76</v>
      </c>
      <c r="E29" s="100" t="s">
        <v>71</v>
      </c>
      <c r="F29" s="102">
        <v>6800</v>
      </c>
      <c r="G29" s="103">
        <v>2.0299999999999998</v>
      </c>
      <c r="H29" s="103">
        <v>0</v>
      </c>
      <c r="I29" s="117">
        <v>0</v>
      </c>
      <c r="J29" s="105">
        <v>0</v>
      </c>
      <c r="K29" s="101" t="s">
        <v>9</v>
      </c>
      <c r="L29" s="106">
        <f t="shared" si="0"/>
        <v>13818.486299999999</v>
      </c>
      <c r="M29" s="383"/>
      <c r="N29" s="68"/>
      <c r="O29" s="35"/>
      <c r="P29" s="35"/>
      <c r="Q29" s="35"/>
      <c r="R29" s="36">
        <f t="shared" si="2"/>
        <v>409.41178785357147</v>
      </c>
      <c r="S29" s="37" t="str">
        <f t="shared" si="1"/>
        <v/>
      </c>
      <c r="T29" s="37"/>
      <c r="U29" s="88"/>
      <c r="V29" s="88"/>
      <c r="W29" s="88"/>
      <c r="X29" s="41">
        <f>IF(I55&lt;&gt;0,I55,"")</f>
        <v>710.91</v>
      </c>
      <c r="Y29" s="42">
        <f>IF(I55&lt;&gt;0,A55,"")</f>
        <v>43882</v>
      </c>
    </row>
    <row r="30" spans="1:25" ht="14.5">
      <c r="A30" s="118">
        <v>43864</v>
      </c>
      <c r="B30" s="119" t="s">
        <v>48</v>
      </c>
      <c r="C30" s="120" t="s">
        <v>69</v>
      </c>
      <c r="D30" s="121" t="s">
        <v>76</v>
      </c>
      <c r="E30" s="120" t="s">
        <v>71</v>
      </c>
      <c r="F30" s="121">
        <v>6800</v>
      </c>
      <c r="G30" s="122">
        <v>2.09</v>
      </c>
      <c r="H30" s="122">
        <v>2.0299999999999998</v>
      </c>
      <c r="I30" s="123">
        <v>447.24</v>
      </c>
      <c r="J30" s="124">
        <v>3.23</v>
      </c>
      <c r="K30" s="125" t="s">
        <v>9</v>
      </c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422.63578860124181</v>
      </c>
      <c r="S30" s="37">
        <f t="shared" si="1"/>
        <v>13.224000747670345</v>
      </c>
      <c r="T30" s="37"/>
      <c r="U30" s="88"/>
      <c r="V30" s="88"/>
      <c r="W30" s="88"/>
      <c r="X30" s="41">
        <f>IF(I57&lt;&gt;0,I57,"")</f>
        <v>155.53</v>
      </c>
      <c r="Y30" s="42">
        <f>IF(I57&lt;&gt;0,A57,"")</f>
        <v>43888</v>
      </c>
    </row>
    <row r="31" spans="1:25" ht="14.5">
      <c r="A31" s="57">
        <v>43864</v>
      </c>
      <c r="B31" s="58" t="s">
        <v>47</v>
      </c>
      <c r="C31" s="59" t="s">
        <v>69</v>
      </c>
      <c r="D31" s="60" t="s">
        <v>74</v>
      </c>
      <c r="E31" s="59" t="s">
        <v>71</v>
      </c>
      <c r="F31" s="60">
        <v>300</v>
      </c>
      <c r="G31" s="61">
        <v>48.01</v>
      </c>
      <c r="H31" s="61">
        <v>0</v>
      </c>
      <c r="I31" s="62">
        <v>0</v>
      </c>
      <c r="J31" s="63">
        <v>0</v>
      </c>
      <c r="K31" s="64" t="s">
        <v>9</v>
      </c>
      <c r="L31" s="65">
        <f t="shared" si="0"/>
        <v>14417.680974999999</v>
      </c>
      <c r="M31" s="45" t="s">
        <v>21</v>
      </c>
      <c r="N31" s="34"/>
      <c r="O31" s="35"/>
      <c r="P31" s="35"/>
      <c r="Q31" s="35"/>
      <c r="R31" s="36">
        <f t="shared" si="2"/>
        <v>422.63578860124181</v>
      </c>
      <c r="S31" s="37" t="str">
        <f t="shared" si="1"/>
        <v/>
      </c>
      <c r="T31" s="37"/>
      <c r="U31" s="88"/>
      <c r="V31" s="88"/>
      <c r="W31" s="88"/>
      <c r="X31" s="41">
        <f>IF(I59&lt;&gt;0,I59,"")</f>
        <v>455.19</v>
      </c>
      <c r="Y31" s="42">
        <f>IF(I59&lt;&gt;0,A59,"")</f>
        <v>43892</v>
      </c>
    </row>
    <row r="32" spans="1:25" ht="14.5">
      <c r="A32" s="57">
        <v>43865</v>
      </c>
      <c r="B32" s="58" t="s">
        <v>48</v>
      </c>
      <c r="C32" s="59" t="s">
        <v>69</v>
      </c>
      <c r="D32" s="60" t="s">
        <v>74</v>
      </c>
      <c r="E32" s="59" t="s">
        <v>71</v>
      </c>
      <c r="F32" s="60">
        <v>300</v>
      </c>
      <c r="G32" s="61">
        <v>50.95</v>
      </c>
      <c r="H32" s="61">
        <v>48.02</v>
      </c>
      <c r="I32" s="62">
        <v>879.77</v>
      </c>
      <c r="J32" s="63">
        <v>6.1</v>
      </c>
      <c r="K32" s="64" t="s">
        <v>9</v>
      </c>
      <c r="L32" s="65" t="str">
        <f t="shared" si="0"/>
        <v/>
      </c>
      <c r="M32" s="56">
        <f>IFERROR(AVERAGE(L30:L58),0)</f>
        <v>28095.053248214284</v>
      </c>
      <c r="N32" s="34"/>
      <c r="O32" s="35"/>
      <c r="P32" s="35"/>
      <c r="Q32" s="35"/>
      <c r="R32" s="36">
        <f t="shared" si="2"/>
        <v>448.41657170591753</v>
      </c>
      <c r="S32" s="37">
        <f t="shared" si="1"/>
        <v>25.78078310467572</v>
      </c>
      <c r="T32" s="37"/>
      <c r="U32" s="88"/>
      <c r="V32" s="88"/>
      <c r="W32" s="88"/>
      <c r="X32" s="41">
        <f>IF(I61&lt;&gt;0,I61,"")</f>
        <v>1185.07</v>
      </c>
      <c r="Y32" s="42">
        <f>IF(I61&lt;&gt;0,A61,"")</f>
        <v>43893</v>
      </c>
    </row>
    <row r="33" spans="1:25" ht="14.5">
      <c r="A33" s="98">
        <v>43865</v>
      </c>
      <c r="B33" s="99" t="s">
        <v>47</v>
      </c>
      <c r="C33" s="100" t="s">
        <v>69</v>
      </c>
      <c r="D33" s="101" t="s">
        <v>76</v>
      </c>
      <c r="E33" s="100" t="s">
        <v>71</v>
      </c>
      <c r="F33" s="102">
        <v>7200</v>
      </c>
      <c r="G33" s="103">
        <v>2.1</v>
      </c>
      <c r="H33" s="103">
        <v>0</v>
      </c>
      <c r="I33" s="104">
        <v>0</v>
      </c>
      <c r="J33" s="105">
        <v>0</v>
      </c>
      <c r="K33" s="101" t="s">
        <v>9</v>
      </c>
      <c r="L33" s="126">
        <f t="shared" si="0"/>
        <v>15134.914000000001</v>
      </c>
      <c r="M33" s="45" t="s">
        <v>24</v>
      </c>
      <c r="N33" s="34"/>
      <c r="O33" s="35"/>
      <c r="P33" s="35"/>
      <c r="Q33" s="35"/>
      <c r="R33" s="36">
        <f t="shared" si="2"/>
        <v>448.41657170591753</v>
      </c>
      <c r="S33" s="37" t="str">
        <f t="shared" si="1"/>
        <v/>
      </c>
      <c r="T33" s="37"/>
      <c r="U33" s="88"/>
      <c r="V33" s="88"/>
      <c r="W33" s="88"/>
      <c r="X33" s="41">
        <f>IF(I63&lt;&gt;0,I63,"")</f>
        <v>1864.28</v>
      </c>
      <c r="Y33" s="42">
        <f>IF(I63&lt;&gt;0,A63,"")</f>
        <v>43894</v>
      </c>
    </row>
    <row r="34" spans="1:25" ht="14.5">
      <c r="A34" s="98">
        <v>43866</v>
      </c>
      <c r="B34" s="99" t="s">
        <v>48</v>
      </c>
      <c r="C34" s="100" t="s">
        <v>69</v>
      </c>
      <c r="D34" s="101" t="s">
        <v>76</v>
      </c>
      <c r="E34" s="100" t="s">
        <v>71</v>
      </c>
      <c r="F34" s="102">
        <v>7200</v>
      </c>
      <c r="G34" s="103">
        <v>2.16</v>
      </c>
      <c r="H34" s="103">
        <v>2.1</v>
      </c>
      <c r="I34" s="104">
        <v>474.48</v>
      </c>
      <c r="J34" s="105">
        <v>3.13</v>
      </c>
      <c r="K34" s="101" t="s">
        <v>9</v>
      </c>
      <c r="L34" s="126" t="str">
        <f t="shared" si="0"/>
        <v/>
      </c>
      <c r="M34" s="56">
        <f>SUM(I30:I58)</f>
        <v>6051.57</v>
      </c>
      <c r="N34" s="34"/>
      <c r="O34" s="35"/>
      <c r="P34" s="35"/>
      <c r="Q34" s="35"/>
      <c r="R34" s="36">
        <f t="shared" si="2"/>
        <v>462.45201040031282</v>
      </c>
      <c r="S34" s="37">
        <f t="shared" si="1"/>
        <v>14.035438694395282</v>
      </c>
      <c r="T34" s="37"/>
      <c r="U34" s="88"/>
      <c r="V34" s="88"/>
      <c r="W34" s="88"/>
      <c r="X34" s="41">
        <f>IF(I65&lt;&gt;0,I65,"")</f>
        <v>-13151.25</v>
      </c>
      <c r="Y34" s="42">
        <f>IF(I65&lt;&gt;0,A65,"")</f>
        <v>43902</v>
      </c>
    </row>
    <row r="35" spans="1:25" ht="14.5">
      <c r="A35" s="127">
        <v>43866</v>
      </c>
      <c r="B35" s="128" t="s">
        <v>47</v>
      </c>
      <c r="C35" s="129" t="s">
        <v>69</v>
      </c>
      <c r="D35" s="130" t="s">
        <v>78</v>
      </c>
      <c r="E35" s="129" t="s">
        <v>71</v>
      </c>
      <c r="F35" s="130">
        <v>2100</v>
      </c>
      <c r="G35" s="131">
        <v>15.14</v>
      </c>
      <c r="H35" s="131">
        <v>0</v>
      </c>
      <c r="I35" s="132">
        <v>0</v>
      </c>
      <c r="J35" s="133">
        <v>0</v>
      </c>
      <c r="K35" s="134" t="s">
        <v>9</v>
      </c>
      <c r="L35" s="135">
        <f t="shared" si="0"/>
        <v>31814.333050000001</v>
      </c>
      <c r="M35" s="45" t="s">
        <v>27</v>
      </c>
      <c r="N35" s="34"/>
      <c r="O35" s="78"/>
      <c r="P35" s="78"/>
      <c r="Q35" s="78"/>
      <c r="R35" s="36">
        <f t="shared" si="2"/>
        <v>462.45201040031282</v>
      </c>
      <c r="S35" s="37" t="str">
        <f t="shared" si="1"/>
        <v/>
      </c>
      <c r="T35" s="37"/>
      <c r="X35" s="41">
        <f>IF(I67&lt;&gt;0,I67,"")</f>
        <v>-1375.52</v>
      </c>
      <c r="Y35" s="42">
        <f>IF(I67&lt;&gt;0,A67,"")</f>
        <v>43906</v>
      </c>
    </row>
    <row r="36" spans="1:25" ht="14.5">
      <c r="A36" s="127">
        <v>43867</v>
      </c>
      <c r="B36" s="128" t="s">
        <v>48</v>
      </c>
      <c r="C36" s="129" t="s">
        <v>69</v>
      </c>
      <c r="D36" s="134" t="s">
        <v>78</v>
      </c>
      <c r="E36" s="129" t="s">
        <v>71</v>
      </c>
      <c r="F36" s="130">
        <v>2100</v>
      </c>
      <c r="G36" s="131">
        <v>15.29</v>
      </c>
      <c r="H36" s="131">
        <v>15.15</v>
      </c>
      <c r="I36" s="132">
        <v>296.2</v>
      </c>
      <c r="J36" s="133">
        <v>0.93</v>
      </c>
      <c r="K36" s="134" t="s">
        <v>9</v>
      </c>
      <c r="L36" s="135" t="str">
        <f t="shared" si="0"/>
        <v/>
      </c>
      <c r="M36" s="66">
        <f>SUM(J30:J58)/100</f>
        <v>0.2621</v>
      </c>
      <c r="N36" s="34"/>
      <c r="O36" s="68"/>
      <c r="P36" s="68"/>
      <c r="Q36" s="68"/>
      <c r="R36" s="36">
        <f t="shared" si="2"/>
        <v>466.75281409703575</v>
      </c>
      <c r="S36" s="37">
        <f t="shared" si="1"/>
        <v>4.3008036967229373</v>
      </c>
      <c r="T36" s="37"/>
      <c r="U36" s="136"/>
      <c r="V36" s="136"/>
      <c r="W36" s="136"/>
      <c r="X36" s="41">
        <f>IF(I70&lt;&gt;0,I70,"")</f>
        <v>1570.59</v>
      </c>
      <c r="Y36" s="42">
        <f>IF(I70&lt;&gt;0,A70,"")</f>
        <v>43910</v>
      </c>
    </row>
    <row r="37" spans="1:25" ht="14.5">
      <c r="A37" s="98">
        <v>43867</v>
      </c>
      <c r="B37" s="99" t="s">
        <v>47</v>
      </c>
      <c r="C37" s="100" t="s">
        <v>69</v>
      </c>
      <c r="D37" s="101" t="s">
        <v>76</v>
      </c>
      <c r="E37" s="100" t="s">
        <v>71</v>
      </c>
      <c r="F37" s="102">
        <v>15000</v>
      </c>
      <c r="G37" s="103">
        <v>2.0499999999999998</v>
      </c>
      <c r="H37" s="103">
        <v>0</v>
      </c>
      <c r="I37" s="104">
        <v>0</v>
      </c>
      <c r="J37" s="105">
        <v>0</v>
      </c>
      <c r="K37" s="101" t="s">
        <v>9</v>
      </c>
      <c r="L37" s="106">
        <f t="shared" si="0"/>
        <v>30769.993749999998</v>
      </c>
      <c r="M37" s="388"/>
      <c r="N37" s="68"/>
      <c r="O37" s="68"/>
      <c r="P37" s="68"/>
      <c r="Q37" s="68"/>
      <c r="R37" s="36">
        <f t="shared" si="2"/>
        <v>466.75281409703575</v>
      </c>
      <c r="S37" s="37" t="str">
        <f t="shared" si="1"/>
        <v/>
      </c>
      <c r="T37" s="37"/>
      <c r="U37" s="136"/>
      <c r="V37" s="136"/>
      <c r="W37" s="136"/>
      <c r="X37" s="41">
        <f>IF(I72&lt;&gt;0,I72,"")</f>
        <v>1371.81</v>
      </c>
      <c r="Y37" s="42">
        <f>IF(I72&lt;&gt;0,A72,"")</f>
        <v>43915</v>
      </c>
    </row>
    <row r="38" spans="1:25" ht="14.5">
      <c r="A38" s="98">
        <v>43868</v>
      </c>
      <c r="B38" s="99" t="s">
        <v>48</v>
      </c>
      <c r="C38" s="100" t="s">
        <v>69</v>
      </c>
      <c r="D38" s="101" t="s">
        <v>76</v>
      </c>
      <c r="E38" s="100" t="s">
        <v>71</v>
      </c>
      <c r="F38" s="102">
        <v>9900</v>
      </c>
      <c r="G38" s="103">
        <v>2.1</v>
      </c>
      <c r="H38" s="103">
        <v>2.0499999999999998</v>
      </c>
      <c r="I38" s="104">
        <v>564.64</v>
      </c>
      <c r="J38" s="105">
        <v>2.78</v>
      </c>
      <c r="K38" s="101" t="s">
        <v>9</v>
      </c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479.72854232893337</v>
      </c>
      <c r="S38" s="37">
        <f t="shared" si="1"/>
        <v>12.975728231897619</v>
      </c>
      <c r="T38" s="37"/>
      <c r="U38" s="136"/>
      <c r="V38" s="136"/>
      <c r="W38" s="136"/>
      <c r="X38" s="41">
        <f>IF(I74&lt;&gt;0,I74,"")</f>
        <v>4650.68</v>
      </c>
      <c r="Y38" s="42">
        <f>IF(I74&lt;&gt;0,A74,"")</f>
        <v>43916</v>
      </c>
    </row>
    <row r="39" spans="1:25" ht="14.5">
      <c r="A39" s="98">
        <v>43872</v>
      </c>
      <c r="B39" s="137" t="s">
        <v>48</v>
      </c>
      <c r="C39" s="138" t="s">
        <v>69</v>
      </c>
      <c r="D39" s="139" t="s">
        <v>76</v>
      </c>
      <c r="E39" s="138" t="s">
        <v>71</v>
      </c>
      <c r="F39" s="140">
        <v>5100</v>
      </c>
      <c r="G39" s="141">
        <v>1.98</v>
      </c>
      <c r="H39" s="141">
        <v>2.0499999999999998</v>
      </c>
      <c r="I39" s="142">
        <v>-325.77</v>
      </c>
      <c r="J39" s="143">
        <v>-3.11</v>
      </c>
      <c r="K39" s="139" t="s">
        <v>9</v>
      </c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464.80898466250352</v>
      </c>
      <c r="S39" s="37">
        <f t="shared" si="1"/>
        <v>-14.919557666429853</v>
      </c>
      <c r="T39" s="37"/>
      <c r="U39" s="136"/>
      <c r="V39" s="136"/>
      <c r="W39" s="136"/>
      <c r="X39" s="41">
        <f>IF(I76&lt;&gt;0,I76,"")</f>
        <v>-226.88</v>
      </c>
      <c r="Y39" s="42">
        <f>IF(I76&lt;&gt;0,A76,"")</f>
        <v>43923</v>
      </c>
    </row>
    <row r="40" spans="1:25" ht="14.5">
      <c r="A40" s="127">
        <v>43871</v>
      </c>
      <c r="B40" s="128" t="s">
        <v>47</v>
      </c>
      <c r="C40" s="129" t="s">
        <v>69</v>
      </c>
      <c r="D40" s="130" t="s">
        <v>78</v>
      </c>
      <c r="E40" s="129" t="s">
        <v>71</v>
      </c>
      <c r="F40" s="130">
        <v>1400</v>
      </c>
      <c r="G40" s="131">
        <v>13.8</v>
      </c>
      <c r="H40" s="131">
        <v>0</v>
      </c>
      <c r="I40" s="132">
        <v>0</v>
      </c>
      <c r="J40" s="133">
        <v>0</v>
      </c>
      <c r="K40" s="134" t="s">
        <v>9</v>
      </c>
      <c r="L40" s="145">
        <f t="shared" si="0"/>
        <v>19336.278999999999</v>
      </c>
      <c r="M40" s="78"/>
      <c r="N40" s="68"/>
      <c r="O40" s="68"/>
      <c r="P40" s="68"/>
      <c r="Q40" s="68"/>
      <c r="R40" s="36">
        <f t="shared" si="2"/>
        <v>464.80898466250352</v>
      </c>
      <c r="S40" s="37" t="str">
        <f t="shared" si="1"/>
        <v/>
      </c>
      <c r="T40" s="37"/>
      <c r="U40" s="136"/>
      <c r="V40" s="136"/>
      <c r="W40" s="136"/>
      <c r="X40" s="41">
        <f>IF(I78&lt;&gt;0,I78,"")</f>
        <v>765.61</v>
      </c>
      <c r="Y40" s="42">
        <f>IF(I78&lt;&gt;0,A78,"")</f>
        <v>43924</v>
      </c>
    </row>
    <row r="41" spans="1:25" ht="14.5">
      <c r="A41" s="127">
        <v>43872</v>
      </c>
      <c r="B41" s="128" t="s">
        <v>48</v>
      </c>
      <c r="C41" s="129" t="s">
        <v>69</v>
      </c>
      <c r="D41" s="130" t="s">
        <v>78</v>
      </c>
      <c r="E41" s="129" t="s">
        <v>71</v>
      </c>
      <c r="F41" s="130">
        <v>1400</v>
      </c>
      <c r="G41" s="131">
        <v>14.08</v>
      </c>
      <c r="H41" s="131">
        <v>13.8</v>
      </c>
      <c r="I41" s="132">
        <v>401.91</v>
      </c>
      <c r="J41" s="133">
        <v>2.08</v>
      </c>
      <c r="K41" s="134" t="s">
        <v>9</v>
      </c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474.47701154348357</v>
      </c>
      <c r="S41" s="37">
        <f t="shared" si="1"/>
        <v>9.6680268809800509</v>
      </c>
      <c r="T41" s="37"/>
      <c r="U41" s="136"/>
      <c r="V41" s="136"/>
      <c r="W41" s="136"/>
      <c r="X41" s="41">
        <f>IF(I80&lt;&gt;0,I80,"")</f>
        <v>1207.2600000000002</v>
      </c>
      <c r="Y41" s="42">
        <f>IF(I80&lt;&gt;0,A80,"")</f>
        <v>43927</v>
      </c>
    </row>
    <row r="42" spans="1:25" ht="14.5">
      <c r="A42" s="57">
        <v>43872</v>
      </c>
      <c r="B42" s="58" t="s">
        <v>47</v>
      </c>
      <c r="C42" s="59" t="s">
        <v>69</v>
      </c>
      <c r="D42" s="60" t="s">
        <v>74</v>
      </c>
      <c r="E42" s="59" t="s">
        <v>71</v>
      </c>
      <c r="F42" s="60">
        <v>600</v>
      </c>
      <c r="G42" s="61">
        <v>45.52</v>
      </c>
      <c r="H42" s="61">
        <v>0</v>
      </c>
      <c r="I42" s="62">
        <v>0</v>
      </c>
      <c r="J42" s="63">
        <v>0</v>
      </c>
      <c r="K42" s="64" t="s">
        <v>9</v>
      </c>
      <c r="L42" s="67">
        <f t="shared" si="0"/>
        <v>27330.876400000005</v>
      </c>
      <c r="M42" s="78"/>
      <c r="N42" s="68"/>
      <c r="O42" s="68"/>
      <c r="P42" s="68"/>
      <c r="Q42" s="68"/>
      <c r="R42" s="36">
        <f t="shared" si="2"/>
        <v>474.47701154348357</v>
      </c>
      <c r="S42" s="37" t="str">
        <f t="shared" si="1"/>
        <v/>
      </c>
      <c r="T42" s="37"/>
      <c r="U42" s="136"/>
      <c r="V42" s="136"/>
      <c r="W42" s="136"/>
      <c r="X42" s="41">
        <f>IF(I82&lt;&gt;0,I82,"")</f>
        <v>1028.57</v>
      </c>
      <c r="Y42" s="42">
        <f>IF(I82&lt;&gt;0,A82,"")</f>
        <v>43928</v>
      </c>
    </row>
    <row r="43" spans="1:25" ht="14.5">
      <c r="A43" s="57">
        <v>43873</v>
      </c>
      <c r="B43" s="58" t="s">
        <v>48</v>
      </c>
      <c r="C43" s="59" t="s">
        <v>69</v>
      </c>
      <c r="D43" s="60" t="s">
        <v>74</v>
      </c>
      <c r="E43" s="59" t="s">
        <v>71</v>
      </c>
      <c r="F43" s="60">
        <v>600</v>
      </c>
      <c r="G43" s="61">
        <v>46.46</v>
      </c>
      <c r="H43" s="61">
        <v>45.52</v>
      </c>
      <c r="I43" s="62">
        <v>568.91</v>
      </c>
      <c r="J43" s="63">
        <v>2.08</v>
      </c>
      <c r="K43" s="64" t="s">
        <v>9</v>
      </c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484.34613338358798</v>
      </c>
      <c r="S43" s="37">
        <f t="shared" si="1"/>
        <v>9.8691218401044125</v>
      </c>
      <c r="T43" s="37"/>
      <c r="U43" s="136"/>
      <c r="V43" s="136"/>
      <c r="W43" s="136"/>
      <c r="X43" s="41">
        <f>IF(I84&lt;&gt;0,I84,"")</f>
        <v>454.98</v>
      </c>
      <c r="Y43" s="42">
        <f>IF(I84&lt;&gt;0,A84,"")</f>
        <v>43930</v>
      </c>
    </row>
    <row r="44" spans="1:25" ht="14.5">
      <c r="A44" s="98">
        <v>43873</v>
      </c>
      <c r="B44" s="137" t="s">
        <v>47</v>
      </c>
      <c r="C44" s="138" t="s">
        <v>69</v>
      </c>
      <c r="D44" s="139" t="s">
        <v>76</v>
      </c>
      <c r="E44" s="138" t="s">
        <v>71</v>
      </c>
      <c r="F44" s="140">
        <v>15200</v>
      </c>
      <c r="G44" s="141">
        <v>1.96</v>
      </c>
      <c r="H44" s="141">
        <v>0</v>
      </c>
      <c r="I44" s="142">
        <v>0</v>
      </c>
      <c r="J44" s="143">
        <v>0</v>
      </c>
      <c r="K44" s="139" t="s">
        <v>9</v>
      </c>
      <c r="L44" s="144">
        <f t="shared" si="0"/>
        <v>29811.682400000002</v>
      </c>
      <c r="M44" s="78"/>
      <c r="N44" s="68"/>
      <c r="O44" s="68"/>
      <c r="P44" s="68"/>
      <c r="Q44" s="68"/>
      <c r="R44" s="36">
        <f t="shared" si="2"/>
        <v>484.34613338358798</v>
      </c>
      <c r="S44" s="37" t="str">
        <f t="shared" si="1"/>
        <v/>
      </c>
      <c r="T44" s="37"/>
      <c r="U44" s="136"/>
      <c r="V44" s="136"/>
      <c r="W44" s="136"/>
      <c r="X44" s="41">
        <f>IF(I86&lt;&gt;0,I86,"")</f>
        <v>22.44</v>
      </c>
      <c r="Y44" s="42">
        <f>IF(I86&lt;&gt;0,A86,"")</f>
        <v>43934</v>
      </c>
    </row>
    <row r="45" spans="1:25" ht="14.5">
      <c r="A45" s="98">
        <v>43874</v>
      </c>
      <c r="B45" s="137" t="s">
        <v>48</v>
      </c>
      <c r="C45" s="138" t="s">
        <v>69</v>
      </c>
      <c r="D45" s="139" t="s">
        <v>76</v>
      </c>
      <c r="E45" s="138" t="s">
        <v>71</v>
      </c>
      <c r="F45" s="140">
        <v>15200</v>
      </c>
      <c r="G45" s="141">
        <v>1.99</v>
      </c>
      <c r="H45" s="141">
        <v>1.96</v>
      </c>
      <c r="I45" s="142">
        <v>569.36</v>
      </c>
      <c r="J45" s="143">
        <v>1.9</v>
      </c>
      <c r="K45" s="139" t="s">
        <v>9</v>
      </c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493.54870991787612</v>
      </c>
      <c r="S45" s="37">
        <f t="shared" si="1"/>
        <v>9.2025765342881414</v>
      </c>
      <c r="T45" s="37"/>
      <c r="U45" s="136"/>
      <c r="V45" s="136"/>
      <c r="W45" s="136"/>
      <c r="X45" s="41">
        <f>IF(I88&lt;&gt;0,I88,"")</f>
        <v>980.82</v>
      </c>
      <c r="Y45" s="42">
        <f>IF(I88&lt;&gt;0,A88,"")</f>
        <v>43935</v>
      </c>
    </row>
    <row r="46" spans="1:25" ht="14.5">
      <c r="A46" s="79">
        <v>43874</v>
      </c>
      <c r="B46" s="80" t="s">
        <v>47</v>
      </c>
      <c r="C46" s="81" t="s">
        <v>69</v>
      </c>
      <c r="D46" s="82" t="s">
        <v>75</v>
      </c>
      <c r="E46" s="81" t="s">
        <v>71</v>
      </c>
      <c r="F46" s="83">
        <v>3200</v>
      </c>
      <c r="G46" s="84">
        <v>9.1199999999999992</v>
      </c>
      <c r="H46" s="84">
        <v>0</v>
      </c>
      <c r="I46" s="85">
        <v>0</v>
      </c>
      <c r="J46" s="86">
        <v>0</v>
      </c>
      <c r="K46" s="82" t="s">
        <v>9</v>
      </c>
      <c r="L46" s="87">
        <f t="shared" si="0"/>
        <v>29203.484799999995</v>
      </c>
      <c r="M46" s="78"/>
      <c r="N46" s="68"/>
      <c r="O46" s="68"/>
      <c r="P46" s="68"/>
      <c r="Q46" s="68"/>
      <c r="R46" s="36">
        <f t="shared" si="2"/>
        <v>493.54870991787612</v>
      </c>
      <c r="S46" s="37" t="str">
        <f t="shared" si="1"/>
        <v/>
      </c>
      <c r="T46" s="37"/>
      <c r="U46" s="136"/>
      <c r="V46" s="136"/>
      <c r="W46" s="136"/>
      <c r="X46" s="41">
        <f>IF(I90&lt;&gt;0,I90,"")</f>
        <v>1069.73</v>
      </c>
      <c r="Y46" s="42">
        <f>IF(I90&lt;&gt;0,A90,"")</f>
        <v>43936</v>
      </c>
    </row>
    <row r="47" spans="1:25" ht="14.5">
      <c r="A47" s="79">
        <v>43875</v>
      </c>
      <c r="B47" s="80" t="s">
        <v>48</v>
      </c>
      <c r="C47" s="81" t="s">
        <v>69</v>
      </c>
      <c r="D47" s="82" t="s">
        <v>75</v>
      </c>
      <c r="E47" s="81" t="s">
        <v>71</v>
      </c>
      <c r="F47" s="83">
        <v>3200</v>
      </c>
      <c r="G47" s="84">
        <v>9.2100000000000009</v>
      </c>
      <c r="H47" s="84">
        <v>9.1300000000000008</v>
      </c>
      <c r="I47" s="85">
        <v>281.82</v>
      </c>
      <c r="J47" s="86">
        <v>0.96</v>
      </c>
      <c r="K47" s="82" t="s">
        <v>9</v>
      </c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498.28677753308779</v>
      </c>
      <c r="S47" s="37">
        <f t="shared" si="1"/>
        <v>4.7380676152116621</v>
      </c>
      <c r="T47" s="37"/>
      <c r="U47" s="136"/>
      <c r="V47" s="136"/>
      <c r="W47" s="136"/>
      <c r="X47" s="41">
        <f>IF(I92&lt;&gt;0,I92,"")</f>
        <v>1494.96</v>
      </c>
      <c r="Y47" s="42">
        <f>IF(I92&lt;&gt;0,A92,"")</f>
        <v>43937</v>
      </c>
    </row>
    <row r="48" spans="1:25" ht="14.5">
      <c r="A48" s="98">
        <v>43875</v>
      </c>
      <c r="B48" s="137" t="s">
        <v>47</v>
      </c>
      <c r="C48" s="138" t="s">
        <v>69</v>
      </c>
      <c r="D48" s="139" t="s">
        <v>76</v>
      </c>
      <c r="E48" s="138" t="s">
        <v>71</v>
      </c>
      <c r="F48" s="140">
        <v>13000</v>
      </c>
      <c r="G48" s="141">
        <v>2.2000000000000002</v>
      </c>
      <c r="H48" s="141">
        <v>0</v>
      </c>
      <c r="I48" s="142">
        <v>0</v>
      </c>
      <c r="J48" s="143">
        <v>0</v>
      </c>
      <c r="K48" s="139" t="s">
        <v>9</v>
      </c>
      <c r="L48" s="144">
        <f t="shared" si="0"/>
        <v>28619.295000000002</v>
      </c>
      <c r="M48" s="78"/>
      <c r="N48" s="68"/>
      <c r="O48" s="68"/>
      <c r="P48" s="68"/>
      <c r="Q48" s="68"/>
      <c r="R48" s="36">
        <f t="shared" si="2"/>
        <v>498.28677753308779</v>
      </c>
      <c r="S48" s="37" t="str">
        <f t="shared" si="1"/>
        <v/>
      </c>
      <c r="T48" s="37"/>
      <c r="U48" s="136"/>
      <c r="V48" s="136"/>
      <c r="W48" s="136"/>
      <c r="X48" s="41">
        <f>IF(I94&lt;&gt;0,I94,"")</f>
        <v>1105.3</v>
      </c>
      <c r="Y48" s="42">
        <f>IF(I94&lt;&gt;0,A94,"")</f>
        <v>43938</v>
      </c>
    </row>
    <row r="49" spans="1:25" ht="14.5">
      <c r="A49" s="98">
        <v>43878</v>
      </c>
      <c r="B49" s="137" t="s">
        <v>48</v>
      </c>
      <c r="C49" s="138" t="s">
        <v>69</v>
      </c>
      <c r="D49" s="139" t="s">
        <v>76</v>
      </c>
      <c r="E49" s="138" t="s">
        <v>71</v>
      </c>
      <c r="F49" s="140">
        <v>13000</v>
      </c>
      <c r="G49" s="141">
        <v>2.2400000000000002</v>
      </c>
      <c r="H49" s="141">
        <v>2.2000000000000002</v>
      </c>
      <c r="I49" s="142">
        <v>612.08000000000004</v>
      </c>
      <c r="J49" s="143">
        <v>2.13</v>
      </c>
      <c r="K49" s="139" t="s">
        <v>9</v>
      </c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508.90028589454261</v>
      </c>
      <c r="S49" s="37">
        <f t="shared" si="1"/>
        <v>10.613508361454819</v>
      </c>
      <c r="T49" s="37"/>
      <c r="U49" s="136"/>
      <c r="V49" s="136"/>
      <c r="W49" s="136"/>
      <c r="X49" s="41">
        <f>IF(I96&lt;&gt;0,I96,"")</f>
        <v>2.82</v>
      </c>
      <c r="Y49" s="42">
        <f>IF(I96&lt;&gt;0,A96,"")</f>
        <v>43941</v>
      </c>
    </row>
    <row r="50" spans="1:25" ht="14.5">
      <c r="A50" s="57">
        <v>43878</v>
      </c>
      <c r="B50" s="58" t="s">
        <v>47</v>
      </c>
      <c r="C50" s="59" t="s">
        <v>69</v>
      </c>
      <c r="D50" s="64" t="s">
        <v>74</v>
      </c>
      <c r="E50" s="59" t="s">
        <v>71</v>
      </c>
      <c r="F50" s="60">
        <v>600</v>
      </c>
      <c r="G50" s="61">
        <v>45.03</v>
      </c>
      <c r="H50" s="61">
        <v>0</v>
      </c>
      <c r="I50" s="62">
        <v>0</v>
      </c>
      <c r="J50" s="63">
        <v>0</v>
      </c>
      <c r="K50" s="64" t="s">
        <v>9</v>
      </c>
      <c r="L50" s="67">
        <f t="shared" si="0"/>
        <v>27036.780849999999</v>
      </c>
      <c r="M50" s="78"/>
      <c r="N50" s="68"/>
      <c r="O50" s="68"/>
      <c r="P50" s="68"/>
      <c r="Q50" s="68"/>
      <c r="R50" s="36">
        <f t="shared" si="2"/>
        <v>508.90028589454261</v>
      </c>
      <c r="S50" s="37" t="str">
        <f t="shared" si="1"/>
        <v/>
      </c>
      <c r="T50" s="37"/>
      <c r="U50" s="136"/>
      <c r="V50" s="136"/>
      <c r="W50" s="136"/>
      <c r="X50" s="41">
        <f>IF(I97&lt;&gt;0,I97,"")</f>
        <v>97.22</v>
      </c>
      <c r="Y50" s="42">
        <f>IF(I97&lt;&gt;0,A97,"")</f>
        <v>43941</v>
      </c>
    </row>
    <row r="51" spans="1:25" ht="14.5">
      <c r="A51" s="57">
        <v>43879</v>
      </c>
      <c r="B51" s="58" t="s">
        <v>48</v>
      </c>
      <c r="C51" s="59" t="s">
        <v>69</v>
      </c>
      <c r="D51" s="64" t="s">
        <v>74</v>
      </c>
      <c r="E51" s="59" t="s">
        <v>71</v>
      </c>
      <c r="F51" s="60">
        <v>600</v>
      </c>
      <c r="G51" s="61">
        <v>44.61</v>
      </c>
      <c r="H51" s="61">
        <v>45.03</v>
      </c>
      <c r="I51" s="62">
        <v>-246.65</v>
      </c>
      <c r="J51" s="63">
        <v>-0.90999999999999992</v>
      </c>
      <c r="K51" s="64" t="s">
        <v>9</v>
      </c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504.26929329290226</v>
      </c>
      <c r="S51" s="37">
        <f t="shared" si="1"/>
        <v>-4.6309926016403438</v>
      </c>
      <c r="T51" s="37"/>
      <c r="U51" s="136"/>
      <c r="V51" s="136"/>
      <c r="W51" s="136"/>
      <c r="X51" s="41">
        <f>IF(I99&lt;&gt;0,I99,"")</f>
        <v>1595.93</v>
      </c>
      <c r="Y51" s="42">
        <f>IF(I99&lt;&gt;0,A99,"")</f>
        <v>43943</v>
      </c>
    </row>
    <row r="52" spans="1:25" ht="14.5">
      <c r="A52" s="98">
        <v>43879</v>
      </c>
      <c r="B52" s="137" t="s">
        <v>47</v>
      </c>
      <c r="C52" s="138" t="s">
        <v>69</v>
      </c>
      <c r="D52" s="139" t="s">
        <v>76</v>
      </c>
      <c r="E52" s="138" t="s">
        <v>71</v>
      </c>
      <c r="F52" s="140">
        <v>14000</v>
      </c>
      <c r="G52" s="141">
        <v>2.15</v>
      </c>
      <c r="H52" s="141">
        <v>0</v>
      </c>
      <c r="I52" s="142">
        <v>0</v>
      </c>
      <c r="J52" s="143">
        <v>0</v>
      </c>
      <c r="K52" s="139" t="s">
        <v>9</v>
      </c>
      <c r="L52" s="144">
        <f t="shared" si="0"/>
        <v>30119.782500000001</v>
      </c>
      <c r="M52" s="78"/>
      <c r="N52" s="68"/>
      <c r="O52" s="68"/>
      <c r="P52" s="68"/>
      <c r="Q52" s="68"/>
      <c r="R52" s="36">
        <f t="shared" si="2"/>
        <v>504.26929329290226</v>
      </c>
      <c r="S52" s="37" t="str">
        <f t="shared" si="1"/>
        <v/>
      </c>
      <c r="T52" s="37"/>
      <c r="U52" s="136"/>
      <c r="V52" s="136"/>
      <c r="W52" s="136"/>
      <c r="X52" s="41">
        <f>IF(I101&lt;&gt;0,I101,"")</f>
        <v>1665.24</v>
      </c>
      <c r="Y52" s="42">
        <f>IF(I101&lt;&gt;0,A101,"")</f>
        <v>43944</v>
      </c>
    </row>
    <row r="53" spans="1:25" ht="14.5">
      <c r="A53" s="98">
        <v>43880</v>
      </c>
      <c r="B53" s="137" t="s">
        <v>48</v>
      </c>
      <c r="C53" s="138" t="s">
        <v>69</v>
      </c>
      <c r="D53" s="139" t="s">
        <v>76</v>
      </c>
      <c r="E53" s="138" t="s">
        <v>71</v>
      </c>
      <c r="F53" s="140">
        <v>14000</v>
      </c>
      <c r="G53" s="141">
        <v>2.19</v>
      </c>
      <c r="H53" s="141">
        <v>2.15</v>
      </c>
      <c r="I53" s="142">
        <v>661.14</v>
      </c>
      <c r="J53" s="143">
        <v>2.19</v>
      </c>
      <c r="K53" s="139" t="s">
        <v>9</v>
      </c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515.31279081601679</v>
      </c>
      <c r="S53" s="37">
        <f t="shared" si="1"/>
        <v>11.043497523114524</v>
      </c>
      <c r="T53" s="37"/>
      <c r="U53" s="136"/>
      <c r="V53" s="136"/>
      <c r="W53" s="136"/>
      <c r="X53" s="41">
        <f>IF(I103&lt;&gt;0,I103,"")</f>
        <v>767.52</v>
      </c>
      <c r="Y53" s="42">
        <f>IF(I103&lt;&gt;0,A103,"")</f>
        <v>43949</v>
      </c>
    </row>
    <row r="54" spans="1:25" ht="14.5">
      <c r="A54" s="98">
        <v>43881</v>
      </c>
      <c r="B54" s="137" t="s">
        <v>47</v>
      </c>
      <c r="C54" s="138" t="s">
        <v>69</v>
      </c>
      <c r="D54" s="139" t="s">
        <v>76</v>
      </c>
      <c r="E54" s="138" t="s">
        <v>71</v>
      </c>
      <c r="F54" s="140">
        <v>15000</v>
      </c>
      <c r="G54" s="141">
        <v>2.0299999999999998</v>
      </c>
      <c r="H54" s="141">
        <v>0</v>
      </c>
      <c r="I54" s="142">
        <v>0</v>
      </c>
      <c r="J54" s="143">
        <v>0</v>
      </c>
      <c r="K54" s="139" t="s">
        <v>9</v>
      </c>
      <c r="L54" s="144">
        <f t="shared" si="0"/>
        <v>30469.896249999998</v>
      </c>
      <c r="M54" s="78"/>
      <c r="N54" s="68"/>
      <c r="O54" s="68"/>
      <c r="P54" s="68"/>
      <c r="Q54" s="68"/>
      <c r="R54" s="36">
        <f t="shared" si="2"/>
        <v>515.31279081601679</v>
      </c>
      <c r="S54" s="37" t="str">
        <f t="shared" si="1"/>
        <v/>
      </c>
      <c r="T54" s="37"/>
      <c r="U54" s="136"/>
      <c r="V54" s="136"/>
      <c r="W54" s="136"/>
      <c r="X54" s="41">
        <f>IF(I105&lt;&gt;0,I105,"")</f>
        <v>1150.6400000000001</v>
      </c>
      <c r="Y54" s="42">
        <f>IF(I105&lt;&gt;0,A105,"")</f>
        <v>43950</v>
      </c>
    </row>
    <row r="55" spans="1:25" ht="14.5">
      <c r="A55" s="98">
        <v>43882</v>
      </c>
      <c r="B55" s="137" t="s">
        <v>48</v>
      </c>
      <c r="C55" s="138" t="s">
        <v>69</v>
      </c>
      <c r="D55" s="139" t="s">
        <v>76</v>
      </c>
      <c r="E55" s="138" t="s">
        <v>71</v>
      </c>
      <c r="F55" s="140">
        <v>15000</v>
      </c>
      <c r="G55" s="141">
        <v>2.0699999999999998</v>
      </c>
      <c r="H55" s="141">
        <v>2.0299999999999998</v>
      </c>
      <c r="I55" s="142">
        <v>710.91</v>
      </c>
      <c r="J55" s="143">
        <v>2.33</v>
      </c>
      <c r="K55" s="139" t="s">
        <v>9</v>
      </c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527.31957884203007</v>
      </c>
      <c r="S55" s="37">
        <f t="shared" si="1"/>
        <v>12.006788026013282</v>
      </c>
      <c r="T55" s="37"/>
      <c r="U55" s="136"/>
      <c r="V55" s="136"/>
      <c r="W55" s="136"/>
      <c r="X55" s="41">
        <f>IF(I107&lt;&gt;0,I107,"")</f>
        <v>-394.98</v>
      </c>
      <c r="Y55" s="42">
        <f>IF(I107&lt;&gt;0,A107,"")</f>
        <v>43956</v>
      </c>
    </row>
    <row r="56" spans="1:25" ht="14.5">
      <c r="A56" s="98">
        <v>43887</v>
      </c>
      <c r="B56" s="137" t="s">
        <v>47</v>
      </c>
      <c r="C56" s="138" t="s">
        <v>69</v>
      </c>
      <c r="D56" s="139" t="s">
        <v>76</v>
      </c>
      <c r="E56" s="138" t="s">
        <v>71</v>
      </c>
      <c r="F56" s="140">
        <v>20000</v>
      </c>
      <c r="G56" s="141">
        <v>1.97</v>
      </c>
      <c r="H56" s="141">
        <v>0</v>
      </c>
      <c r="I56" s="142">
        <v>0</v>
      </c>
      <c r="J56" s="143">
        <v>0</v>
      </c>
      <c r="K56" s="139" t="s">
        <v>9</v>
      </c>
      <c r="L56" s="144">
        <f t="shared" si="0"/>
        <v>39422.805</v>
      </c>
      <c r="M56" s="78"/>
      <c r="N56" s="34"/>
      <c r="O56" s="68"/>
      <c r="P56" s="68"/>
      <c r="Q56" s="68"/>
      <c r="R56" s="36">
        <f>R55*((J56/100)+1)+10000</f>
        <v>10527.319578842031</v>
      </c>
      <c r="S56" s="37">
        <f t="shared" si="1"/>
        <v>10000</v>
      </c>
      <c r="T56" s="37">
        <v>10000</v>
      </c>
      <c r="U56" s="136"/>
      <c r="V56" s="136"/>
      <c r="W56" s="136"/>
      <c r="X56" s="41">
        <f>IF(I108&lt;&gt;0,I108,"")</f>
        <v>-3242.42</v>
      </c>
      <c r="Y56" s="42">
        <f>IF(I108&lt;&gt;0,A108,"")</f>
        <v>43956</v>
      </c>
    </row>
    <row r="57" spans="1:25" ht="14.5">
      <c r="A57" s="564">
        <v>43888</v>
      </c>
      <c r="B57" s="565" t="s">
        <v>48</v>
      </c>
      <c r="C57" s="566" t="s">
        <v>69</v>
      </c>
      <c r="D57" s="567" t="s">
        <v>76</v>
      </c>
      <c r="E57" s="566" t="s">
        <v>71</v>
      </c>
      <c r="F57" s="568">
        <v>20000</v>
      </c>
      <c r="G57" s="569">
        <v>1.97</v>
      </c>
      <c r="H57" s="569">
        <v>1.97</v>
      </c>
      <c r="I57" s="142">
        <v>155.53</v>
      </c>
      <c r="J57" s="570">
        <v>0.39</v>
      </c>
      <c r="K57" s="567" t="s">
        <v>9</v>
      </c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10568.376125199515</v>
      </c>
      <c r="S57" s="37">
        <f t="shared" si="1"/>
        <v>41.056546357483967</v>
      </c>
      <c r="T57" s="37"/>
      <c r="U57" s="136"/>
      <c r="V57" s="136"/>
      <c r="W57" s="136"/>
      <c r="X57" s="41">
        <f>IF(I110&lt;&gt;0,I110,"")</f>
        <v>792.01</v>
      </c>
      <c r="Y57" s="42">
        <f>IF(I110&lt;&gt;0,A110,"")</f>
        <v>43957</v>
      </c>
    </row>
    <row r="58" spans="1:25" ht="14.5">
      <c r="A58" s="146">
        <v>43888</v>
      </c>
      <c r="B58" s="147" t="s">
        <v>47</v>
      </c>
      <c r="C58" s="148" t="s">
        <v>69</v>
      </c>
      <c r="D58" s="149" t="s">
        <v>74</v>
      </c>
      <c r="E58" s="148" t="s">
        <v>71</v>
      </c>
      <c r="F58" s="150">
        <v>1000</v>
      </c>
      <c r="G58" s="151">
        <v>39.82</v>
      </c>
      <c r="H58" s="151">
        <v>0</v>
      </c>
      <c r="I58" s="152">
        <v>0</v>
      </c>
      <c r="J58" s="153">
        <v>0</v>
      </c>
      <c r="K58" s="149" t="s">
        <v>9</v>
      </c>
      <c r="L58" s="154">
        <f t="shared" si="0"/>
        <v>39842.941500000001</v>
      </c>
      <c r="M58" s="155"/>
      <c r="N58" s="34"/>
      <c r="O58" s="68"/>
      <c r="P58" s="68"/>
      <c r="Q58" s="68"/>
      <c r="R58" s="36">
        <f t="shared" si="3"/>
        <v>10568.376125199515</v>
      </c>
      <c r="S58" s="37" t="str">
        <f t="shared" si="1"/>
        <v/>
      </c>
      <c r="T58" s="37"/>
      <c r="U58" s="136"/>
      <c r="V58" s="136"/>
      <c r="W58" s="136"/>
      <c r="X58" s="41">
        <f>IF(I112&lt;&gt;0,I112,"")</f>
        <v>680.63</v>
      </c>
      <c r="Y58" s="42">
        <f>IF(I112&lt;&gt;0,A112,"")</f>
        <v>43958</v>
      </c>
    </row>
    <row r="59" spans="1:25" ht="14.5">
      <c r="A59" s="156">
        <v>43892</v>
      </c>
      <c r="B59" s="157" t="s">
        <v>48</v>
      </c>
      <c r="C59" s="158" t="s">
        <v>69</v>
      </c>
      <c r="D59" s="159" t="s">
        <v>74</v>
      </c>
      <c r="E59" s="158" t="s">
        <v>71</v>
      </c>
      <c r="F59" s="159">
        <v>1000</v>
      </c>
      <c r="G59" s="160">
        <v>40.270000000000003</v>
      </c>
      <c r="H59" s="160">
        <v>39.82</v>
      </c>
      <c r="I59" s="161">
        <v>455.19</v>
      </c>
      <c r="J59" s="162">
        <v>1.1399999999999999</v>
      </c>
      <c r="K59" s="163" t="s">
        <v>9</v>
      </c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10688.85561302679</v>
      </c>
      <c r="S59" s="37">
        <f t="shared" si="1"/>
        <v>120.47948782727508</v>
      </c>
      <c r="T59" s="37"/>
      <c r="U59" s="136"/>
      <c r="V59" s="136"/>
      <c r="W59" s="136"/>
      <c r="X59" s="41">
        <f>IF(I114&lt;&gt;0,I114,"")</f>
        <v>515.92999999999995</v>
      </c>
      <c r="Y59" s="42">
        <f>IF(I114&lt;&gt;0,A114,"")</f>
        <v>43959</v>
      </c>
    </row>
    <row r="60" spans="1:25" ht="14.5">
      <c r="A60" s="98">
        <v>43892</v>
      </c>
      <c r="B60" s="137" t="s">
        <v>47</v>
      </c>
      <c r="C60" s="138" t="s">
        <v>69</v>
      </c>
      <c r="D60" s="139" t="s">
        <v>76</v>
      </c>
      <c r="E60" s="138" t="s">
        <v>71</v>
      </c>
      <c r="F60" s="140">
        <v>20500</v>
      </c>
      <c r="G60" s="141">
        <v>1.94</v>
      </c>
      <c r="H60" s="141">
        <v>0</v>
      </c>
      <c r="I60" s="142">
        <v>0</v>
      </c>
      <c r="J60" s="143">
        <v>0</v>
      </c>
      <c r="K60" s="139" t="s">
        <v>9</v>
      </c>
      <c r="L60" s="164">
        <f t="shared" si="0"/>
        <v>39792.92525</v>
      </c>
      <c r="M60" s="45" t="s">
        <v>21</v>
      </c>
      <c r="N60" s="34"/>
      <c r="O60" s="68"/>
      <c r="P60" s="68"/>
      <c r="Q60" s="68"/>
      <c r="R60" s="36">
        <f t="shared" si="3"/>
        <v>10688.85561302679</v>
      </c>
      <c r="S60" s="37" t="str">
        <f t="shared" si="1"/>
        <v/>
      </c>
      <c r="T60" s="37"/>
      <c r="U60" s="136"/>
      <c r="V60" s="136"/>
      <c r="W60" s="136"/>
      <c r="X60" s="41">
        <f>IF(I116&lt;&gt;0,I116,"")</f>
        <v>590.61</v>
      </c>
      <c r="Y60" s="42">
        <f>IF(I116&lt;&gt;0,A116,"")</f>
        <v>43962</v>
      </c>
    </row>
    <row r="61" spans="1:25" ht="14.5">
      <c r="A61" s="98">
        <v>43893</v>
      </c>
      <c r="B61" s="137" t="s">
        <v>48</v>
      </c>
      <c r="C61" s="138" t="s">
        <v>69</v>
      </c>
      <c r="D61" s="139" t="s">
        <v>76</v>
      </c>
      <c r="E61" s="138" t="s">
        <v>71</v>
      </c>
      <c r="F61" s="140">
        <v>20500</v>
      </c>
      <c r="G61" s="141">
        <v>1.99</v>
      </c>
      <c r="H61" s="141">
        <v>1.94</v>
      </c>
      <c r="I61" s="142">
        <v>1185.07</v>
      </c>
      <c r="J61" s="143">
        <v>2.97</v>
      </c>
      <c r="K61" s="139" t="s">
        <v>9</v>
      </c>
      <c r="L61" s="164" t="str">
        <f t="shared" si="0"/>
        <v/>
      </c>
      <c r="M61" s="56">
        <f>IFERROR(AVERAGE(L59:L75),0)</f>
        <v>29216.377877777773</v>
      </c>
      <c r="N61" s="34"/>
      <c r="O61" s="68"/>
      <c r="P61" s="68"/>
      <c r="Q61" s="68"/>
      <c r="R61" s="36">
        <f t="shared" si="3"/>
        <v>11006.314624733686</v>
      </c>
      <c r="S61" s="37">
        <f t="shared" si="1"/>
        <v>317.45901170689649</v>
      </c>
      <c r="T61" s="37"/>
      <c r="U61" s="136"/>
      <c r="V61" s="136"/>
      <c r="W61" s="136"/>
      <c r="X61" s="41">
        <f>IF(I118&lt;&gt;0,I118,"")</f>
        <v>698.78</v>
      </c>
      <c r="Y61" s="42">
        <f>IF(I118&lt;&gt;0,A118,"")</f>
        <v>43963</v>
      </c>
    </row>
    <row r="62" spans="1:25" ht="14.5">
      <c r="A62" s="57">
        <v>43893</v>
      </c>
      <c r="B62" s="58" t="s">
        <v>47</v>
      </c>
      <c r="C62" s="59" t="s">
        <v>69</v>
      </c>
      <c r="D62" s="64" t="s">
        <v>74</v>
      </c>
      <c r="E62" s="59" t="s">
        <v>71</v>
      </c>
      <c r="F62" s="60">
        <v>900</v>
      </c>
      <c r="G62" s="61">
        <v>41.8</v>
      </c>
      <c r="H62" s="61">
        <v>0</v>
      </c>
      <c r="I62" s="62">
        <v>0</v>
      </c>
      <c r="J62" s="63">
        <v>0</v>
      </c>
      <c r="K62" s="64" t="s">
        <v>9</v>
      </c>
      <c r="L62" s="65">
        <f t="shared" si="0"/>
        <v>37642.226499999997</v>
      </c>
      <c r="M62" s="45" t="s">
        <v>24</v>
      </c>
      <c r="N62" s="34"/>
      <c r="O62" s="68"/>
      <c r="P62" s="68"/>
      <c r="Q62" s="68"/>
      <c r="R62" s="36">
        <f t="shared" si="3"/>
        <v>11006.314624733686</v>
      </c>
      <c r="S62" s="37" t="str">
        <f t="shared" si="1"/>
        <v/>
      </c>
      <c r="T62" s="37"/>
      <c r="U62" s="136"/>
      <c r="V62" s="136"/>
      <c r="W62" s="136"/>
      <c r="X62" s="41">
        <f>IF(I120&lt;&gt;0,I120,"")</f>
        <v>579.36</v>
      </c>
      <c r="Y62" s="42">
        <f>IF(I120&lt;&gt;0,A120,"")</f>
        <v>43964</v>
      </c>
    </row>
    <row r="63" spans="1:25" ht="14.5">
      <c r="A63" s="57">
        <v>43894</v>
      </c>
      <c r="B63" s="58" t="s">
        <v>48</v>
      </c>
      <c r="C63" s="59" t="s">
        <v>69</v>
      </c>
      <c r="D63" s="64" t="s">
        <v>74</v>
      </c>
      <c r="E63" s="59" t="s">
        <v>71</v>
      </c>
      <c r="F63" s="60">
        <v>900</v>
      </c>
      <c r="G63" s="61">
        <v>43.87</v>
      </c>
      <c r="H63" s="61">
        <v>41.8</v>
      </c>
      <c r="I63" s="62">
        <v>1864.28</v>
      </c>
      <c r="J63" s="63">
        <v>4.95</v>
      </c>
      <c r="K63" s="64" t="s">
        <v>9</v>
      </c>
      <c r="L63" s="65" t="str">
        <f t="shared" si="0"/>
        <v/>
      </c>
      <c r="M63" s="56">
        <f>SUM(I59:I75)</f>
        <v>-3429.1499999999996</v>
      </c>
      <c r="N63" s="34"/>
      <c r="O63" s="68"/>
      <c r="P63" s="68"/>
      <c r="Q63" s="68"/>
      <c r="R63" s="36">
        <f t="shared" si="3"/>
        <v>11551.127198658005</v>
      </c>
      <c r="S63" s="37">
        <f t="shared" si="1"/>
        <v>544.81257392431871</v>
      </c>
      <c r="T63" s="37"/>
      <c r="U63" s="136"/>
      <c r="V63" s="136"/>
      <c r="W63" s="136"/>
      <c r="X63" s="41">
        <f>IF(I122&lt;&gt;0,I122,"")</f>
        <v>681.27</v>
      </c>
      <c r="Y63" s="42">
        <f>IF(I122&lt;&gt;0,A122,"")</f>
        <v>43965</v>
      </c>
    </row>
    <row r="64" spans="1:25" ht="14.5">
      <c r="A64" s="98">
        <v>43894</v>
      </c>
      <c r="B64" s="137" t="s">
        <v>47</v>
      </c>
      <c r="C64" s="138" t="s">
        <v>69</v>
      </c>
      <c r="D64" s="139" t="s">
        <v>76</v>
      </c>
      <c r="E64" s="138" t="s">
        <v>71</v>
      </c>
      <c r="F64" s="140">
        <v>21500</v>
      </c>
      <c r="G64" s="141">
        <v>1.92</v>
      </c>
      <c r="H64" s="141">
        <v>0</v>
      </c>
      <c r="I64" s="142">
        <v>0</v>
      </c>
      <c r="J64" s="143">
        <v>0</v>
      </c>
      <c r="K64" s="139" t="s">
        <v>9</v>
      </c>
      <c r="L64" s="164">
        <f t="shared" si="0"/>
        <v>41303.415999999997</v>
      </c>
      <c r="M64" s="45" t="s">
        <v>27</v>
      </c>
      <c r="N64" s="34"/>
      <c r="O64" s="68"/>
      <c r="P64" s="68"/>
      <c r="Q64" s="68"/>
      <c r="R64" s="36">
        <f t="shared" si="3"/>
        <v>11551.127198658005</v>
      </c>
      <c r="S64" s="37" t="str">
        <f t="shared" si="1"/>
        <v/>
      </c>
      <c r="T64" s="37"/>
      <c r="U64" s="136"/>
      <c r="V64" s="136"/>
      <c r="W64" s="136"/>
      <c r="X64" s="41">
        <f>IF(I124&lt;&gt;0,I124,"")</f>
        <v>579.53</v>
      </c>
      <c r="Y64" s="42">
        <f>IF(I124&lt;&gt;0,A124,"")</f>
        <v>43966</v>
      </c>
    </row>
    <row r="65" spans="1:25" ht="14.5">
      <c r="A65" s="98">
        <v>43902</v>
      </c>
      <c r="B65" s="137" t="s">
        <v>48</v>
      </c>
      <c r="C65" s="138" t="s">
        <v>69</v>
      </c>
      <c r="D65" s="139" t="s">
        <v>76</v>
      </c>
      <c r="E65" s="138" t="s">
        <v>71</v>
      </c>
      <c r="F65" s="140">
        <v>21500</v>
      </c>
      <c r="G65" s="141">
        <v>1.3</v>
      </c>
      <c r="H65" s="141">
        <v>1.92</v>
      </c>
      <c r="I65" s="142">
        <v>-13151.25</v>
      </c>
      <c r="J65" s="143">
        <v>-31.84</v>
      </c>
      <c r="K65" s="139" t="s">
        <v>9</v>
      </c>
      <c r="L65" s="164" t="str">
        <f t="shared" si="0"/>
        <v/>
      </c>
      <c r="M65" s="66">
        <f>SUM(J59:J75)/100</f>
        <v>-0.10979999999999998</v>
      </c>
      <c r="N65" s="34"/>
      <c r="O65" s="68"/>
      <c r="P65" s="68"/>
      <c r="Q65" s="68"/>
      <c r="R65" s="36">
        <f t="shared" si="3"/>
        <v>7873.2482986052964</v>
      </c>
      <c r="S65" s="37">
        <f t="shared" si="1"/>
        <v>-3677.8789000527086</v>
      </c>
      <c r="T65" s="37"/>
      <c r="U65" s="136"/>
      <c r="V65" s="136"/>
      <c r="W65" s="136"/>
      <c r="X65" s="41">
        <f>IF(I126&lt;&gt;0,I126,"")</f>
        <v>863.99</v>
      </c>
      <c r="Y65" s="42">
        <f>IF(I126&lt;&gt;0,A126,"")</f>
        <v>43969</v>
      </c>
    </row>
    <row r="66" spans="1:25" ht="14.5">
      <c r="A66" s="69">
        <v>43903</v>
      </c>
      <c r="B66" s="70" t="s">
        <v>47</v>
      </c>
      <c r="C66" s="71" t="s">
        <v>69</v>
      </c>
      <c r="D66" s="76" t="s">
        <v>79</v>
      </c>
      <c r="E66" s="71" t="s">
        <v>71</v>
      </c>
      <c r="F66" s="72">
        <v>500</v>
      </c>
      <c r="G66" s="73">
        <v>19.989999999999998</v>
      </c>
      <c r="H66" s="73">
        <v>0</v>
      </c>
      <c r="I66" s="74">
        <v>0</v>
      </c>
      <c r="J66" s="75">
        <v>0</v>
      </c>
      <c r="K66" s="76" t="s">
        <v>9</v>
      </c>
      <c r="L66" s="77">
        <f t="shared" si="0"/>
        <v>10008.248374999999</v>
      </c>
      <c r="M66" s="388"/>
      <c r="N66" s="68"/>
      <c r="O66" s="68"/>
      <c r="P66" s="68"/>
      <c r="Q66" s="68"/>
      <c r="R66" s="36">
        <f t="shared" si="3"/>
        <v>7873.2482986052964</v>
      </c>
      <c r="S66" s="37" t="str">
        <f t="shared" si="1"/>
        <v/>
      </c>
      <c r="T66" s="37"/>
      <c r="U66" s="136"/>
      <c r="V66" s="136"/>
      <c r="W66" s="136"/>
      <c r="X66" s="41">
        <f>IF(I128&lt;&gt;0,I128,"")</f>
        <v>994.38000000000011</v>
      </c>
      <c r="Y66" s="42">
        <f>IF(I128&lt;&gt;0,A128,"")</f>
        <v>43970</v>
      </c>
    </row>
    <row r="67" spans="1:25" ht="14.5">
      <c r="A67" s="69">
        <v>43906</v>
      </c>
      <c r="B67" s="70" t="s">
        <v>48</v>
      </c>
      <c r="C67" s="71" t="s">
        <v>69</v>
      </c>
      <c r="D67" s="76" t="s">
        <v>79</v>
      </c>
      <c r="E67" s="71" t="s">
        <v>71</v>
      </c>
      <c r="F67" s="72">
        <v>500</v>
      </c>
      <c r="G67" s="73">
        <v>17.239999999999998</v>
      </c>
      <c r="H67" s="73">
        <v>20</v>
      </c>
      <c r="I67" s="74">
        <v>-1375.52</v>
      </c>
      <c r="J67" s="75">
        <v>-13.75</v>
      </c>
      <c r="K67" s="76" t="s">
        <v>9</v>
      </c>
      <c r="L67" s="75" t="str">
        <f t="shared" ref="L67:L130" si="4">IF(B67="Compra",(F67*G67)+10+(F67*G67*0.000325),"")</f>
        <v/>
      </c>
      <c r="M67" s="78"/>
      <c r="N67" s="68"/>
      <c r="O67" s="68"/>
      <c r="P67" s="68"/>
      <c r="Q67" s="68"/>
      <c r="R67" s="36">
        <f t="shared" si="3"/>
        <v>6790.6766575470683</v>
      </c>
      <c r="S67" s="37">
        <f t="shared" si="1"/>
        <v>-1082.5716410582281</v>
      </c>
      <c r="T67" s="37"/>
      <c r="U67" s="136"/>
      <c r="V67" s="136"/>
      <c r="W67" s="136"/>
      <c r="X67" s="41">
        <f>IF(I130&lt;&gt;0,I130,"")</f>
        <v>1027.98</v>
      </c>
      <c r="Y67" s="42">
        <f>IF(I130&lt;&gt;0,A130,"")</f>
        <v>43971</v>
      </c>
    </row>
    <row r="68" spans="1:25" ht="14.5">
      <c r="A68" s="165">
        <v>43909</v>
      </c>
      <c r="B68" s="166" t="s">
        <v>47</v>
      </c>
      <c r="C68" s="167" t="s">
        <v>69</v>
      </c>
      <c r="D68" s="168" t="s">
        <v>80</v>
      </c>
      <c r="E68" s="167" t="s">
        <v>71</v>
      </c>
      <c r="F68" s="169">
        <v>1100</v>
      </c>
      <c r="G68" s="170">
        <v>9.01</v>
      </c>
      <c r="H68" s="170">
        <v>0</v>
      </c>
      <c r="I68" s="171">
        <v>0</v>
      </c>
      <c r="J68" s="172">
        <v>0</v>
      </c>
      <c r="K68" s="168" t="s">
        <v>9</v>
      </c>
      <c r="L68" s="173">
        <f t="shared" si="4"/>
        <v>9924.2210749999995</v>
      </c>
      <c r="M68" s="78"/>
      <c r="N68" s="68"/>
      <c r="O68" s="68"/>
      <c r="P68" s="68"/>
      <c r="Q68" s="68"/>
      <c r="R68" s="36">
        <f t="shared" si="3"/>
        <v>6790.6766575470683</v>
      </c>
      <c r="S68" s="37" t="str">
        <f t="shared" si="1"/>
        <v/>
      </c>
      <c r="T68" s="37"/>
      <c r="U68" s="136"/>
      <c r="V68" s="136"/>
      <c r="W68" s="136"/>
      <c r="X68" s="41">
        <f>IF(I132&lt;&gt;0,I132,"")</f>
        <v>1015.08</v>
      </c>
      <c r="Y68" s="42">
        <f>IF(I132&lt;&gt;0,A132,"")</f>
        <v>43972</v>
      </c>
    </row>
    <row r="69" spans="1:25" ht="14.5">
      <c r="A69" s="57">
        <v>43909</v>
      </c>
      <c r="B69" s="58" t="s">
        <v>47</v>
      </c>
      <c r="C69" s="59" t="s">
        <v>69</v>
      </c>
      <c r="D69" s="64" t="s">
        <v>74</v>
      </c>
      <c r="E69" s="59" t="s">
        <v>71</v>
      </c>
      <c r="F69" s="60">
        <v>2500</v>
      </c>
      <c r="G69" s="61">
        <v>12.43</v>
      </c>
      <c r="H69" s="61">
        <v>0</v>
      </c>
      <c r="I69" s="62">
        <v>0</v>
      </c>
      <c r="J69" s="63">
        <v>0</v>
      </c>
      <c r="K69" s="64" t="s">
        <v>9</v>
      </c>
      <c r="L69" s="67">
        <f t="shared" si="4"/>
        <v>31095.099375000002</v>
      </c>
      <c r="M69" s="78"/>
      <c r="N69" s="68"/>
      <c r="O69" s="68"/>
      <c r="P69" s="68"/>
      <c r="Q69" s="68"/>
      <c r="R69" s="36">
        <f t="shared" si="3"/>
        <v>6790.6766575470683</v>
      </c>
      <c r="S69" s="37" t="str">
        <f t="shared" si="1"/>
        <v/>
      </c>
      <c r="T69" s="37"/>
      <c r="U69" s="136"/>
      <c r="V69" s="136"/>
      <c r="W69" s="136"/>
      <c r="X69" s="41">
        <f>IF(I134&lt;&gt;0,I134,"")</f>
        <v>4675.59</v>
      </c>
      <c r="Y69" s="42">
        <f>IF(I134&lt;&gt;0,A134,"")</f>
        <v>43977</v>
      </c>
    </row>
    <row r="70" spans="1:25" ht="14.5">
      <c r="A70" s="57">
        <v>43910</v>
      </c>
      <c r="B70" s="58" t="s">
        <v>48</v>
      </c>
      <c r="C70" s="59" t="s">
        <v>69</v>
      </c>
      <c r="D70" s="64" t="s">
        <v>74</v>
      </c>
      <c r="E70" s="59" t="s">
        <v>71</v>
      </c>
      <c r="F70" s="60">
        <v>2500</v>
      </c>
      <c r="G70" s="61">
        <v>13.06</v>
      </c>
      <c r="H70" s="61">
        <v>12.44</v>
      </c>
      <c r="I70" s="62">
        <v>1570.59</v>
      </c>
      <c r="J70" s="63">
        <v>5.05</v>
      </c>
      <c r="K70" s="64" t="s">
        <v>9</v>
      </c>
      <c r="L70" s="67" t="str">
        <f t="shared" si="4"/>
        <v/>
      </c>
      <c r="M70" s="78"/>
      <c r="N70" s="68"/>
      <c r="O70" s="68"/>
      <c r="P70" s="68"/>
      <c r="Q70" s="68"/>
      <c r="R70" s="36">
        <f t="shared" si="3"/>
        <v>7133.6058287531951</v>
      </c>
      <c r="S70" s="37">
        <f t="shared" si="1"/>
        <v>342.92917120612674</v>
      </c>
      <c r="T70" s="37"/>
      <c r="U70" s="136"/>
      <c r="V70" s="136"/>
      <c r="W70" s="136"/>
      <c r="X70" s="41">
        <f>IF(I136&lt;&gt;0,I136,"")</f>
        <v>1049.95</v>
      </c>
      <c r="Y70" s="42">
        <f>IF(I136&lt;&gt;0,A136,"")</f>
        <v>43978</v>
      </c>
    </row>
    <row r="71" spans="1:25" ht="14.5">
      <c r="A71" s="47">
        <v>43914</v>
      </c>
      <c r="B71" s="48" t="s">
        <v>47</v>
      </c>
      <c r="C71" s="49" t="s">
        <v>69</v>
      </c>
      <c r="D71" s="54" t="s">
        <v>72</v>
      </c>
      <c r="E71" s="49" t="s">
        <v>71</v>
      </c>
      <c r="F71" s="50">
        <v>20000</v>
      </c>
      <c r="G71" s="51">
        <v>1.46</v>
      </c>
      <c r="H71" s="51">
        <v>0</v>
      </c>
      <c r="I71" s="52">
        <v>0</v>
      </c>
      <c r="J71" s="53">
        <v>0</v>
      </c>
      <c r="K71" s="54" t="s">
        <v>9</v>
      </c>
      <c r="L71" s="174">
        <f t="shared" si="4"/>
        <v>29219.49</v>
      </c>
      <c r="M71" s="78"/>
      <c r="N71" s="68"/>
      <c r="O71" s="68"/>
      <c r="P71" s="68"/>
      <c r="Q71" s="68"/>
      <c r="R71" s="36">
        <f t="shared" si="3"/>
        <v>7133.6058287531951</v>
      </c>
      <c r="S71" s="37" t="str">
        <f t="shared" si="1"/>
        <v/>
      </c>
      <c r="T71" s="37"/>
      <c r="U71" s="136"/>
      <c r="V71" s="136"/>
      <c r="W71" s="136"/>
      <c r="X71" s="41">
        <f>IF(I138&lt;&gt;0,I138,"")</f>
        <v>1055.3499999999999</v>
      </c>
      <c r="Y71" s="42">
        <f>IF(I138&lt;&gt;0,A138,"")</f>
        <v>43979</v>
      </c>
    </row>
    <row r="72" spans="1:25" ht="14.5">
      <c r="A72" s="47">
        <v>43915</v>
      </c>
      <c r="B72" s="48" t="s">
        <v>48</v>
      </c>
      <c r="C72" s="49" t="s">
        <v>69</v>
      </c>
      <c r="D72" s="54" t="s">
        <v>72</v>
      </c>
      <c r="E72" s="49" t="s">
        <v>71</v>
      </c>
      <c r="F72" s="50">
        <v>20000</v>
      </c>
      <c r="G72" s="51">
        <v>1.52</v>
      </c>
      <c r="H72" s="51">
        <v>1.46</v>
      </c>
      <c r="I72" s="52">
        <v>1371.81</v>
      </c>
      <c r="J72" s="53">
        <v>4.6900000000000004</v>
      </c>
      <c r="K72" s="54" t="s">
        <v>9</v>
      </c>
      <c r="L72" s="174" t="str">
        <f t="shared" si="4"/>
        <v/>
      </c>
      <c r="M72" s="78"/>
      <c r="N72" s="68"/>
      <c r="O72" s="68"/>
      <c r="P72" s="68"/>
      <c r="Q72" s="68"/>
      <c r="R72" s="36">
        <f t="shared" si="3"/>
        <v>7468.1719421217194</v>
      </c>
      <c r="S72" s="37">
        <f t="shared" si="1"/>
        <v>334.56611336852438</v>
      </c>
      <c r="T72" s="37"/>
      <c r="U72" s="136"/>
      <c r="V72" s="136"/>
      <c r="W72" s="136"/>
      <c r="X72" s="41">
        <f>IF(I140&lt;&gt;0,I140,"")</f>
        <v>1276.44</v>
      </c>
      <c r="Y72" s="42">
        <f>IF(I140&lt;&gt;0,A140,"")</f>
        <v>43983</v>
      </c>
    </row>
    <row r="73" spans="1:25" ht="14.5">
      <c r="A73" s="57">
        <v>43915</v>
      </c>
      <c r="B73" s="58" t="s">
        <v>47</v>
      </c>
      <c r="C73" s="59" t="s">
        <v>69</v>
      </c>
      <c r="D73" s="64" t="s">
        <v>74</v>
      </c>
      <c r="E73" s="59" t="s">
        <v>71</v>
      </c>
      <c r="F73" s="60">
        <v>1700</v>
      </c>
      <c r="G73" s="61">
        <v>17.29</v>
      </c>
      <c r="H73" s="61">
        <v>0</v>
      </c>
      <c r="I73" s="62">
        <v>0</v>
      </c>
      <c r="J73" s="63">
        <v>0</v>
      </c>
      <c r="K73" s="64" t="s">
        <v>9</v>
      </c>
      <c r="L73" s="67">
        <f t="shared" si="4"/>
        <v>29412.552725000001</v>
      </c>
      <c r="M73" s="78"/>
      <c r="N73" s="68"/>
      <c r="O73" s="68"/>
      <c r="P73" s="68"/>
      <c r="Q73" s="68"/>
      <c r="R73" s="36">
        <f t="shared" si="3"/>
        <v>7468.1719421217194</v>
      </c>
      <c r="S73" s="37" t="str">
        <f t="shared" si="1"/>
        <v/>
      </c>
      <c r="T73" s="37"/>
      <c r="U73" s="136"/>
      <c r="V73" s="136"/>
      <c r="W73" s="136"/>
      <c r="X73" s="41">
        <f>IF(I142&lt;&gt;0,I142,"")</f>
        <v>1469.42</v>
      </c>
      <c r="Y73" s="42">
        <f>IF(I142&lt;&gt;0,A142,"")</f>
        <v>43984</v>
      </c>
    </row>
    <row r="74" spans="1:25" ht="14.5">
      <c r="A74" s="57">
        <v>43916</v>
      </c>
      <c r="B74" s="58" t="s">
        <v>48</v>
      </c>
      <c r="C74" s="59" t="s">
        <v>69</v>
      </c>
      <c r="D74" s="64" t="s">
        <v>74</v>
      </c>
      <c r="E74" s="59" t="s">
        <v>71</v>
      </c>
      <c r="F74" s="60">
        <v>1700</v>
      </c>
      <c r="G74" s="61">
        <v>20.03</v>
      </c>
      <c r="H74" s="61">
        <v>17.3</v>
      </c>
      <c r="I74" s="62">
        <v>4650.68</v>
      </c>
      <c r="J74" s="63">
        <v>15.81</v>
      </c>
      <c r="K74" s="64" t="s">
        <v>9</v>
      </c>
      <c r="L74" s="67" t="str">
        <f t="shared" si="4"/>
        <v/>
      </c>
      <c r="M74" s="78"/>
      <c r="N74" s="34"/>
      <c r="O74" s="68"/>
      <c r="P74" s="68"/>
      <c r="Q74" s="68"/>
      <c r="R74" s="36">
        <f t="shared" si="3"/>
        <v>8648.8899261711649</v>
      </c>
      <c r="S74" s="37">
        <f t="shared" si="1"/>
        <v>1180.7179840494455</v>
      </c>
      <c r="T74" s="37"/>
      <c r="U74" s="136"/>
      <c r="V74" s="136"/>
      <c r="W74" s="136"/>
      <c r="X74" s="41">
        <f>IF(I144&lt;&gt;0,I144,"")</f>
        <v>1241.27</v>
      </c>
      <c r="Y74" s="42">
        <f>IF(I144&lt;&gt;0,A144,"")</f>
        <v>43985</v>
      </c>
    </row>
    <row r="75" spans="1:25" ht="14.5">
      <c r="A75" s="175">
        <v>43920</v>
      </c>
      <c r="B75" s="176" t="s">
        <v>47</v>
      </c>
      <c r="C75" s="177" t="s">
        <v>69</v>
      </c>
      <c r="D75" s="178" t="s">
        <v>81</v>
      </c>
      <c r="E75" s="177" t="s">
        <v>71</v>
      </c>
      <c r="F75" s="179">
        <v>1600</v>
      </c>
      <c r="G75" s="180">
        <v>21.58</v>
      </c>
      <c r="H75" s="180">
        <v>0</v>
      </c>
      <c r="I75" s="181">
        <v>0</v>
      </c>
      <c r="J75" s="182">
        <v>0</v>
      </c>
      <c r="K75" s="178" t="s">
        <v>9</v>
      </c>
      <c r="L75" s="183">
        <f t="shared" si="4"/>
        <v>34549.221599999997</v>
      </c>
      <c r="M75" s="383"/>
      <c r="N75" s="34"/>
      <c r="O75" s="68"/>
      <c r="P75" s="68"/>
      <c r="Q75" s="68"/>
      <c r="R75" s="36">
        <f t="shared" si="3"/>
        <v>8648.8899261711649</v>
      </c>
      <c r="S75" s="37" t="str">
        <f t="shared" si="1"/>
        <v/>
      </c>
      <c r="T75" s="37"/>
      <c r="U75" s="136"/>
      <c r="V75" s="136"/>
      <c r="W75" s="136"/>
      <c r="X75" s="41">
        <f>IF(I146&lt;&gt;0,I146,"")</f>
        <v>1250.49</v>
      </c>
      <c r="Y75" s="42">
        <f>IF(I146&lt;&gt;0,A146,"")</f>
        <v>43986</v>
      </c>
    </row>
    <row r="76" spans="1:25" ht="14.5">
      <c r="A76" s="184">
        <v>43923</v>
      </c>
      <c r="B76" s="185" t="s">
        <v>48</v>
      </c>
      <c r="C76" s="186" t="s">
        <v>69</v>
      </c>
      <c r="D76" s="187" t="s">
        <v>81</v>
      </c>
      <c r="E76" s="186" t="s">
        <v>71</v>
      </c>
      <c r="F76" s="187">
        <v>1600</v>
      </c>
      <c r="G76" s="188">
        <v>21.44</v>
      </c>
      <c r="H76" s="188">
        <v>21.59</v>
      </c>
      <c r="I76" s="189">
        <v>-226.88</v>
      </c>
      <c r="J76" s="190">
        <v>-0.65</v>
      </c>
      <c r="K76" s="191" t="s">
        <v>9</v>
      </c>
      <c r="L76" s="573" t="str">
        <f t="shared" si="4"/>
        <v/>
      </c>
      <c r="M76" s="33" t="s">
        <v>37</v>
      </c>
      <c r="N76" s="34"/>
      <c r="O76" s="68"/>
      <c r="P76" s="68"/>
      <c r="Q76" s="68"/>
      <c r="R76" s="36">
        <f t="shared" si="3"/>
        <v>8592.6721416510536</v>
      </c>
      <c r="S76" s="37">
        <f t="shared" si="1"/>
        <v>-56.217784520111309</v>
      </c>
      <c r="T76" s="37"/>
      <c r="U76" s="136"/>
      <c r="V76" s="136"/>
      <c r="W76" s="136"/>
      <c r="X76" s="41">
        <f>IF(I148&lt;&gt;0,I148,"")</f>
        <v>7058.95</v>
      </c>
      <c r="Y76" s="42">
        <f>IF(I148&lt;&gt;0,A148,"")</f>
        <v>43987</v>
      </c>
    </row>
    <row r="77" spans="1:25" ht="14.5">
      <c r="A77" s="192">
        <v>43923</v>
      </c>
      <c r="B77" s="193" t="s">
        <v>47</v>
      </c>
      <c r="C77" s="194" t="s">
        <v>69</v>
      </c>
      <c r="D77" s="195" t="s">
        <v>82</v>
      </c>
      <c r="E77" s="194" t="s">
        <v>71</v>
      </c>
      <c r="F77" s="196">
        <v>1000</v>
      </c>
      <c r="G77" s="197">
        <v>39.909999999999997</v>
      </c>
      <c r="H77" s="197">
        <v>0</v>
      </c>
      <c r="I77" s="198">
        <v>0</v>
      </c>
      <c r="J77" s="199">
        <v>0</v>
      </c>
      <c r="K77" s="195" t="s">
        <v>9</v>
      </c>
      <c r="L77" s="200">
        <f t="shared" si="4"/>
        <v>39932.97075</v>
      </c>
      <c r="M77" s="45" t="s">
        <v>21</v>
      </c>
      <c r="N77" s="34"/>
      <c r="O77" s="68"/>
      <c r="P77" s="68"/>
      <c r="Q77" s="68"/>
      <c r="R77" s="36">
        <f t="shared" si="3"/>
        <v>8592.6721416510536</v>
      </c>
      <c r="S77" s="37" t="str">
        <f t="shared" si="1"/>
        <v/>
      </c>
      <c r="T77" s="37"/>
      <c r="U77" s="136"/>
      <c r="V77" s="136"/>
      <c r="W77" s="136"/>
      <c r="X77" s="41">
        <f>IF(I150&lt;&gt;0,I150,"")</f>
        <v>1916.75</v>
      </c>
      <c r="Y77" s="42">
        <f>IF(I150&lt;&gt;0,A150,"")</f>
        <v>43990</v>
      </c>
    </row>
    <row r="78" spans="1:25" ht="14.5">
      <c r="A78" s="192">
        <v>43924</v>
      </c>
      <c r="B78" s="193" t="s">
        <v>48</v>
      </c>
      <c r="C78" s="194" t="s">
        <v>69</v>
      </c>
      <c r="D78" s="195" t="s">
        <v>82</v>
      </c>
      <c r="E78" s="194" t="s">
        <v>71</v>
      </c>
      <c r="F78" s="196">
        <v>1000</v>
      </c>
      <c r="G78" s="197">
        <v>40.68</v>
      </c>
      <c r="H78" s="197">
        <v>39.92</v>
      </c>
      <c r="I78" s="198">
        <v>765.61</v>
      </c>
      <c r="J78" s="199">
        <v>1.91</v>
      </c>
      <c r="K78" s="195" t="s">
        <v>9</v>
      </c>
      <c r="L78" s="200" t="str">
        <f t="shared" si="4"/>
        <v/>
      </c>
      <c r="M78" s="56">
        <f>IFERROR(AVERAGE(L76:L106),0)</f>
        <v>51184.226220000004</v>
      </c>
      <c r="N78" s="34"/>
      <c r="O78" s="68"/>
      <c r="P78" s="68"/>
      <c r="Q78" s="68"/>
      <c r="R78" s="36">
        <f t="shared" si="3"/>
        <v>8756.7921795565871</v>
      </c>
      <c r="S78" s="37">
        <f t="shared" si="1"/>
        <v>164.12003790553354</v>
      </c>
      <c r="T78" s="37"/>
      <c r="U78" s="136"/>
      <c r="V78" s="136"/>
      <c r="W78" s="136"/>
      <c r="X78" s="41">
        <f>IF(I152&lt;&gt;0,I152,"")</f>
        <v>-5334.59</v>
      </c>
      <c r="Y78" s="42">
        <f>IF(I152&lt;&gt;0,A152,"")</f>
        <v>43991</v>
      </c>
    </row>
    <row r="79" spans="1:25" ht="14.5">
      <c r="A79" s="201">
        <v>43924</v>
      </c>
      <c r="B79" s="202" t="s">
        <v>47</v>
      </c>
      <c r="C79" s="203" t="s">
        <v>69</v>
      </c>
      <c r="D79" s="204" t="s">
        <v>83</v>
      </c>
      <c r="E79" s="203" t="s">
        <v>71</v>
      </c>
      <c r="F79" s="205">
        <v>4600</v>
      </c>
      <c r="G79" s="206">
        <v>8.75</v>
      </c>
      <c r="H79" s="206">
        <v>0</v>
      </c>
      <c r="I79" s="207">
        <v>0</v>
      </c>
      <c r="J79" s="208">
        <v>0</v>
      </c>
      <c r="K79" s="204" t="s">
        <v>9</v>
      </c>
      <c r="L79" s="209">
        <f t="shared" si="4"/>
        <v>40273.081250000003</v>
      </c>
      <c r="M79" s="45" t="s">
        <v>24</v>
      </c>
      <c r="N79" s="34"/>
      <c r="O79" s="68"/>
      <c r="P79" s="68"/>
      <c r="Q79" s="68"/>
      <c r="R79" s="36">
        <f t="shared" si="3"/>
        <v>8756.7921795565871</v>
      </c>
      <c r="S79" s="37" t="str">
        <f t="shared" si="1"/>
        <v/>
      </c>
      <c r="T79" s="37"/>
      <c r="U79" s="136"/>
      <c r="V79" s="136"/>
      <c r="W79" s="136"/>
      <c r="X79" s="41">
        <f>IF(I154&lt;&gt;0,I154,"")</f>
        <v>-12442.62</v>
      </c>
      <c r="Y79" s="42">
        <f>IF(I154&lt;&gt;0,A154,"")</f>
        <v>43992</v>
      </c>
    </row>
    <row r="80" spans="1:25" ht="14.5">
      <c r="A80" s="201">
        <v>43927</v>
      </c>
      <c r="B80" s="202" t="s">
        <v>48</v>
      </c>
      <c r="C80" s="203" t="s">
        <v>69</v>
      </c>
      <c r="D80" s="204" t="s">
        <v>83</v>
      </c>
      <c r="E80" s="203" t="s">
        <v>71</v>
      </c>
      <c r="F80" s="205">
        <v>4600</v>
      </c>
      <c r="G80" s="206">
        <v>9.01</v>
      </c>
      <c r="H80" s="206">
        <v>8.75</v>
      </c>
      <c r="I80" s="207">
        <v>1207.2600000000002</v>
      </c>
      <c r="J80" s="208">
        <v>2.99</v>
      </c>
      <c r="K80" s="204" t="s">
        <v>9</v>
      </c>
      <c r="L80" s="209" t="str">
        <f t="shared" si="4"/>
        <v/>
      </c>
      <c r="M80" s="56">
        <f>SUM(I76:I106)</f>
        <v>13182.16</v>
      </c>
      <c r="N80" s="34"/>
      <c r="O80" s="68"/>
      <c r="P80" s="68"/>
      <c r="Q80" s="68"/>
      <c r="R80" s="36">
        <f t="shared" si="3"/>
        <v>9018.6202657253289</v>
      </c>
      <c r="S80" s="37">
        <f t="shared" si="1"/>
        <v>261.82808616874172</v>
      </c>
      <c r="T80" s="37"/>
      <c r="U80" s="136"/>
      <c r="V80" s="136"/>
      <c r="W80" s="136"/>
      <c r="X80" s="41">
        <f>IF(I156&lt;&gt;0,I156,"")</f>
        <v>-8539.2199999999993</v>
      </c>
      <c r="Y80" s="42">
        <f>IF(I156&lt;&gt;0,A156,"")</f>
        <v>43994</v>
      </c>
    </row>
    <row r="81" spans="1:25" ht="14.5">
      <c r="A81" s="192">
        <v>43927</v>
      </c>
      <c r="B81" s="193" t="s">
        <v>47</v>
      </c>
      <c r="C81" s="194" t="s">
        <v>69</v>
      </c>
      <c r="D81" s="195" t="s">
        <v>82</v>
      </c>
      <c r="E81" s="194" t="s">
        <v>71</v>
      </c>
      <c r="F81" s="196">
        <v>1200</v>
      </c>
      <c r="G81" s="197">
        <v>40.03</v>
      </c>
      <c r="H81" s="197">
        <v>0</v>
      </c>
      <c r="I81" s="198">
        <v>0</v>
      </c>
      <c r="J81" s="199">
        <v>0</v>
      </c>
      <c r="K81" s="195" t="s">
        <v>9</v>
      </c>
      <c r="L81" s="200">
        <f t="shared" si="4"/>
        <v>48061.611700000001</v>
      </c>
      <c r="M81" s="45" t="s">
        <v>27</v>
      </c>
      <c r="N81" s="34"/>
      <c r="O81" s="68"/>
      <c r="P81" s="68"/>
      <c r="Q81" s="68"/>
      <c r="R81" s="36">
        <f>R80*((J81/100)+1)+5000</f>
        <v>14018.620265725329</v>
      </c>
      <c r="S81" s="37">
        <f t="shared" si="1"/>
        <v>5000</v>
      </c>
      <c r="T81" s="37">
        <v>5000</v>
      </c>
      <c r="U81" s="136"/>
      <c r="V81" s="136"/>
      <c r="W81" s="136"/>
      <c r="X81" s="41">
        <f>IF(I158&lt;&gt;0,I158,"")</f>
        <v>1063.77</v>
      </c>
      <c r="Y81" s="42">
        <f>IF(I158&lt;&gt;0,A158,"")</f>
        <v>43997</v>
      </c>
    </row>
    <row r="82" spans="1:25" ht="14.5">
      <c r="A82" s="192">
        <v>43928</v>
      </c>
      <c r="B82" s="193" t="s">
        <v>48</v>
      </c>
      <c r="C82" s="194" t="s">
        <v>69</v>
      </c>
      <c r="D82" s="195" t="s">
        <v>82</v>
      </c>
      <c r="E82" s="194" t="s">
        <v>71</v>
      </c>
      <c r="F82" s="196">
        <v>1200</v>
      </c>
      <c r="G82" s="197">
        <v>40.89</v>
      </c>
      <c r="H82" s="197">
        <v>40.04</v>
      </c>
      <c r="I82" s="198">
        <v>1028.57</v>
      </c>
      <c r="J82" s="199">
        <v>2.14</v>
      </c>
      <c r="K82" s="195" t="s">
        <v>9</v>
      </c>
      <c r="L82" s="209" t="str">
        <f t="shared" si="4"/>
        <v/>
      </c>
      <c r="M82" s="66">
        <f>SUM(J76:J106)/100</f>
        <v>0.26580000000000004</v>
      </c>
      <c r="N82" s="34"/>
      <c r="O82" s="68"/>
      <c r="P82" s="68"/>
      <c r="Q82" s="68"/>
      <c r="R82" s="36">
        <f t="shared" ref="R82:R106" si="5">R81*((J82/100)+1)</f>
        <v>14318.618739411851</v>
      </c>
      <c r="S82" s="37">
        <f t="shared" si="1"/>
        <v>299.99847368652263</v>
      </c>
      <c r="T82" s="37"/>
      <c r="U82" s="136"/>
      <c r="V82" s="136"/>
      <c r="W82" s="136"/>
      <c r="X82" s="41">
        <f>IF(I160&lt;&gt;0,I160,"")</f>
        <v>2458.16</v>
      </c>
      <c r="Y82" s="42">
        <f>IF(I160&lt;&gt;0,A160,"")</f>
        <v>43998</v>
      </c>
    </row>
    <row r="83" spans="1:25" ht="14.5">
      <c r="A83" s="201">
        <v>43928</v>
      </c>
      <c r="B83" s="202" t="s">
        <v>47</v>
      </c>
      <c r="C83" s="203" t="s">
        <v>69</v>
      </c>
      <c r="D83" s="204" t="s">
        <v>83</v>
      </c>
      <c r="E83" s="203" t="s">
        <v>71</v>
      </c>
      <c r="F83" s="205">
        <v>5500</v>
      </c>
      <c r="G83" s="206">
        <v>8.9600000000000009</v>
      </c>
      <c r="H83" s="206">
        <v>0</v>
      </c>
      <c r="I83" s="207">
        <v>0</v>
      </c>
      <c r="J83" s="208">
        <v>0</v>
      </c>
      <c r="K83" s="204" t="s">
        <v>9</v>
      </c>
      <c r="L83" s="210">
        <f t="shared" si="4"/>
        <v>49306.016000000011</v>
      </c>
      <c r="M83" s="388"/>
      <c r="N83" s="68"/>
      <c r="O83" s="68"/>
      <c r="P83" s="68"/>
      <c r="Q83" s="68"/>
      <c r="R83" s="36">
        <f t="shared" si="5"/>
        <v>14318.618739411851</v>
      </c>
      <c r="S83" s="37" t="str">
        <f t="shared" si="1"/>
        <v/>
      </c>
      <c r="T83" s="37"/>
      <c r="U83" s="136"/>
      <c r="V83" s="136"/>
      <c r="W83" s="136"/>
      <c r="X83" s="41">
        <f>IF(I162&lt;&gt;0,I162,"")</f>
        <v>1107.95</v>
      </c>
      <c r="Y83" s="42">
        <f>IF(I162&lt;&gt;0,A162,"")</f>
        <v>43999</v>
      </c>
    </row>
    <row r="84" spans="1:25" ht="14.5">
      <c r="A84" s="201">
        <v>43930</v>
      </c>
      <c r="B84" s="202" t="s">
        <v>48</v>
      </c>
      <c r="C84" s="203" t="s">
        <v>69</v>
      </c>
      <c r="D84" s="204" t="s">
        <v>83</v>
      </c>
      <c r="E84" s="203" t="s">
        <v>71</v>
      </c>
      <c r="F84" s="205">
        <v>5500</v>
      </c>
      <c r="G84" s="206">
        <v>9.0399999999999991</v>
      </c>
      <c r="H84" s="206">
        <v>8.9600000000000009</v>
      </c>
      <c r="I84" s="207">
        <v>454.98</v>
      </c>
      <c r="J84" s="208">
        <v>0.92000000000000015</v>
      </c>
      <c r="K84" s="204" t="s">
        <v>9</v>
      </c>
      <c r="L84" s="210" t="str">
        <f t="shared" si="4"/>
        <v/>
      </c>
      <c r="M84" s="78"/>
      <c r="N84" s="68"/>
      <c r="O84" s="68"/>
      <c r="P84" s="68"/>
      <c r="Q84" s="68"/>
      <c r="R84" s="36">
        <f t="shared" si="5"/>
        <v>14450.350031814442</v>
      </c>
      <c r="S84" s="37">
        <f t="shared" si="1"/>
        <v>131.73129240259004</v>
      </c>
      <c r="T84" s="37"/>
      <c r="U84" s="136"/>
      <c r="V84" s="136"/>
      <c r="W84" s="136"/>
      <c r="X84" s="41">
        <f>IF(I164&lt;&gt;0,I164,"")</f>
        <v>1752.68</v>
      </c>
      <c r="Y84" s="42">
        <f>IF(I164&lt;&gt;0,A164,"")</f>
        <v>44000</v>
      </c>
    </row>
    <row r="85" spans="1:25" ht="14.5">
      <c r="A85" s="211">
        <v>43930</v>
      </c>
      <c r="B85" s="212" t="s">
        <v>47</v>
      </c>
      <c r="C85" s="213" t="s">
        <v>69</v>
      </c>
      <c r="D85" s="214" t="s">
        <v>84</v>
      </c>
      <c r="E85" s="213" t="s">
        <v>71</v>
      </c>
      <c r="F85" s="215">
        <v>3100</v>
      </c>
      <c r="G85" s="216">
        <v>15.72</v>
      </c>
      <c r="H85" s="216">
        <v>0</v>
      </c>
      <c r="I85" s="217">
        <v>0</v>
      </c>
      <c r="J85" s="218">
        <v>0</v>
      </c>
      <c r="K85" s="214" t="s">
        <v>9</v>
      </c>
      <c r="L85" s="219">
        <f t="shared" si="4"/>
        <v>48757.837899999999</v>
      </c>
      <c r="M85" s="78"/>
      <c r="N85" s="68"/>
      <c r="O85" s="68"/>
      <c r="P85" s="68"/>
      <c r="Q85" s="68"/>
      <c r="R85" s="36">
        <f t="shared" si="5"/>
        <v>14450.350031814442</v>
      </c>
      <c r="S85" s="37" t="str">
        <f t="shared" si="1"/>
        <v/>
      </c>
      <c r="T85" s="37"/>
      <c r="U85" s="136"/>
      <c r="V85" s="136"/>
      <c r="W85" s="136"/>
      <c r="X85" s="41">
        <f>IF(I166&lt;&gt;0,I166,"")</f>
        <v>2346.4</v>
      </c>
      <c r="Y85" s="42">
        <f>IF(I166&lt;&gt;0,A166,"")</f>
        <v>44001</v>
      </c>
    </row>
    <row r="86" spans="1:25" ht="14.5">
      <c r="A86" s="211">
        <v>43934</v>
      </c>
      <c r="B86" s="212" t="s">
        <v>48</v>
      </c>
      <c r="C86" s="213" t="s">
        <v>69</v>
      </c>
      <c r="D86" s="214" t="s">
        <v>84</v>
      </c>
      <c r="E86" s="213" t="s">
        <v>71</v>
      </c>
      <c r="F86" s="215">
        <v>3100</v>
      </c>
      <c r="G86" s="216">
        <v>15.73</v>
      </c>
      <c r="H86" s="216">
        <v>15.73</v>
      </c>
      <c r="I86" s="217">
        <v>22.44</v>
      </c>
      <c r="J86" s="218">
        <v>0.04</v>
      </c>
      <c r="K86" s="214" t="s">
        <v>9</v>
      </c>
      <c r="L86" s="219" t="str">
        <f t="shared" si="4"/>
        <v/>
      </c>
      <c r="M86" s="78"/>
      <c r="N86" s="68"/>
      <c r="O86" s="68"/>
      <c r="P86" s="68"/>
      <c r="Q86" s="68"/>
      <c r="R86" s="36">
        <f t="shared" si="5"/>
        <v>14456.130171827166</v>
      </c>
      <c r="S86" s="37">
        <f t="shared" si="1"/>
        <v>5.780140012724587</v>
      </c>
      <c r="T86" s="37"/>
      <c r="U86" s="136"/>
      <c r="V86" s="136"/>
      <c r="W86" s="136"/>
      <c r="X86" s="41">
        <f>IF(I168&lt;&gt;0,I168,"")</f>
        <v>2544.9</v>
      </c>
      <c r="Y86" s="42">
        <f>IF(I168&lt;&gt;0,A168,"")</f>
        <v>44004</v>
      </c>
    </row>
    <row r="87" spans="1:25" ht="14.5">
      <c r="A87" s="192">
        <v>43934</v>
      </c>
      <c r="B87" s="193" t="s">
        <v>47</v>
      </c>
      <c r="C87" s="194" t="s">
        <v>69</v>
      </c>
      <c r="D87" s="195" t="s">
        <v>82</v>
      </c>
      <c r="E87" s="194" t="s">
        <v>71</v>
      </c>
      <c r="F87" s="196">
        <v>1400</v>
      </c>
      <c r="G87" s="197">
        <v>36.380000000000003</v>
      </c>
      <c r="H87" s="197">
        <v>0</v>
      </c>
      <c r="I87" s="198">
        <v>0</v>
      </c>
      <c r="J87" s="199">
        <v>0</v>
      </c>
      <c r="K87" s="195" t="s">
        <v>9</v>
      </c>
      <c r="L87" s="220">
        <f t="shared" si="4"/>
        <v>50958.552900000002</v>
      </c>
      <c r="M87" s="78"/>
      <c r="N87" s="68"/>
      <c r="O87" s="68"/>
      <c r="P87" s="68"/>
      <c r="Q87" s="68"/>
      <c r="R87" s="36">
        <f t="shared" si="5"/>
        <v>14456.130171827166</v>
      </c>
      <c r="S87" s="37" t="str">
        <f t="shared" si="1"/>
        <v/>
      </c>
      <c r="T87" s="37"/>
      <c r="U87" s="136"/>
      <c r="V87" s="136"/>
      <c r="W87" s="136"/>
      <c r="X87" s="41">
        <f>IF(I170&lt;&gt;0,I170,"")</f>
        <v>1507.75</v>
      </c>
      <c r="Y87" s="42">
        <f>IF(I170&lt;&gt;0,A170,"")</f>
        <v>44005</v>
      </c>
    </row>
    <row r="88" spans="1:25" ht="14.5">
      <c r="A88" s="192">
        <v>43935</v>
      </c>
      <c r="B88" s="193" t="s">
        <v>48</v>
      </c>
      <c r="C88" s="194" t="s">
        <v>69</v>
      </c>
      <c r="D88" s="195" t="s">
        <v>82</v>
      </c>
      <c r="E88" s="194" t="s">
        <v>71</v>
      </c>
      <c r="F88" s="196">
        <v>1400</v>
      </c>
      <c r="G88" s="197">
        <v>37.08</v>
      </c>
      <c r="H88" s="197">
        <v>36.380000000000003</v>
      </c>
      <c r="I88" s="198">
        <v>980.82</v>
      </c>
      <c r="J88" s="199">
        <v>1.92</v>
      </c>
      <c r="K88" s="195" t="s">
        <v>9</v>
      </c>
      <c r="L88" s="210" t="str">
        <f t="shared" si="4"/>
        <v/>
      </c>
      <c r="M88" s="78"/>
      <c r="N88" s="68"/>
      <c r="O88" s="68"/>
      <c r="P88" s="68"/>
      <c r="Q88" s="68"/>
      <c r="R88" s="36">
        <f t="shared" si="5"/>
        <v>14733.687871126249</v>
      </c>
      <c r="S88" s="37">
        <f t="shared" si="1"/>
        <v>277.55769929908274</v>
      </c>
      <c r="T88" s="37"/>
      <c r="U88" s="136"/>
      <c r="V88" s="136"/>
      <c r="W88" s="136"/>
      <c r="X88" s="41">
        <f>IF(I172&lt;&gt;0,I172,"")</f>
        <v>1368.25</v>
      </c>
      <c r="Y88" s="42">
        <f>IF(I172&lt;&gt;0,A172,"")</f>
        <v>44006</v>
      </c>
    </row>
    <row r="89" spans="1:25" ht="14.5">
      <c r="A89" s="211">
        <v>43935</v>
      </c>
      <c r="B89" s="212" t="s">
        <v>47</v>
      </c>
      <c r="C89" s="213" t="s">
        <v>69</v>
      </c>
      <c r="D89" s="214" t="s">
        <v>84</v>
      </c>
      <c r="E89" s="213" t="s">
        <v>71</v>
      </c>
      <c r="F89" s="215">
        <v>3000</v>
      </c>
      <c r="G89" s="216">
        <v>16.46</v>
      </c>
      <c r="H89" s="216">
        <v>0</v>
      </c>
      <c r="I89" s="217">
        <v>0</v>
      </c>
      <c r="J89" s="218">
        <v>0</v>
      </c>
      <c r="K89" s="214" t="s">
        <v>9</v>
      </c>
      <c r="L89" s="219">
        <f t="shared" si="4"/>
        <v>49406.048499999997</v>
      </c>
      <c r="M89" s="78"/>
      <c r="N89" s="68"/>
      <c r="O89" s="68"/>
      <c r="P89" s="68"/>
      <c r="Q89" s="68"/>
      <c r="R89" s="36">
        <f t="shared" si="5"/>
        <v>14733.687871126249</v>
      </c>
      <c r="S89" s="37" t="str">
        <f t="shared" si="1"/>
        <v/>
      </c>
      <c r="T89" s="37"/>
      <c r="U89" s="136"/>
      <c r="V89" s="136"/>
      <c r="W89" s="136"/>
      <c r="X89" s="41">
        <f>IF(I174&lt;&gt;0,I174,"")</f>
        <v>1160.28</v>
      </c>
      <c r="Y89" s="42">
        <f>IF(I174&lt;&gt;0,A174,"")</f>
        <v>44007</v>
      </c>
    </row>
    <row r="90" spans="1:25" ht="14.5">
      <c r="A90" s="211">
        <v>43936</v>
      </c>
      <c r="B90" s="212" t="s">
        <v>48</v>
      </c>
      <c r="C90" s="213" t="s">
        <v>69</v>
      </c>
      <c r="D90" s="214" t="s">
        <v>84</v>
      </c>
      <c r="E90" s="213" t="s">
        <v>71</v>
      </c>
      <c r="F90" s="215">
        <v>3000</v>
      </c>
      <c r="G90" s="216">
        <v>16.82</v>
      </c>
      <c r="H90" s="216">
        <v>16.469999999999995</v>
      </c>
      <c r="I90" s="217">
        <v>1069.73</v>
      </c>
      <c r="J90" s="218">
        <v>2.16</v>
      </c>
      <c r="K90" s="214" t="s">
        <v>9</v>
      </c>
      <c r="L90" s="219" t="str">
        <f t="shared" si="4"/>
        <v/>
      </c>
      <c r="M90" s="78"/>
      <c r="N90" s="68"/>
      <c r="O90" s="68"/>
      <c r="P90" s="68"/>
      <c r="Q90" s="68"/>
      <c r="R90" s="36">
        <f t="shared" si="5"/>
        <v>15051.935529142576</v>
      </c>
      <c r="S90" s="37">
        <f t="shared" si="1"/>
        <v>318.24765801632748</v>
      </c>
      <c r="T90" s="37"/>
      <c r="X90" s="41">
        <f>IF(I176&lt;&gt;0,I176,"")</f>
        <v>1446.63</v>
      </c>
      <c r="Y90" s="42">
        <f>IF(I176&lt;&gt;0,A176,"")</f>
        <v>44008</v>
      </c>
    </row>
    <row r="91" spans="1:25" ht="14.5">
      <c r="A91" s="79">
        <v>43936</v>
      </c>
      <c r="B91" s="80" t="s">
        <v>47</v>
      </c>
      <c r="C91" s="81" t="s">
        <v>69</v>
      </c>
      <c r="D91" s="82" t="s">
        <v>75</v>
      </c>
      <c r="E91" s="81" t="s">
        <v>71</v>
      </c>
      <c r="F91" s="83">
        <v>12800</v>
      </c>
      <c r="G91" s="84">
        <v>3.94</v>
      </c>
      <c r="H91" s="84">
        <v>0</v>
      </c>
      <c r="I91" s="85">
        <v>0</v>
      </c>
      <c r="J91" s="86">
        <v>0</v>
      </c>
      <c r="K91" s="82" t="s">
        <v>9</v>
      </c>
      <c r="L91" s="87">
        <f t="shared" si="4"/>
        <v>50458.390399999997</v>
      </c>
      <c r="M91" s="78"/>
      <c r="N91" s="68"/>
      <c r="O91" s="78"/>
      <c r="P91" s="78"/>
      <c r="Q91" s="78"/>
      <c r="R91" s="36">
        <f t="shared" si="5"/>
        <v>15051.935529142576</v>
      </c>
      <c r="S91" s="37" t="str">
        <f t="shared" si="1"/>
        <v/>
      </c>
      <c r="T91" s="37"/>
      <c r="X91" s="41">
        <f>IF(I178&lt;&gt;0,I178,"")</f>
        <v>1725.74</v>
      </c>
      <c r="Y91" s="42">
        <f>IF(I178&lt;&gt;0,A178,"")</f>
        <v>44011</v>
      </c>
    </row>
    <row r="92" spans="1:25" ht="14.5">
      <c r="A92" s="79">
        <v>43937</v>
      </c>
      <c r="B92" s="80" t="s">
        <v>48</v>
      </c>
      <c r="C92" s="81" t="s">
        <v>69</v>
      </c>
      <c r="D92" s="82" t="s">
        <v>75</v>
      </c>
      <c r="E92" s="81" t="s">
        <v>71</v>
      </c>
      <c r="F92" s="83">
        <v>12800</v>
      </c>
      <c r="G92" s="84">
        <v>4.05</v>
      </c>
      <c r="H92" s="84">
        <v>3.94</v>
      </c>
      <c r="I92" s="85">
        <v>1494.96</v>
      </c>
      <c r="J92" s="86">
        <v>2.96</v>
      </c>
      <c r="K92" s="82" t="s">
        <v>9</v>
      </c>
      <c r="L92" s="87" t="str">
        <f t="shared" si="4"/>
        <v/>
      </c>
      <c r="M92" s="78"/>
      <c r="N92" s="68"/>
      <c r="O92" s="68"/>
      <c r="P92" s="68"/>
      <c r="Q92" s="68"/>
      <c r="R92" s="36">
        <f t="shared" si="5"/>
        <v>15497.472820805198</v>
      </c>
      <c r="S92" s="37">
        <f t="shared" si="1"/>
        <v>445.53729166262201</v>
      </c>
      <c r="T92" s="37"/>
      <c r="X92" s="41">
        <f>IF(I182&lt;&gt;0,I182,"")</f>
        <v>852.89</v>
      </c>
      <c r="Y92" s="42">
        <f>IF(I182&lt;&gt;0,A182,"")</f>
        <v>44012</v>
      </c>
    </row>
    <row r="93" spans="1:25" ht="14.5">
      <c r="A93" s="211">
        <v>43937</v>
      </c>
      <c r="B93" s="212" t="s">
        <v>47</v>
      </c>
      <c r="C93" s="213" t="s">
        <v>69</v>
      </c>
      <c r="D93" s="214" t="s">
        <v>84</v>
      </c>
      <c r="E93" s="213" t="s">
        <v>71</v>
      </c>
      <c r="F93" s="215">
        <v>3100</v>
      </c>
      <c r="G93" s="216">
        <v>16.68</v>
      </c>
      <c r="H93" s="216">
        <v>0</v>
      </c>
      <c r="I93" s="217">
        <v>0</v>
      </c>
      <c r="J93" s="218">
        <v>0</v>
      </c>
      <c r="K93" s="214" t="s">
        <v>9</v>
      </c>
      <c r="L93" s="219">
        <f t="shared" si="4"/>
        <v>51734.805099999998</v>
      </c>
      <c r="M93" s="78"/>
      <c r="N93" s="68"/>
      <c r="O93" s="78"/>
      <c r="P93" s="78"/>
      <c r="Q93" s="78"/>
      <c r="R93" s="36">
        <f t="shared" si="5"/>
        <v>15497.472820805198</v>
      </c>
      <c r="S93" s="37" t="str">
        <f t="shared" si="1"/>
        <v/>
      </c>
      <c r="T93" s="37"/>
      <c r="X93" s="41">
        <f>IF(I184&lt;&gt;0,I184,"")</f>
        <v>1415.62</v>
      </c>
      <c r="Y93" s="42">
        <f>IF(I184&lt;&gt;0,A184,"")</f>
        <v>44013</v>
      </c>
    </row>
    <row r="94" spans="1:25" ht="14.5">
      <c r="A94" s="211">
        <v>43938</v>
      </c>
      <c r="B94" s="212" t="s">
        <v>48</v>
      </c>
      <c r="C94" s="213" t="s">
        <v>69</v>
      </c>
      <c r="D94" s="214" t="s">
        <v>84</v>
      </c>
      <c r="E94" s="213" t="s">
        <v>71</v>
      </c>
      <c r="F94" s="215">
        <v>3100</v>
      </c>
      <c r="G94" s="216">
        <v>17.04</v>
      </c>
      <c r="H94" s="216">
        <v>16.690000000000001</v>
      </c>
      <c r="I94" s="217">
        <v>1105.3</v>
      </c>
      <c r="J94" s="218">
        <v>2.13</v>
      </c>
      <c r="K94" s="214" t="s">
        <v>9</v>
      </c>
      <c r="L94" s="219" t="str">
        <f t="shared" si="4"/>
        <v/>
      </c>
      <c r="M94" s="78"/>
      <c r="N94" s="68"/>
      <c r="O94" s="68"/>
      <c r="P94" s="68"/>
      <c r="Q94" s="68"/>
      <c r="R94" s="36">
        <f t="shared" si="5"/>
        <v>15827.568991888351</v>
      </c>
      <c r="S94" s="37">
        <f t="shared" si="1"/>
        <v>330.09617108315251</v>
      </c>
      <c r="T94" s="37"/>
      <c r="X94" s="41">
        <f>IF(I186&lt;&gt;0,I186,"")</f>
        <v>4113.8900000000003</v>
      </c>
      <c r="Y94" s="42">
        <f>IF(I186&lt;&gt;0,A186,"")</f>
        <v>44014</v>
      </c>
    </row>
    <row r="95" spans="1:25" ht="14.5">
      <c r="A95" s="79">
        <v>43938</v>
      </c>
      <c r="B95" s="80" t="s">
        <v>47</v>
      </c>
      <c r="C95" s="81" t="s">
        <v>69</v>
      </c>
      <c r="D95" s="82" t="s">
        <v>75</v>
      </c>
      <c r="E95" s="81" t="s">
        <v>71</v>
      </c>
      <c r="F95" s="83">
        <v>14100</v>
      </c>
      <c r="G95" s="84">
        <v>3.86</v>
      </c>
      <c r="H95" s="84">
        <v>0</v>
      </c>
      <c r="I95" s="85">
        <v>0</v>
      </c>
      <c r="J95" s="86">
        <v>0</v>
      </c>
      <c r="K95" s="82" t="s">
        <v>9</v>
      </c>
      <c r="L95" s="87">
        <f t="shared" si="4"/>
        <v>54453.688450000001</v>
      </c>
      <c r="M95" s="78"/>
      <c r="N95" s="68"/>
      <c r="O95" s="78"/>
      <c r="P95" s="78"/>
      <c r="Q95" s="78"/>
      <c r="R95" s="36">
        <f t="shared" si="5"/>
        <v>15827.568991888351</v>
      </c>
      <c r="S95" s="37" t="str">
        <f t="shared" si="1"/>
        <v/>
      </c>
      <c r="T95" s="37"/>
      <c r="X95" s="41">
        <f>IF(I188&lt;&gt;0,I188,"")</f>
        <v>1408.59</v>
      </c>
      <c r="Y95" s="42">
        <f>IF(I188&lt;&gt;0,A188,"")</f>
        <v>44015</v>
      </c>
    </row>
    <row r="96" spans="1:25" ht="14.5">
      <c r="A96" s="79">
        <v>43941</v>
      </c>
      <c r="B96" s="80" t="s">
        <v>48</v>
      </c>
      <c r="C96" s="81" t="s">
        <v>69</v>
      </c>
      <c r="D96" s="82" t="s">
        <v>75</v>
      </c>
      <c r="E96" s="81" t="s">
        <v>71</v>
      </c>
      <c r="F96" s="83">
        <v>100</v>
      </c>
      <c r="G96" s="84">
        <v>3.88</v>
      </c>
      <c r="H96" s="84">
        <v>3.86</v>
      </c>
      <c r="I96" s="85">
        <v>2.82</v>
      </c>
      <c r="J96" s="86">
        <v>0.73</v>
      </c>
      <c r="K96" s="82" t="s">
        <v>9</v>
      </c>
      <c r="L96" s="87" t="str">
        <f t="shared" si="4"/>
        <v/>
      </c>
      <c r="M96" s="78"/>
      <c r="N96" s="68"/>
      <c r="O96" s="68"/>
      <c r="P96" s="68"/>
      <c r="Q96" s="68"/>
      <c r="R96" s="36">
        <f t="shared" si="5"/>
        <v>15943.110245529137</v>
      </c>
      <c r="S96" s="37">
        <f t="shared" si="1"/>
        <v>115.54125364078573</v>
      </c>
      <c r="T96" s="37"/>
      <c r="X96" s="41">
        <f>IF(I190&lt;&gt;0,I190,"")</f>
        <v>10543.1</v>
      </c>
      <c r="Y96" s="42">
        <f>IF(I190&lt;&gt;0,A190,"")</f>
        <v>44018</v>
      </c>
    </row>
    <row r="97" spans="1:25" ht="14.5">
      <c r="A97" s="79">
        <v>43941</v>
      </c>
      <c r="B97" s="80" t="s">
        <v>48</v>
      </c>
      <c r="C97" s="81" t="s">
        <v>69</v>
      </c>
      <c r="D97" s="82" t="s">
        <v>75</v>
      </c>
      <c r="E97" s="81" t="s">
        <v>71</v>
      </c>
      <c r="F97" s="83">
        <v>14000</v>
      </c>
      <c r="G97" s="84">
        <v>3.86</v>
      </c>
      <c r="H97" s="84">
        <v>3.86</v>
      </c>
      <c r="I97" s="85">
        <v>97.22</v>
      </c>
      <c r="J97" s="86">
        <v>0.17</v>
      </c>
      <c r="K97" s="82" t="s">
        <v>9</v>
      </c>
      <c r="L97" s="87" t="str">
        <f t="shared" si="4"/>
        <v/>
      </c>
      <c r="M97" s="78"/>
      <c r="N97" s="68"/>
      <c r="O97" s="78"/>
      <c r="P97" s="78"/>
      <c r="Q97" s="78"/>
      <c r="R97" s="36">
        <f t="shared" si="5"/>
        <v>15970.213532946536</v>
      </c>
      <c r="S97" s="37">
        <f t="shared" si="1"/>
        <v>27.10328741739977</v>
      </c>
      <c r="T97" s="37"/>
      <c r="X97" s="41">
        <f>IF(I192&lt;&gt;0,I192,"")</f>
        <v>-1267.97</v>
      </c>
      <c r="Y97" s="42">
        <f>IF(I192&lt;&gt;0,A192,"")</f>
        <v>44019</v>
      </c>
    </row>
    <row r="98" spans="1:25" ht="14.5">
      <c r="A98" s="98">
        <v>43941</v>
      </c>
      <c r="B98" s="137" t="s">
        <v>47</v>
      </c>
      <c r="C98" s="138" t="s">
        <v>69</v>
      </c>
      <c r="D98" s="139" t="s">
        <v>76</v>
      </c>
      <c r="E98" s="138" t="s">
        <v>71</v>
      </c>
      <c r="F98" s="140">
        <v>41000</v>
      </c>
      <c r="G98" s="141">
        <v>1.35</v>
      </c>
      <c r="H98" s="141">
        <v>0</v>
      </c>
      <c r="I98" s="142">
        <v>0</v>
      </c>
      <c r="J98" s="143">
        <v>0</v>
      </c>
      <c r="K98" s="139" t="s">
        <v>9</v>
      </c>
      <c r="L98" s="144">
        <f t="shared" si="4"/>
        <v>55377.988750000004</v>
      </c>
      <c r="M98" s="78"/>
      <c r="N98" s="68"/>
      <c r="O98" s="68"/>
      <c r="P98" s="68"/>
      <c r="Q98" s="68"/>
      <c r="R98" s="36">
        <f t="shared" si="5"/>
        <v>15970.213532946536</v>
      </c>
      <c r="S98" s="37" t="str">
        <f t="shared" si="1"/>
        <v/>
      </c>
      <c r="T98" s="37"/>
      <c r="X98" s="41">
        <f>IF(I194&lt;&gt;0,I194,"")</f>
        <v>1342.65</v>
      </c>
      <c r="Y98" s="42">
        <f>IF(I194&lt;&gt;0,A194,"")</f>
        <v>44020</v>
      </c>
    </row>
    <row r="99" spans="1:25" ht="14.5">
      <c r="A99" s="98">
        <v>43943</v>
      </c>
      <c r="B99" s="137" t="s">
        <v>48</v>
      </c>
      <c r="C99" s="138" t="s">
        <v>69</v>
      </c>
      <c r="D99" s="139" t="s">
        <v>76</v>
      </c>
      <c r="E99" s="138" t="s">
        <v>71</v>
      </c>
      <c r="F99" s="140">
        <v>41000</v>
      </c>
      <c r="G99" s="141">
        <v>1.38</v>
      </c>
      <c r="H99" s="141">
        <v>1.35</v>
      </c>
      <c r="I99" s="142">
        <v>1595.93</v>
      </c>
      <c r="J99" s="143">
        <v>2.88</v>
      </c>
      <c r="K99" s="139" t="s">
        <v>9</v>
      </c>
      <c r="L99" s="144" t="str">
        <f t="shared" si="4"/>
        <v/>
      </c>
      <c r="M99" s="78"/>
      <c r="N99" s="68"/>
      <c r="O99" s="221"/>
      <c r="P99" s="221"/>
      <c r="Q99" s="221"/>
      <c r="R99" s="36">
        <f t="shared" si="5"/>
        <v>16430.155682695397</v>
      </c>
      <c r="S99" s="37">
        <f t="shared" si="1"/>
        <v>459.94214974886017</v>
      </c>
      <c r="T99" s="37"/>
      <c r="U99" s="222"/>
      <c r="V99" s="222"/>
      <c r="W99" s="222"/>
      <c r="X99" s="41">
        <f>IF(I196&lt;&gt;0,I196,"")</f>
        <v>1308.2600000000002</v>
      </c>
      <c r="Y99" s="42">
        <f>IF(I196&lt;&gt;0,A196,"")</f>
        <v>44021</v>
      </c>
    </row>
    <row r="100" spans="1:25" ht="14.5">
      <c r="A100" s="211">
        <v>43943</v>
      </c>
      <c r="B100" s="212" t="s">
        <v>47</v>
      </c>
      <c r="C100" s="213" t="s">
        <v>69</v>
      </c>
      <c r="D100" s="214" t="s">
        <v>84</v>
      </c>
      <c r="E100" s="213" t="s">
        <v>71</v>
      </c>
      <c r="F100" s="215">
        <v>3000</v>
      </c>
      <c r="G100" s="216">
        <v>18.809999999999999</v>
      </c>
      <c r="H100" s="216">
        <v>0</v>
      </c>
      <c r="I100" s="217">
        <v>0</v>
      </c>
      <c r="J100" s="218">
        <v>0</v>
      </c>
      <c r="K100" s="214" t="s">
        <v>9</v>
      </c>
      <c r="L100" s="219">
        <f t="shared" si="4"/>
        <v>56458.339749999992</v>
      </c>
      <c r="M100" s="78"/>
      <c r="N100" s="68"/>
      <c r="O100" s="68"/>
      <c r="P100" s="68"/>
      <c r="Q100" s="68"/>
      <c r="R100" s="36">
        <f t="shared" si="5"/>
        <v>16430.155682695397</v>
      </c>
      <c r="S100" s="37" t="str">
        <f t="shared" si="1"/>
        <v/>
      </c>
      <c r="T100" s="37"/>
      <c r="U100" s="222"/>
      <c r="V100" s="222"/>
      <c r="W100" s="222"/>
      <c r="X100" s="41">
        <f>IF(I198&lt;&gt;0,I198,"")</f>
        <v>1418.23</v>
      </c>
      <c r="Y100" s="42">
        <f>IF(I198&lt;&gt;0,A198,"")</f>
        <v>44022</v>
      </c>
    </row>
    <row r="101" spans="1:25" ht="14.5">
      <c r="A101" s="211">
        <v>43944</v>
      </c>
      <c r="B101" s="212" t="s">
        <v>48</v>
      </c>
      <c r="C101" s="213" t="s">
        <v>69</v>
      </c>
      <c r="D101" s="214" t="s">
        <v>84</v>
      </c>
      <c r="E101" s="213" t="s">
        <v>71</v>
      </c>
      <c r="F101" s="215">
        <v>3000</v>
      </c>
      <c r="G101" s="216">
        <v>19.37</v>
      </c>
      <c r="H101" s="216">
        <v>18.82</v>
      </c>
      <c r="I101" s="217">
        <v>1665.24</v>
      </c>
      <c r="J101" s="218">
        <v>2.94</v>
      </c>
      <c r="K101" s="214" t="s">
        <v>9</v>
      </c>
      <c r="L101" s="219" t="str">
        <f t="shared" si="4"/>
        <v/>
      </c>
      <c r="M101" s="78"/>
      <c r="N101" s="68"/>
      <c r="O101" s="221"/>
      <c r="P101" s="221"/>
      <c r="Q101" s="221"/>
      <c r="R101" s="36">
        <f t="shared" si="5"/>
        <v>16913.202259766644</v>
      </c>
      <c r="S101" s="37">
        <f t="shared" si="1"/>
        <v>483.04657707124716</v>
      </c>
      <c r="T101" s="37"/>
      <c r="U101" s="222"/>
      <c r="V101" s="222"/>
      <c r="W101" s="222"/>
      <c r="X101" s="41">
        <f>IF(I200&lt;&gt;0,I200,"")</f>
        <v>1321.23</v>
      </c>
      <c r="Y101" s="42">
        <f>IF(I200&lt;&gt;0,A200,"")</f>
        <v>44025</v>
      </c>
    </row>
    <row r="102" spans="1:25" ht="14.5">
      <c r="A102" s="98">
        <v>43944</v>
      </c>
      <c r="B102" s="137" t="s">
        <v>47</v>
      </c>
      <c r="C102" s="138" t="s">
        <v>69</v>
      </c>
      <c r="D102" s="139" t="s">
        <v>76</v>
      </c>
      <c r="E102" s="138" t="s">
        <v>71</v>
      </c>
      <c r="F102" s="140">
        <v>40600</v>
      </c>
      <c r="G102" s="141">
        <v>1.39</v>
      </c>
      <c r="H102" s="141">
        <v>0</v>
      </c>
      <c r="I102" s="142">
        <v>0</v>
      </c>
      <c r="J102" s="143">
        <v>0</v>
      </c>
      <c r="K102" s="139" t="s">
        <v>9</v>
      </c>
      <c r="L102" s="144">
        <f t="shared" si="4"/>
        <v>56462.341049999995</v>
      </c>
      <c r="M102" s="78"/>
      <c r="N102" s="68"/>
      <c r="O102" s="221"/>
      <c r="P102" s="221"/>
      <c r="Q102" s="221"/>
      <c r="R102" s="36">
        <f t="shared" si="5"/>
        <v>16913.202259766644</v>
      </c>
      <c r="S102" s="37" t="str">
        <f t="shared" si="1"/>
        <v/>
      </c>
      <c r="T102" s="37"/>
      <c r="U102" s="222"/>
      <c r="V102" s="222"/>
      <c r="W102" s="222"/>
      <c r="X102" s="41">
        <f>IF(I202&lt;&gt;0,I202,"")</f>
        <v>1397.31</v>
      </c>
      <c r="Y102" s="42">
        <f>IF(I202&lt;&gt;0,A202,"")</f>
        <v>44026</v>
      </c>
    </row>
    <row r="103" spans="1:25" ht="14.5">
      <c r="A103" s="98">
        <v>43949</v>
      </c>
      <c r="B103" s="137" t="s">
        <v>48</v>
      </c>
      <c r="C103" s="138" t="s">
        <v>69</v>
      </c>
      <c r="D103" s="139" t="s">
        <v>76</v>
      </c>
      <c r="E103" s="138" t="s">
        <v>71</v>
      </c>
      <c r="F103" s="140">
        <v>40600</v>
      </c>
      <c r="G103" s="141">
        <v>1.4</v>
      </c>
      <c r="H103" s="141">
        <v>1.39</v>
      </c>
      <c r="I103" s="142">
        <v>767.52</v>
      </c>
      <c r="J103" s="143">
        <v>1.35</v>
      </c>
      <c r="K103" s="139" t="s">
        <v>9</v>
      </c>
      <c r="L103" s="144" t="str">
        <f t="shared" si="4"/>
        <v/>
      </c>
      <c r="M103" s="78"/>
      <c r="N103" s="68"/>
      <c r="O103" s="221"/>
      <c r="P103" s="221"/>
      <c r="Q103" s="221"/>
      <c r="R103" s="36">
        <f t="shared" si="5"/>
        <v>17141.530490273493</v>
      </c>
      <c r="S103" s="37">
        <f t="shared" si="1"/>
        <v>228.32823050684965</v>
      </c>
      <c r="T103" s="37"/>
      <c r="U103" s="222"/>
      <c r="V103" s="222"/>
      <c r="W103" s="222"/>
      <c r="X103" s="41">
        <f>IF(I204&lt;&gt;0,I204,"")</f>
        <v>3395.17</v>
      </c>
      <c r="Y103" s="42">
        <f>IF(I204&lt;&gt;0,A204,"")</f>
        <v>44027</v>
      </c>
    </row>
    <row r="104" spans="1:25" ht="14.5">
      <c r="A104" s="223">
        <v>43949</v>
      </c>
      <c r="B104" s="224" t="s">
        <v>47</v>
      </c>
      <c r="C104" s="225" t="s">
        <v>69</v>
      </c>
      <c r="D104" s="226" t="s">
        <v>85</v>
      </c>
      <c r="E104" s="225" t="s">
        <v>71</v>
      </c>
      <c r="F104" s="226">
        <v>4600</v>
      </c>
      <c r="G104" s="227">
        <v>12.54</v>
      </c>
      <c r="H104" s="227">
        <v>0</v>
      </c>
      <c r="I104" s="228">
        <v>0</v>
      </c>
      <c r="J104" s="229">
        <v>0</v>
      </c>
      <c r="K104" s="230" t="s">
        <v>9</v>
      </c>
      <c r="L104" s="231">
        <f t="shared" si="4"/>
        <v>57712.747299999995</v>
      </c>
      <c r="M104" s="78"/>
      <c r="N104" s="34"/>
      <c r="O104" s="221"/>
      <c r="P104" s="221"/>
      <c r="Q104" s="221"/>
      <c r="R104" s="36">
        <f t="shared" si="5"/>
        <v>17141.530490273493</v>
      </c>
      <c r="S104" s="37" t="str">
        <f t="shared" si="1"/>
        <v/>
      </c>
      <c r="T104" s="37"/>
      <c r="U104" s="222"/>
      <c r="V104" s="222"/>
      <c r="W104" s="222"/>
      <c r="X104" s="232">
        <f>IF(I206&lt;&gt;0,I206,"")</f>
        <v>-8291.39</v>
      </c>
      <c r="Y104" s="42">
        <f>IF(I206&lt;&gt;0,A206,"")</f>
        <v>44029</v>
      </c>
    </row>
    <row r="105" spans="1:25" ht="14.5">
      <c r="A105" s="223">
        <v>43950</v>
      </c>
      <c r="B105" s="224" t="s">
        <v>48</v>
      </c>
      <c r="C105" s="225" t="s">
        <v>69</v>
      </c>
      <c r="D105" s="226" t="s">
        <v>85</v>
      </c>
      <c r="E105" s="225" t="s">
        <v>71</v>
      </c>
      <c r="F105" s="226">
        <v>4600</v>
      </c>
      <c r="G105" s="227">
        <v>12.79</v>
      </c>
      <c r="H105" s="227">
        <v>12.54</v>
      </c>
      <c r="I105" s="228">
        <v>1150.6400000000001</v>
      </c>
      <c r="J105" s="229">
        <v>1.99</v>
      </c>
      <c r="K105" s="230" t="s">
        <v>9</v>
      </c>
      <c r="L105" s="231" t="str">
        <f t="shared" si="4"/>
        <v/>
      </c>
      <c r="M105" s="78"/>
      <c r="N105" s="34"/>
      <c r="O105" s="221"/>
      <c r="P105" s="221"/>
      <c r="Q105" s="221"/>
      <c r="R105" s="36">
        <f t="shared" si="5"/>
        <v>17482.646947029938</v>
      </c>
      <c r="S105" s="37">
        <f t="shared" si="1"/>
        <v>341.11645675644468</v>
      </c>
      <c r="T105" s="37"/>
      <c r="U105" s="222"/>
      <c r="V105" s="222"/>
      <c r="W105" s="222"/>
      <c r="X105" s="232">
        <f>IF(I208&lt;&gt;0,I208,"")</f>
        <v>1377.29</v>
      </c>
      <c r="Y105" s="42">
        <f>IF(I208&lt;&gt;0,A208,"")</f>
        <v>44032</v>
      </c>
    </row>
    <row r="106" spans="1:25" ht="14.5">
      <c r="A106" s="116">
        <v>43950</v>
      </c>
      <c r="B106" s="99" t="s">
        <v>47</v>
      </c>
      <c r="C106" s="100" t="s">
        <v>69</v>
      </c>
      <c r="D106" s="101" t="s">
        <v>76</v>
      </c>
      <c r="E106" s="100" t="s">
        <v>71</v>
      </c>
      <c r="F106" s="102">
        <v>42000</v>
      </c>
      <c r="G106" s="103">
        <v>1.39</v>
      </c>
      <c r="H106" s="103">
        <v>0</v>
      </c>
      <c r="I106" s="117">
        <v>0</v>
      </c>
      <c r="J106" s="105">
        <v>0</v>
      </c>
      <c r="K106" s="101" t="s">
        <v>9</v>
      </c>
      <c r="L106" s="106">
        <f t="shared" si="4"/>
        <v>58408.973499999993</v>
      </c>
      <c r="M106" s="383"/>
      <c r="N106" s="34"/>
      <c r="O106" s="221"/>
      <c r="P106" s="221"/>
      <c r="Q106" s="221"/>
      <c r="R106" s="36">
        <f t="shared" si="5"/>
        <v>17482.646947029938</v>
      </c>
      <c r="S106" s="37" t="str">
        <f t="shared" si="1"/>
        <v/>
      </c>
      <c r="T106" s="37"/>
      <c r="U106" s="222"/>
      <c r="V106" s="222"/>
      <c r="W106" s="222"/>
      <c r="X106" s="232">
        <f>IF(I210&lt;&gt;0,I210,"")</f>
        <v>1412.71</v>
      </c>
      <c r="Y106" s="42">
        <f>IF(I210&lt;&gt;0,A210,"")</f>
        <v>44033</v>
      </c>
    </row>
    <row r="107" spans="1:25" ht="14.5">
      <c r="A107" s="118">
        <v>43956</v>
      </c>
      <c r="B107" s="119" t="s">
        <v>48</v>
      </c>
      <c r="C107" s="120" t="s">
        <v>69</v>
      </c>
      <c r="D107" s="125" t="s">
        <v>76</v>
      </c>
      <c r="E107" s="120" t="s">
        <v>71</v>
      </c>
      <c r="F107" s="121">
        <v>6400</v>
      </c>
      <c r="G107" s="122">
        <v>1.32</v>
      </c>
      <c r="H107" s="122">
        <v>1.39</v>
      </c>
      <c r="I107" s="123">
        <v>-394.98</v>
      </c>
      <c r="J107" s="124">
        <v>-4.43</v>
      </c>
      <c r="K107" s="125" t="s">
        <v>9</v>
      </c>
      <c r="L107" s="563" t="str">
        <f t="shared" si="4"/>
        <v/>
      </c>
      <c r="M107" s="33" t="s">
        <v>38</v>
      </c>
      <c r="N107" s="34"/>
      <c r="O107" s="221"/>
      <c r="P107" s="221"/>
      <c r="Q107" s="221"/>
      <c r="R107" s="36">
        <f>R106</f>
        <v>17482.646947029938</v>
      </c>
      <c r="S107" s="37" t="str">
        <f t="shared" si="1"/>
        <v/>
      </c>
      <c r="T107" s="37"/>
      <c r="U107" s="222"/>
      <c r="V107" s="222"/>
      <c r="W107" s="222"/>
      <c r="X107" s="232">
        <f>IF(I212&lt;&gt;0,I212,"")</f>
        <v>-3017.64</v>
      </c>
      <c r="Y107" s="42">
        <f>IF(I212&lt;&gt;0,A212,"")</f>
        <v>44034</v>
      </c>
    </row>
    <row r="108" spans="1:25" ht="14.5">
      <c r="A108" s="98">
        <v>43956</v>
      </c>
      <c r="B108" s="137" t="s">
        <v>48</v>
      </c>
      <c r="C108" s="138" t="s">
        <v>69</v>
      </c>
      <c r="D108" s="139" t="s">
        <v>76</v>
      </c>
      <c r="E108" s="138" t="s">
        <v>71</v>
      </c>
      <c r="F108" s="140">
        <v>35600</v>
      </c>
      <c r="G108" s="141">
        <v>1.29</v>
      </c>
      <c r="H108" s="141">
        <v>1.39</v>
      </c>
      <c r="I108" s="142">
        <v>-3242.42</v>
      </c>
      <c r="J108" s="143">
        <v>-6.54</v>
      </c>
      <c r="K108" s="139" t="s">
        <v>9</v>
      </c>
      <c r="L108" s="164" t="str">
        <f t="shared" si="4"/>
        <v/>
      </c>
      <c r="M108" s="45" t="s">
        <v>21</v>
      </c>
      <c r="N108" s="34"/>
      <c r="O108" s="221"/>
      <c r="P108" s="221"/>
      <c r="Q108" s="221"/>
      <c r="R108" s="36">
        <f t="shared" ref="R108:R218" si="6">R107*((J108/100)+1)</f>
        <v>16339.281836694179</v>
      </c>
      <c r="S108" s="37">
        <f t="shared" si="1"/>
        <v>-1143.3651103357588</v>
      </c>
      <c r="T108" s="37"/>
      <c r="U108" s="222"/>
      <c r="V108" s="222"/>
      <c r="W108" s="222"/>
      <c r="X108" s="232">
        <f>IF(I214&lt;&gt;0,I214,"")</f>
        <v>1941.62</v>
      </c>
      <c r="Y108" s="42">
        <f>IF(I214&lt;&gt;0,A214,"")</f>
        <v>44035</v>
      </c>
    </row>
    <row r="109" spans="1:25" ht="14.5">
      <c r="A109" s="22">
        <v>43956</v>
      </c>
      <c r="B109" s="23" t="s">
        <v>47</v>
      </c>
      <c r="C109" s="24" t="s">
        <v>69</v>
      </c>
      <c r="D109" s="25" t="s">
        <v>83</v>
      </c>
      <c r="E109" s="24" t="s">
        <v>71</v>
      </c>
      <c r="F109" s="26">
        <v>4400</v>
      </c>
      <c r="G109" s="27">
        <v>12.5</v>
      </c>
      <c r="H109" s="28">
        <v>0</v>
      </c>
      <c r="I109" s="29">
        <v>0</v>
      </c>
      <c r="J109" s="30">
        <v>0</v>
      </c>
      <c r="K109" s="31" t="s">
        <v>9</v>
      </c>
      <c r="L109" s="32">
        <f t="shared" si="4"/>
        <v>55027.875</v>
      </c>
      <c r="M109" s="56">
        <f>IFERROR(AVERAGE(L107:L139),0)</f>
        <v>76745.743514062488</v>
      </c>
      <c r="N109" s="34"/>
      <c r="O109" s="78"/>
      <c r="P109" s="78"/>
      <c r="Q109" s="78"/>
      <c r="R109" s="36">
        <f t="shared" si="6"/>
        <v>16339.281836694179</v>
      </c>
      <c r="S109" s="37" t="str">
        <f t="shared" si="1"/>
        <v/>
      </c>
      <c r="T109" s="37"/>
      <c r="X109" s="232">
        <f>IF(I216&lt;&gt;0,I216,"")</f>
        <v>1340.67</v>
      </c>
      <c r="Y109" s="42">
        <f>IF(I216&lt;&gt;0,A216,"")</f>
        <v>44036</v>
      </c>
    </row>
    <row r="110" spans="1:25" ht="14.5">
      <c r="A110" s="22">
        <v>43957</v>
      </c>
      <c r="B110" s="23" t="s">
        <v>48</v>
      </c>
      <c r="C110" s="24" t="s">
        <v>69</v>
      </c>
      <c r="D110" s="25" t="s">
        <v>83</v>
      </c>
      <c r="E110" s="24" t="s">
        <v>71</v>
      </c>
      <c r="F110" s="26">
        <v>4400</v>
      </c>
      <c r="G110" s="27">
        <v>12.68</v>
      </c>
      <c r="H110" s="27">
        <v>12.5</v>
      </c>
      <c r="I110" s="43">
        <v>792.01</v>
      </c>
      <c r="J110" s="44">
        <v>1.43</v>
      </c>
      <c r="K110" s="25" t="s">
        <v>9</v>
      </c>
      <c r="L110" s="32" t="str">
        <f t="shared" si="4"/>
        <v/>
      </c>
      <c r="M110" s="45" t="s">
        <v>24</v>
      </c>
      <c r="N110" s="34"/>
      <c r="O110" s="78"/>
      <c r="P110" s="78"/>
      <c r="Q110" s="78"/>
      <c r="R110" s="36">
        <f t="shared" si="6"/>
        <v>16572.933566958905</v>
      </c>
      <c r="S110" s="37">
        <f t="shared" si="1"/>
        <v>233.65173026472621</v>
      </c>
      <c r="T110" s="37"/>
      <c r="X110" s="232">
        <f>IF(I218&lt;&gt;0,I218,"")</f>
        <v>1411.93</v>
      </c>
      <c r="Y110" s="42">
        <f>IF(I218&lt;&gt;0,A218,"")</f>
        <v>44039</v>
      </c>
    </row>
    <row r="111" spans="1:25" ht="14.5">
      <c r="A111" s="233">
        <v>43957</v>
      </c>
      <c r="B111" s="234" t="s">
        <v>47</v>
      </c>
      <c r="C111" s="235" t="s">
        <v>69</v>
      </c>
      <c r="D111" s="236" t="s">
        <v>86</v>
      </c>
      <c r="E111" s="235" t="s">
        <v>71</v>
      </c>
      <c r="F111" s="236">
        <v>14500</v>
      </c>
      <c r="G111" s="237">
        <v>3.84</v>
      </c>
      <c r="H111" s="237">
        <v>0</v>
      </c>
      <c r="I111" s="238">
        <v>0</v>
      </c>
      <c r="J111" s="239">
        <v>0</v>
      </c>
      <c r="K111" s="240" t="s">
        <v>9</v>
      </c>
      <c r="L111" s="241">
        <f t="shared" si="4"/>
        <v>55708.095999999998</v>
      </c>
      <c r="M111" s="56">
        <f>SUM(I107:I139)</f>
        <v>12163.04</v>
      </c>
      <c r="N111" s="34"/>
      <c r="O111" s="78"/>
      <c r="P111" s="78"/>
      <c r="Q111" s="78"/>
      <c r="R111" s="36">
        <f t="shared" si="6"/>
        <v>16572.933566958905</v>
      </c>
      <c r="S111" s="37" t="str">
        <f t="shared" si="1"/>
        <v/>
      </c>
      <c r="T111" s="37"/>
      <c r="X111" s="232">
        <f>IF(I219&lt;&gt;0,I219,"")</f>
        <v>2062.48</v>
      </c>
      <c r="Y111" s="42">
        <f>IF(I219&lt;&gt;0,A219,"")</f>
        <v>44039</v>
      </c>
    </row>
    <row r="112" spans="1:25" ht="14.5">
      <c r="A112" s="233">
        <v>43958</v>
      </c>
      <c r="B112" s="234" t="s">
        <v>48</v>
      </c>
      <c r="C112" s="235" t="s">
        <v>69</v>
      </c>
      <c r="D112" s="236" t="s">
        <v>86</v>
      </c>
      <c r="E112" s="235" t="s">
        <v>71</v>
      </c>
      <c r="F112" s="236">
        <v>14500</v>
      </c>
      <c r="G112" s="237">
        <v>3.88</v>
      </c>
      <c r="H112" s="237">
        <v>3.84</v>
      </c>
      <c r="I112" s="238">
        <v>680.63</v>
      </c>
      <c r="J112" s="239">
        <v>1.22</v>
      </c>
      <c r="K112" s="240" t="s">
        <v>9</v>
      </c>
      <c r="L112" s="241" t="str">
        <f t="shared" si="4"/>
        <v/>
      </c>
      <c r="M112" s="45" t="s">
        <v>27</v>
      </c>
      <c r="N112" s="34"/>
      <c r="O112" s="78"/>
      <c r="P112" s="78"/>
      <c r="Q112" s="78"/>
      <c r="R112" s="36">
        <f t="shared" si="6"/>
        <v>16775.123356475804</v>
      </c>
      <c r="S112" s="37">
        <f t="shared" si="1"/>
        <v>202.1897895168986</v>
      </c>
      <c r="T112" s="37"/>
      <c r="X112" s="232">
        <f>IF(I221&lt;&gt;0,I221,"")</f>
        <v>-966.28</v>
      </c>
      <c r="Y112" s="42">
        <f>IF(I221&lt;&gt;0,A221,"")</f>
        <v>44040</v>
      </c>
    </row>
    <row r="113" spans="1:25" ht="14.5">
      <c r="A113" s="22">
        <v>43958</v>
      </c>
      <c r="B113" s="23" t="s">
        <v>47</v>
      </c>
      <c r="C113" s="24" t="s">
        <v>69</v>
      </c>
      <c r="D113" s="25" t="s">
        <v>83</v>
      </c>
      <c r="E113" s="24" t="s">
        <v>71</v>
      </c>
      <c r="F113" s="26">
        <v>4000</v>
      </c>
      <c r="G113" s="27">
        <v>13.82</v>
      </c>
      <c r="H113" s="28">
        <v>0</v>
      </c>
      <c r="I113" s="29">
        <v>0</v>
      </c>
      <c r="J113" s="30">
        <v>0</v>
      </c>
      <c r="K113" s="31" t="s">
        <v>9</v>
      </c>
      <c r="L113" s="32">
        <f t="shared" si="4"/>
        <v>55307.966</v>
      </c>
      <c r="M113" s="66">
        <f>SUM(J107:J139)/100</f>
        <v>9.2499999999999999E-2</v>
      </c>
      <c r="N113" s="34"/>
      <c r="O113" s="78"/>
      <c r="P113" s="78"/>
      <c r="Q113" s="78"/>
      <c r="R113" s="36">
        <f t="shared" si="6"/>
        <v>16775.123356475804</v>
      </c>
      <c r="S113" s="37" t="str">
        <f t="shared" si="1"/>
        <v/>
      </c>
      <c r="T113" s="37"/>
      <c r="X113" s="232">
        <f>IF(I223&lt;&gt;0,I223,"")</f>
        <v>1418.77</v>
      </c>
      <c r="Y113" s="42">
        <f>IF(I223&lt;&gt;0,A223,"")</f>
        <v>44041</v>
      </c>
    </row>
    <row r="114" spans="1:25" ht="14.5">
      <c r="A114" s="22">
        <v>43959</v>
      </c>
      <c r="B114" s="23" t="s">
        <v>48</v>
      </c>
      <c r="C114" s="24" t="s">
        <v>69</v>
      </c>
      <c r="D114" s="25" t="s">
        <v>83</v>
      </c>
      <c r="E114" s="24" t="s">
        <v>71</v>
      </c>
      <c r="F114" s="26">
        <v>4000</v>
      </c>
      <c r="G114" s="27">
        <v>13.95</v>
      </c>
      <c r="H114" s="27">
        <v>13.83</v>
      </c>
      <c r="I114" s="43">
        <v>515.92999999999995</v>
      </c>
      <c r="J114" s="44">
        <v>0.93</v>
      </c>
      <c r="K114" s="25" t="s">
        <v>9</v>
      </c>
      <c r="L114" s="242" t="str">
        <f t="shared" si="4"/>
        <v/>
      </c>
      <c r="M114" s="388"/>
      <c r="N114" s="68"/>
      <c r="O114" s="78"/>
      <c r="P114" s="78"/>
      <c r="Q114" s="78"/>
      <c r="R114" s="36">
        <f t="shared" si="6"/>
        <v>16931.132003691029</v>
      </c>
      <c r="S114" s="37">
        <f t="shared" si="1"/>
        <v>156.00864721522521</v>
      </c>
      <c r="T114" s="37"/>
      <c r="X114" s="232">
        <f>IF(I225&lt;&gt;0,I225,"")</f>
        <v>1433.33</v>
      </c>
      <c r="Y114" s="42">
        <f>IF(I225&lt;&gt;0,A225,"")</f>
        <v>44042</v>
      </c>
    </row>
    <row r="115" spans="1:25" ht="14.5">
      <c r="A115" s="233">
        <v>43959</v>
      </c>
      <c r="B115" s="234" t="s">
        <v>47</v>
      </c>
      <c r="C115" s="235" t="s">
        <v>69</v>
      </c>
      <c r="D115" s="236" t="s">
        <v>86</v>
      </c>
      <c r="E115" s="235" t="s">
        <v>71</v>
      </c>
      <c r="F115" s="236">
        <v>12700</v>
      </c>
      <c r="G115" s="237">
        <v>4.3899999999999997</v>
      </c>
      <c r="H115" s="237">
        <v>0</v>
      </c>
      <c r="I115" s="238">
        <v>0</v>
      </c>
      <c r="J115" s="239">
        <v>0</v>
      </c>
      <c r="K115" s="240" t="s">
        <v>9</v>
      </c>
      <c r="L115" s="243">
        <f t="shared" si="4"/>
        <v>55781.11972499999</v>
      </c>
      <c r="M115" s="78"/>
      <c r="N115" s="68"/>
      <c r="O115" s="78"/>
      <c r="P115" s="78"/>
      <c r="Q115" s="78"/>
      <c r="R115" s="36">
        <f t="shared" si="6"/>
        <v>16931.132003691029</v>
      </c>
      <c r="S115" s="37" t="str">
        <f t="shared" si="1"/>
        <v/>
      </c>
      <c r="T115" s="37"/>
      <c r="X115" s="232">
        <f>IF(I227&lt;&gt;0,I227,"")</f>
        <v>1451.82</v>
      </c>
      <c r="Y115" s="42">
        <f>IF(I227&lt;&gt;0,A227,"")</f>
        <v>44043</v>
      </c>
    </row>
    <row r="116" spans="1:25" ht="14.5">
      <c r="A116" s="233">
        <v>43962</v>
      </c>
      <c r="B116" s="234" t="s">
        <v>48</v>
      </c>
      <c r="C116" s="235" t="s">
        <v>69</v>
      </c>
      <c r="D116" s="236" t="s">
        <v>86</v>
      </c>
      <c r="E116" s="235" t="s">
        <v>71</v>
      </c>
      <c r="F116" s="236">
        <v>12700</v>
      </c>
      <c r="G116" s="237">
        <v>4.43</v>
      </c>
      <c r="H116" s="237">
        <v>4.3899999999999997</v>
      </c>
      <c r="I116" s="238">
        <v>590.61</v>
      </c>
      <c r="J116" s="239">
        <v>1.05</v>
      </c>
      <c r="K116" s="240" t="s">
        <v>9</v>
      </c>
      <c r="L116" s="243" t="str">
        <f t="shared" si="4"/>
        <v/>
      </c>
      <c r="M116" s="78"/>
      <c r="N116" s="68"/>
      <c r="O116" s="78"/>
      <c r="P116" s="78"/>
      <c r="Q116" s="78"/>
      <c r="R116" s="36">
        <f t="shared" si="6"/>
        <v>17108.908889729784</v>
      </c>
      <c r="S116" s="37">
        <f t="shared" si="1"/>
        <v>177.77688603875504</v>
      </c>
      <c r="T116" s="37"/>
      <c r="X116" s="232">
        <f>IF(I229&lt;&gt;0,I229,"")</f>
        <v>1523.5</v>
      </c>
      <c r="Y116" s="42">
        <f>IF(I229&lt;&gt;0,A229,"")</f>
        <v>44046</v>
      </c>
    </row>
    <row r="117" spans="1:25" ht="14.5">
      <c r="A117" s="118">
        <v>43962</v>
      </c>
      <c r="B117" s="119" t="s">
        <v>47</v>
      </c>
      <c r="C117" s="120" t="s">
        <v>69</v>
      </c>
      <c r="D117" s="125" t="s">
        <v>76</v>
      </c>
      <c r="E117" s="120" t="s">
        <v>71</v>
      </c>
      <c r="F117" s="121">
        <v>37100</v>
      </c>
      <c r="G117" s="122">
        <v>1.45</v>
      </c>
      <c r="H117" s="122">
        <v>0</v>
      </c>
      <c r="I117" s="142">
        <v>0</v>
      </c>
      <c r="J117" s="124">
        <v>0</v>
      </c>
      <c r="K117" s="125" t="s">
        <v>9</v>
      </c>
      <c r="L117" s="574">
        <f t="shared" si="4"/>
        <v>53822.483375000003</v>
      </c>
      <c r="M117" s="78"/>
      <c r="N117" s="68"/>
      <c r="O117" s="78"/>
      <c r="P117" s="78"/>
      <c r="Q117" s="78"/>
      <c r="R117" s="36">
        <f t="shared" si="6"/>
        <v>17108.908889729784</v>
      </c>
      <c r="S117" s="37" t="str">
        <f t="shared" si="1"/>
        <v/>
      </c>
      <c r="T117" s="37"/>
      <c r="X117" s="232">
        <f>IF(I231&lt;&gt;0,I231,"")</f>
        <v>1455.86</v>
      </c>
      <c r="Y117" s="42">
        <f>IF(I231&lt;&gt;0,A231,"")</f>
        <v>44047</v>
      </c>
    </row>
    <row r="118" spans="1:25" ht="14.5">
      <c r="A118" s="118">
        <v>43963</v>
      </c>
      <c r="B118" s="137" t="s">
        <v>48</v>
      </c>
      <c r="C118" s="138" t="s">
        <v>69</v>
      </c>
      <c r="D118" s="139" t="s">
        <v>76</v>
      </c>
      <c r="E118" s="138" t="s">
        <v>71</v>
      </c>
      <c r="F118" s="140">
        <v>37100</v>
      </c>
      <c r="G118" s="141">
        <v>1.46</v>
      </c>
      <c r="H118" s="141">
        <v>1.45</v>
      </c>
      <c r="I118" s="142">
        <v>698.78</v>
      </c>
      <c r="J118" s="143">
        <v>1.29</v>
      </c>
      <c r="K118" s="139" t="s">
        <v>9</v>
      </c>
      <c r="L118" s="144" t="str">
        <f t="shared" si="4"/>
        <v/>
      </c>
      <c r="M118" s="78"/>
      <c r="N118" s="68"/>
      <c r="O118" s="78"/>
      <c r="P118" s="78"/>
      <c r="Q118" s="78"/>
      <c r="R118" s="36">
        <f t="shared" si="6"/>
        <v>17329.613814407297</v>
      </c>
      <c r="S118" s="37">
        <f t="shared" si="1"/>
        <v>220.70492467751319</v>
      </c>
      <c r="T118" s="37"/>
      <c r="X118" s="232">
        <f t="shared" ref="X118:X181" si="7">IF(I233&lt;&gt;0,I233,"")</f>
        <v>1545.32</v>
      </c>
      <c r="Y118" s="42">
        <f t="shared" ref="Y118:Y181" si="8">IF(I233&lt;&gt;0,A233,"")</f>
        <v>44048</v>
      </c>
    </row>
    <row r="119" spans="1:25" ht="14.5">
      <c r="A119" s="22">
        <v>43963</v>
      </c>
      <c r="B119" s="23" t="s">
        <v>47</v>
      </c>
      <c r="C119" s="24" t="s">
        <v>69</v>
      </c>
      <c r="D119" s="25" t="s">
        <v>83</v>
      </c>
      <c r="E119" s="24" t="s">
        <v>71</v>
      </c>
      <c r="F119" s="26">
        <v>3900</v>
      </c>
      <c r="G119" s="27">
        <v>14.4</v>
      </c>
      <c r="H119" s="28">
        <v>0</v>
      </c>
      <c r="I119" s="29">
        <v>0</v>
      </c>
      <c r="J119" s="30">
        <v>0</v>
      </c>
      <c r="K119" s="31" t="s">
        <v>9</v>
      </c>
      <c r="L119" s="242">
        <f t="shared" si="4"/>
        <v>56188.252</v>
      </c>
      <c r="M119" s="78"/>
      <c r="N119" s="68"/>
      <c r="O119" s="78"/>
      <c r="P119" s="78"/>
      <c r="Q119" s="78"/>
      <c r="R119" s="36">
        <f t="shared" si="6"/>
        <v>17329.613814407297</v>
      </c>
      <c r="S119" s="37" t="str">
        <f t="shared" si="1"/>
        <v/>
      </c>
      <c r="T119" s="37"/>
      <c r="X119" s="39" t="str">
        <f t="shared" si="7"/>
        <v/>
      </c>
      <c r="Y119" s="42" t="str">
        <f t="shared" si="8"/>
        <v/>
      </c>
    </row>
    <row r="120" spans="1:25" ht="14.5">
      <c r="A120" s="22">
        <v>43964</v>
      </c>
      <c r="B120" s="23" t="s">
        <v>48</v>
      </c>
      <c r="C120" s="24" t="s">
        <v>69</v>
      </c>
      <c r="D120" s="25" t="s">
        <v>83</v>
      </c>
      <c r="E120" s="24" t="s">
        <v>71</v>
      </c>
      <c r="F120" s="26">
        <v>3900</v>
      </c>
      <c r="G120" s="27">
        <v>14.55</v>
      </c>
      <c r="H120" s="27">
        <v>14.41</v>
      </c>
      <c r="I120" s="43">
        <v>579.36</v>
      </c>
      <c r="J120" s="44">
        <v>1.03</v>
      </c>
      <c r="K120" s="25" t="s">
        <v>9</v>
      </c>
      <c r="L120" s="242" t="str">
        <f t="shared" si="4"/>
        <v/>
      </c>
      <c r="M120" s="78"/>
      <c r="N120" s="68"/>
      <c r="O120" s="78"/>
      <c r="P120" s="78"/>
      <c r="Q120" s="78"/>
      <c r="R120" s="36">
        <f t="shared" si="6"/>
        <v>17508.108836695694</v>
      </c>
      <c r="S120" s="37">
        <f t="shared" si="1"/>
        <v>178.49502228839629</v>
      </c>
      <c r="T120" s="37"/>
      <c r="X120" s="232">
        <f t="shared" si="7"/>
        <v>1497.14</v>
      </c>
      <c r="Y120" s="42">
        <f t="shared" si="8"/>
        <v>44049</v>
      </c>
    </row>
    <row r="121" spans="1:25" ht="14.5">
      <c r="A121" s="233">
        <v>43964</v>
      </c>
      <c r="B121" s="234" t="s">
        <v>47</v>
      </c>
      <c r="C121" s="235" t="s">
        <v>69</v>
      </c>
      <c r="D121" s="236" t="s">
        <v>87</v>
      </c>
      <c r="E121" s="235" t="s">
        <v>71</v>
      </c>
      <c r="F121" s="236">
        <v>12100</v>
      </c>
      <c r="G121" s="237">
        <v>4.6500000000000004</v>
      </c>
      <c r="H121" s="237">
        <v>0</v>
      </c>
      <c r="I121" s="238">
        <v>0</v>
      </c>
      <c r="J121" s="239">
        <v>0</v>
      </c>
      <c r="K121" s="240" t="s">
        <v>9</v>
      </c>
      <c r="L121" s="243">
        <f t="shared" si="4"/>
        <v>56293.286125000006</v>
      </c>
      <c r="M121" s="78"/>
      <c r="N121" s="68"/>
      <c r="O121" s="78"/>
      <c r="P121" s="78"/>
      <c r="Q121" s="78"/>
      <c r="R121" s="36">
        <f t="shared" si="6"/>
        <v>17508.108836695694</v>
      </c>
      <c r="S121" s="37" t="str">
        <f t="shared" si="1"/>
        <v/>
      </c>
      <c r="T121" s="37"/>
      <c r="X121" s="39" t="str">
        <f t="shared" si="7"/>
        <v/>
      </c>
      <c r="Y121" s="42" t="str">
        <f t="shared" si="8"/>
        <v/>
      </c>
    </row>
    <row r="122" spans="1:25" ht="14.5">
      <c r="A122" s="233">
        <v>43965</v>
      </c>
      <c r="B122" s="234" t="s">
        <v>48</v>
      </c>
      <c r="C122" s="235" t="s">
        <v>69</v>
      </c>
      <c r="D122" s="236" t="s">
        <v>87</v>
      </c>
      <c r="E122" s="235" t="s">
        <v>71</v>
      </c>
      <c r="F122" s="236">
        <v>12100</v>
      </c>
      <c r="G122" s="237">
        <v>4.7</v>
      </c>
      <c r="H122" s="237">
        <v>4.6500000000000004</v>
      </c>
      <c r="I122" s="238">
        <v>681.27</v>
      </c>
      <c r="J122" s="239">
        <v>1.21</v>
      </c>
      <c r="K122" s="240" t="s">
        <v>9</v>
      </c>
      <c r="L122" s="243" t="str">
        <f t="shared" si="4"/>
        <v/>
      </c>
      <c r="M122" s="78"/>
      <c r="N122" s="68"/>
      <c r="O122" s="78"/>
      <c r="P122" s="78"/>
      <c r="Q122" s="78"/>
      <c r="R122" s="36">
        <f t="shared" si="6"/>
        <v>17719.956953619712</v>
      </c>
      <c r="S122" s="37">
        <f t="shared" si="1"/>
        <v>211.84811692401854</v>
      </c>
      <c r="T122" s="37"/>
      <c r="X122" s="232">
        <f t="shared" si="7"/>
        <v>1544.01</v>
      </c>
      <c r="Y122" s="42">
        <f t="shared" si="8"/>
        <v>44050</v>
      </c>
    </row>
    <row r="123" spans="1:25" ht="14.5">
      <c r="A123" s="22">
        <v>43965</v>
      </c>
      <c r="B123" s="23" t="s">
        <v>47</v>
      </c>
      <c r="C123" s="24" t="s">
        <v>69</v>
      </c>
      <c r="D123" s="25" t="s">
        <v>83</v>
      </c>
      <c r="E123" s="24" t="s">
        <v>71</v>
      </c>
      <c r="F123" s="26">
        <v>3900</v>
      </c>
      <c r="G123" s="27">
        <v>14.33</v>
      </c>
      <c r="H123" s="28">
        <v>0</v>
      </c>
      <c r="I123" s="29">
        <v>0</v>
      </c>
      <c r="J123" s="30">
        <v>0</v>
      </c>
      <c r="K123" s="31" t="s">
        <v>9</v>
      </c>
      <c r="L123" s="242">
        <f t="shared" si="4"/>
        <v>55915.163274999999</v>
      </c>
      <c r="M123" s="78"/>
      <c r="N123" s="68"/>
      <c r="O123" s="78"/>
      <c r="P123" s="78"/>
      <c r="Q123" s="78"/>
      <c r="R123" s="36">
        <f t="shared" si="6"/>
        <v>17719.956953619712</v>
      </c>
      <c r="S123" s="37" t="str">
        <f t="shared" si="1"/>
        <v/>
      </c>
      <c r="T123" s="37"/>
      <c r="X123" s="39" t="str">
        <f t="shared" si="7"/>
        <v/>
      </c>
      <c r="Y123" s="42" t="str">
        <f t="shared" si="8"/>
        <v/>
      </c>
    </row>
    <row r="124" spans="1:25" ht="14.5">
      <c r="A124" s="22">
        <v>43966</v>
      </c>
      <c r="B124" s="23" t="s">
        <v>48</v>
      </c>
      <c r="C124" s="24" t="s">
        <v>69</v>
      </c>
      <c r="D124" s="25" t="s">
        <v>83</v>
      </c>
      <c r="E124" s="24" t="s">
        <v>71</v>
      </c>
      <c r="F124" s="26">
        <v>3900</v>
      </c>
      <c r="G124" s="27">
        <v>14.48</v>
      </c>
      <c r="H124" s="27">
        <v>14.34</v>
      </c>
      <c r="I124" s="43">
        <v>579.53</v>
      </c>
      <c r="J124" s="44">
        <v>1.03</v>
      </c>
      <c r="K124" s="25" t="s">
        <v>9</v>
      </c>
      <c r="L124" s="242" t="str">
        <f t="shared" si="4"/>
        <v/>
      </c>
      <c r="M124" s="78"/>
      <c r="N124" s="68"/>
      <c r="O124" s="78"/>
      <c r="P124" s="78"/>
      <c r="Q124" s="78"/>
      <c r="R124" s="36">
        <f t="shared" si="6"/>
        <v>17902.472510241994</v>
      </c>
      <c r="S124" s="37">
        <f t="shared" si="1"/>
        <v>182.51555662228202</v>
      </c>
      <c r="T124" s="37"/>
      <c r="X124" s="232">
        <f t="shared" si="7"/>
        <v>1499.58</v>
      </c>
      <c r="Y124" s="42">
        <f t="shared" si="8"/>
        <v>44053</v>
      </c>
    </row>
    <row r="125" spans="1:25" ht="14.5">
      <c r="A125" s="118">
        <v>43966</v>
      </c>
      <c r="B125" s="119" t="s">
        <v>47</v>
      </c>
      <c r="C125" s="120" t="s">
        <v>69</v>
      </c>
      <c r="D125" s="125" t="s">
        <v>76</v>
      </c>
      <c r="E125" s="120" t="s">
        <v>71</v>
      </c>
      <c r="F125" s="121">
        <v>45500</v>
      </c>
      <c r="G125" s="122">
        <v>1.28</v>
      </c>
      <c r="H125" s="122">
        <v>0</v>
      </c>
      <c r="I125" s="142">
        <v>0</v>
      </c>
      <c r="J125" s="124">
        <v>0</v>
      </c>
      <c r="K125" s="125" t="s">
        <v>9</v>
      </c>
      <c r="L125" s="574">
        <f t="shared" si="4"/>
        <v>58268.928</v>
      </c>
      <c r="M125" s="78"/>
      <c r="N125" s="68"/>
      <c r="O125" s="78"/>
      <c r="P125" s="78"/>
      <c r="Q125" s="78"/>
      <c r="R125" s="36">
        <f t="shared" si="6"/>
        <v>17902.472510241994</v>
      </c>
      <c r="S125" s="37" t="str">
        <f t="shared" si="1"/>
        <v/>
      </c>
      <c r="T125" s="37"/>
      <c r="X125" s="39" t="str">
        <f t="shared" si="7"/>
        <v/>
      </c>
      <c r="Y125" s="42" t="str">
        <f t="shared" si="8"/>
        <v/>
      </c>
    </row>
    <row r="126" spans="1:25" ht="14.5">
      <c r="A126" s="118">
        <v>43969</v>
      </c>
      <c r="B126" s="137" t="s">
        <v>48</v>
      </c>
      <c r="C126" s="138" t="s">
        <v>69</v>
      </c>
      <c r="D126" s="139" t="s">
        <v>76</v>
      </c>
      <c r="E126" s="138" t="s">
        <v>71</v>
      </c>
      <c r="F126" s="140">
        <v>45500</v>
      </c>
      <c r="G126" s="141">
        <v>1.29</v>
      </c>
      <c r="H126" s="141">
        <v>1.28</v>
      </c>
      <c r="I126" s="142">
        <v>863.99</v>
      </c>
      <c r="J126" s="143">
        <v>1.48</v>
      </c>
      <c r="K126" s="139" t="s">
        <v>9</v>
      </c>
      <c r="L126" s="144" t="str">
        <f t="shared" si="4"/>
        <v/>
      </c>
      <c r="M126" s="78"/>
      <c r="N126" s="68"/>
      <c r="O126" s="78"/>
      <c r="P126" s="78"/>
      <c r="Q126" s="78"/>
      <c r="R126" s="36">
        <f t="shared" si="6"/>
        <v>18167.429103393573</v>
      </c>
      <c r="S126" s="37">
        <f t="shared" si="1"/>
        <v>264.956593151579</v>
      </c>
      <c r="T126" s="37"/>
      <c r="X126" s="232">
        <f t="shared" si="7"/>
        <v>-2701.85</v>
      </c>
      <c r="Y126" s="42">
        <f t="shared" si="8"/>
        <v>44054</v>
      </c>
    </row>
    <row r="127" spans="1:25" ht="14.5">
      <c r="A127" s="184">
        <v>43969</v>
      </c>
      <c r="B127" s="185" t="s">
        <v>47</v>
      </c>
      <c r="C127" s="186" t="s">
        <v>69</v>
      </c>
      <c r="D127" s="187" t="s">
        <v>88</v>
      </c>
      <c r="E127" s="186" t="s">
        <v>71</v>
      </c>
      <c r="F127" s="187">
        <v>1700</v>
      </c>
      <c r="G127" s="188">
        <v>58.75</v>
      </c>
      <c r="H127" s="188">
        <v>0</v>
      </c>
      <c r="I127" s="189">
        <v>0</v>
      </c>
      <c r="J127" s="190">
        <v>0</v>
      </c>
      <c r="K127" s="191" t="s">
        <v>9</v>
      </c>
      <c r="L127" s="575">
        <f t="shared" si="4"/>
        <v>99917.459375000006</v>
      </c>
      <c r="M127" s="244"/>
      <c r="N127" s="68"/>
      <c r="O127" s="78"/>
      <c r="P127" s="78"/>
      <c r="Q127" s="78"/>
      <c r="R127" s="36">
        <f t="shared" si="6"/>
        <v>18167.429103393573</v>
      </c>
      <c r="S127" s="37" t="str">
        <f t="shared" si="1"/>
        <v/>
      </c>
      <c r="T127" s="37"/>
      <c r="X127" s="39" t="str">
        <f t="shared" si="7"/>
        <v/>
      </c>
      <c r="Y127" s="42" t="str">
        <f t="shared" si="8"/>
        <v/>
      </c>
    </row>
    <row r="128" spans="1:25" ht="14.5">
      <c r="A128" s="184">
        <v>43970</v>
      </c>
      <c r="B128" s="185" t="s">
        <v>48</v>
      </c>
      <c r="C128" s="186" t="s">
        <v>69</v>
      </c>
      <c r="D128" s="187" t="s">
        <v>88</v>
      </c>
      <c r="E128" s="186" t="s">
        <v>71</v>
      </c>
      <c r="F128" s="187">
        <v>1700</v>
      </c>
      <c r="G128" s="188">
        <v>59.33</v>
      </c>
      <c r="H128" s="188">
        <v>58.75</v>
      </c>
      <c r="I128" s="245">
        <v>994.38000000000011</v>
      </c>
      <c r="J128" s="190">
        <v>0.99</v>
      </c>
      <c r="K128" s="191" t="s">
        <v>9</v>
      </c>
      <c r="L128" s="575" t="str">
        <f t="shared" si="4"/>
        <v/>
      </c>
      <c r="M128" s="244"/>
      <c r="N128" s="68"/>
      <c r="O128" s="78"/>
      <c r="P128" s="78"/>
      <c r="Q128" s="78"/>
      <c r="R128" s="36">
        <f t="shared" si="6"/>
        <v>18347.28665151717</v>
      </c>
      <c r="S128" s="37">
        <f t="shared" si="1"/>
        <v>179.85754812359664</v>
      </c>
      <c r="T128" s="37"/>
      <c r="X128" s="232">
        <f t="shared" si="7"/>
        <v>1474.81</v>
      </c>
      <c r="Y128" s="42">
        <f t="shared" si="8"/>
        <v>44055</v>
      </c>
    </row>
    <row r="129" spans="1:25" ht="14.5">
      <c r="A129" s="22">
        <v>43970</v>
      </c>
      <c r="B129" s="23" t="s">
        <v>47</v>
      </c>
      <c r="C129" s="24" t="s">
        <v>69</v>
      </c>
      <c r="D129" s="25" t="s">
        <v>83</v>
      </c>
      <c r="E129" s="24" t="s">
        <v>71</v>
      </c>
      <c r="F129" s="26">
        <v>7400</v>
      </c>
      <c r="G129" s="27">
        <v>13.6</v>
      </c>
      <c r="H129" s="28">
        <v>0</v>
      </c>
      <c r="I129" s="29">
        <v>0</v>
      </c>
      <c r="J129" s="30">
        <v>0</v>
      </c>
      <c r="K129" s="31" t="s">
        <v>9</v>
      </c>
      <c r="L129" s="242">
        <f t="shared" si="4"/>
        <v>100682.708</v>
      </c>
      <c r="M129" s="244"/>
      <c r="N129" s="68"/>
      <c r="O129" s="78"/>
      <c r="P129" s="78"/>
      <c r="Q129" s="78"/>
      <c r="R129" s="36">
        <f t="shared" si="6"/>
        <v>18347.28665151717</v>
      </c>
      <c r="S129" s="37" t="str">
        <f t="shared" si="1"/>
        <v/>
      </c>
      <c r="T129" s="37"/>
      <c r="X129" s="39" t="str">
        <f t="shared" si="7"/>
        <v/>
      </c>
      <c r="Y129" s="42" t="str">
        <f t="shared" si="8"/>
        <v/>
      </c>
    </row>
    <row r="130" spans="1:25" ht="14.5">
      <c r="A130" s="22">
        <v>43971</v>
      </c>
      <c r="B130" s="23" t="s">
        <v>48</v>
      </c>
      <c r="C130" s="24" t="s">
        <v>69</v>
      </c>
      <c r="D130" s="25" t="s">
        <v>83</v>
      </c>
      <c r="E130" s="24" t="s">
        <v>71</v>
      </c>
      <c r="F130" s="26">
        <v>7400</v>
      </c>
      <c r="G130" s="27">
        <v>13.74</v>
      </c>
      <c r="H130" s="27">
        <v>13.61</v>
      </c>
      <c r="I130" s="43">
        <v>1027.98</v>
      </c>
      <c r="J130" s="44">
        <v>1.02</v>
      </c>
      <c r="K130" s="25" t="s">
        <v>9</v>
      </c>
      <c r="L130" s="242" t="str">
        <f t="shared" si="4"/>
        <v/>
      </c>
      <c r="M130" s="244"/>
      <c r="N130" s="68"/>
      <c r="O130" s="78"/>
      <c r="P130" s="78"/>
      <c r="Q130" s="78"/>
      <c r="R130" s="36">
        <f t="shared" si="6"/>
        <v>18534.428975362644</v>
      </c>
      <c r="S130" s="37">
        <f t="shared" si="1"/>
        <v>187.14232384547358</v>
      </c>
      <c r="T130" s="37"/>
      <c r="X130" s="232">
        <f t="shared" si="7"/>
        <v>1544.79</v>
      </c>
      <c r="Y130" s="42">
        <f t="shared" si="8"/>
        <v>44056</v>
      </c>
    </row>
    <row r="131" spans="1:25" ht="14.5">
      <c r="A131" s="184">
        <v>43971</v>
      </c>
      <c r="B131" s="185" t="s">
        <v>47</v>
      </c>
      <c r="C131" s="186" t="s">
        <v>69</v>
      </c>
      <c r="D131" s="187" t="s">
        <v>88</v>
      </c>
      <c r="E131" s="186" t="s">
        <v>71</v>
      </c>
      <c r="F131" s="187">
        <v>1800</v>
      </c>
      <c r="G131" s="188">
        <v>56.74</v>
      </c>
      <c r="H131" s="188">
        <v>0</v>
      </c>
      <c r="I131" s="189">
        <v>0</v>
      </c>
      <c r="J131" s="190">
        <v>0</v>
      </c>
      <c r="K131" s="191" t="s">
        <v>9</v>
      </c>
      <c r="L131" s="575">
        <f t="shared" ref="L131:L194" si="9">IF(B131="Compra",(F131*G131)+10+(F131*G131*0.000325),"")</f>
        <v>102175.19289999999</v>
      </c>
      <c r="M131" s="78"/>
      <c r="N131" s="68"/>
      <c r="O131" s="78"/>
      <c r="P131" s="78"/>
      <c r="Q131" s="78"/>
      <c r="R131" s="36">
        <f t="shared" si="6"/>
        <v>18534.428975362644</v>
      </c>
      <c r="S131" s="37" t="str">
        <f t="shared" si="1"/>
        <v/>
      </c>
      <c r="T131" s="37"/>
      <c r="X131" s="39" t="str">
        <f t="shared" si="7"/>
        <v/>
      </c>
      <c r="Y131" s="42" t="str">
        <f t="shared" si="8"/>
        <v/>
      </c>
    </row>
    <row r="132" spans="1:25" ht="14.5">
      <c r="A132" s="184">
        <v>43972</v>
      </c>
      <c r="B132" s="185" t="s">
        <v>48</v>
      </c>
      <c r="C132" s="186" t="s">
        <v>69</v>
      </c>
      <c r="D132" s="187" t="s">
        <v>88</v>
      </c>
      <c r="E132" s="186" t="s">
        <v>71</v>
      </c>
      <c r="F132" s="187">
        <v>1800</v>
      </c>
      <c r="G132" s="188">
        <v>57.3</v>
      </c>
      <c r="H132" s="188">
        <v>56.74</v>
      </c>
      <c r="I132" s="245">
        <v>1015.08</v>
      </c>
      <c r="J132" s="190">
        <v>0.99</v>
      </c>
      <c r="K132" s="191" t="s">
        <v>9</v>
      </c>
      <c r="L132" s="575" t="str">
        <f t="shared" si="9"/>
        <v/>
      </c>
      <c r="M132" s="78"/>
      <c r="N132" s="68"/>
      <c r="O132" s="78"/>
      <c r="P132" s="78"/>
      <c r="Q132" s="78"/>
      <c r="R132" s="36">
        <f t="shared" si="6"/>
        <v>18717.919822218733</v>
      </c>
      <c r="S132" s="37">
        <f t="shared" si="1"/>
        <v>183.49084685608977</v>
      </c>
      <c r="T132" s="37"/>
      <c r="X132" s="232">
        <f t="shared" si="7"/>
        <v>-9210.99</v>
      </c>
      <c r="Y132" s="42">
        <f t="shared" si="8"/>
        <v>44057</v>
      </c>
    </row>
    <row r="133" spans="1:25" ht="14.5">
      <c r="A133" s="165">
        <v>43976</v>
      </c>
      <c r="B133" s="246" t="s">
        <v>47</v>
      </c>
      <c r="C133" s="167" t="s">
        <v>69</v>
      </c>
      <c r="D133" s="169" t="s">
        <v>89</v>
      </c>
      <c r="E133" s="167" t="s">
        <v>71</v>
      </c>
      <c r="F133" s="169">
        <v>1700</v>
      </c>
      <c r="G133" s="170">
        <v>60.42</v>
      </c>
      <c r="H133" s="170">
        <v>0</v>
      </c>
      <c r="I133" s="171">
        <v>0</v>
      </c>
      <c r="J133" s="172">
        <v>0</v>
      </c>
      <c r="K133" s="168" t="s">
        <v>9</v>
      </c>
      <c r="L133" s="173">
        <f t="shared" si="9"/>
        <v>102757.38205</v>
      </c>
      <c r="M133" s="78"/>
      <c r="N133" s="68"/>
      <c r="O133" s="78"/>
      <c r="P133" s="78"/>
      <c r="Q133" s="78"/>
      <c r="R133" s="36">
        <f t="shared" si="6"/>
        <v>18717.919822218733</v>
      </c>
      <c r="S133" s="37" t="str">
        <f t="shared" si="1"/>
        <v/>
      </c>
      <c r="T133" s="37"/>
      <c r="X133" s="39" t="str">
        <f t="shared" si="7"/>
        <v/>
      </c>
      <c r="Y133" s="42" t="str">
        <f t="shared" si="8"/>
        <v/>
      </c>
    </row>
    <row r="134" spans="1:25" ht="14.5">
      <c r="A134" s="165">
        <v>43977</v>
      </c>
      <c r="B134" s="246" t="s">
        <v>48</v>
      </c>
      <c r="C134" s="167" t="s">
        <v>69</v>
      </c>
      <c r="D134" s="169" t="s">
        <v>89</v>
      </c>
      <c r="E134" s="167" t="s">
        <v>71</v>
      </c>
      <c r="F134" s="169">
        <v>1700</v>
      </c>
      <c r="G134" s="170">
        <v>63.17</v>
      </c>
      <c r="H134" s="170">
        <v>60.42</v>
      </c>
      <c r="I134" s="171">
        <v>4675.59</v>
      </c>
      <c r="J134" s="172">
        <v>4.55</v>
      </c>
      <c r="K134" s="168" t="s">
        <v>9</v>
      </c>
      <c r="L134" s="173" t="str">
        <f t="shared" si="9"/>
        <v/>
      </c>
      <c r="M134" s="78"/>
      <c r="N134" s="68"/>
      <c r="O134" s="78"/>
      <c r="P134" s="78"/>
      <c r="Q134" s="78"/>
      <c r="R134" s="36">
        <f t="shared" si="6"/>
        <v>19569.585174129686</v>
      </c>
      <c r="S134" s="37">
        <f t="shared" si="1"/>
        <v>851.66535191095318</v>
      </c>
      <c r="T134" s="37"/>
      <c r="X134" s="232">
        <f t="shared" si="7"/>
        <v>-4198.3500000000004</v>
      </c>
      <c r="Y134" s="42">
        <f t="shared" si="8"/>
        <v>44060</v>
      </c>
    </row>
    <row r="135" spans="1:25" ht="14.5">
      <c r="A135" s="22">
        <v>43977</v>
      </c>
      <c r="B135" s="23" t="s">
        <v>47</v>
      </c>
      <c r="C135" s="24" t="s">
        <v>69</v>
      </c>
      <c r="D135" s="25" t="s">
        <v>83</v>
      </c>
      <c r="E135" s="24" t="s">
        <v>71</v>
      </c>
      <c r="F135" s="26">
        <v>8100</v>
      </c>
      <c r="G135" s="27">
        <v>12.83</v>
      </c>
      <c r="H135" s="28">
        <v>0</v>
      </c>
      <c r="I135" s="29">
        <v>0</v>
      </c>
      <c r="J135" s="30">
        <v>0</v>
      </c>
      <c r="K135" s="31" t="s">
        <v>9</v>
      </c>
      <c r="L135" s="242">
        <f t="shared" si="9"/>
        <v>103966.77497499999</v>
      </c>
      <c r="M135" s="78"/>
      <c r="N135" s="68"/>
      <c r="O135" s="78"/>
      <c r="P135" s="78"/>
      <c r="Q135" s="78"/>
      <c r="R135" s="36">
        <f t="shared" si="6"/>
        <v>19569.585174129686</v>
      </c>
      <c r="S135" s="37" t="str">
        <f t="shared" si="1"/>
        <v/>
      </c>
      <c r="T135" s="37"/>
      <c r="X135" s="39" t="str">
        <f t="shared" si="7"/>
        <v/>
      </c>
      <c r="Y135" s="42" t="str">
        <f t="shared" si="8"/>
        <v/>
      </c>
    </row>
    <row r="136" spans="1:25" ht="14.5">
      <c r="A136" s="22">
        <v>43978</v>
      </c>
      <c r="B136" s="23" t="s">
        <v>48</v>
      </c>
      <c r="C136" s="24" t="s">
        <v>69</v>
      </c>
      <c r="D136" s="25" t="s">
        <v>83</v>
      </c>
      <c r="E136" s="24" t="s">
        <v>71</v>
      </c>
      <c r="F136" s="26">
        <v>8100</v>
      </c>
      <c r="G136" s="27">
        <v>12.96</v>
      </c>
      <c r="H136" s="27">
        <v>12.840000000000002</v>
      </c>
      <c r="I136" s="43">
        <v>1049.95</v>
      </c>
      <c r="J136" s="44">
        <v>1</v>
      </c>
      <c r="K136" s="25" t="s">
        <v>9</v>
      </c>
      <c r="L136" s="242" t="str">
        <f t="shared" si="9"/>
        <v/>
      </c>
      <c r="M136" s="78"/>
      <c r="N136" s="68"/>
      <c r="O136" s="78"/>
      <c r="P136" s="78"/>
      <c r="Q136" s="78"/>
      <c r="R136" s="36">
        <f t="shared" si="6"/>
        <v>19765.281025870983</v>
      </c>
      <c r="S136" s="37">
        <f t="shared" si="1"/>
        <v>195.69585174129679</v>
      </c>
      <c r="T136" s="37"/>
      <c r="X136" s="232">
        <f t="shared" si="7"/>
        <v>2514.0100000000002</v>
      </c>
      <c r="Y136" s="42">
        <f t="shared" si="8"/>
        <v>44061</v>
      </c>
    </row>
    <row r="137" spans="1:25" ht="14.5">
      <c r="A137" s="247">
        <v>43978</v>
      </c>
      <c r="B137" s="248" t="s">
        <v>47</v>
      </c>
      <c r="C137" s="249" t="s">
        <v>69</v>
      </c>
      <c r="D137" s="250" t="s">
        <v>79</v>
      </c>
      <c r="E137" s="249" t="s">
        <v>71</v>
      </c>
      <c r="F137" s="250">
        <v>3800</v>
      </c>
      <c r="G137" s="251">
        <v>27.61</v>
      </c>
      <c r="H137" s="251">
        <v>0</v>
      </c>
      <c r="I137" s="252">
        <v>0</v>
      </c>
      <c r="J137" s="253">
        <v>0</v>
      </c>
      <c r="K137" s="254" t="s">
        <v>9</v>
      </c>
      <c r="L137" s="255">
        <f t="shared" si="9"/>
        <v>104962.09835</v>
      </c>
      <c r="M137" s="78"/>
      <c r="N137" s="68"/>
      <c r="O137" s="78"/>
      <c r="P137" s="78"/>
      <c r="Q137" s="78"/>
      <c r="R137" s="36">
        <f t="shared" si="6"/>
        <v>19765.281025870983</v>
      </c>
      <c r="S137" s="37" t="str">
        <f t="shared" si="1"/>
        <v/>
      </c>
      <c r="T137" s="37"/>
      <c r="X137" s="39" t="str">
        <f t="shared" si="7"/>
        <v/>
      </c>
      <c r="Y137" s="42" t="str">
        <f t="shared" si="8"/>
        <v/>
      </c>
    </row>
    <row r="138" spans="1:25" ht="14.5">
      <c r="A138" s="247">
        <v>43979</v>
      </c>
      <c r="B138" s="248" t="s">
        <v>48</v>
      </c>
      <c r="C138" s="249" t="s">
        <v>69</v>
      </c>
      <c r="D138" s="250" t="s">
        <v>79</v>
      </c>
      <c r="E138" s="249" t="s">
        <v>71</v>
      </c>
      <c r="F138" s="250">
        <v>3800</v>
      </c>
      <c r="G138" s="251">
        <v>27.88</v>
      </c>
      <c r="H138" s="251">
        <v>27.61</v>
      </c>
      <c r="I138" s="252">
        <v>1055.3499999999999</v>
      </c>
      <c r="J138" s="253">
        <v>1</v>
      </c>
      <c r="K138" s="254" t="s">
        <v>9</v>
      </c>
      <c r="L138" s="255" t="str">
        <f t="shared" si="9"/>
        <v/>
      </c>
      <c r="M138" s="78"/>
      <c r="N138" s="68"/>
      <c r="O138" s="78"/>
      <c r="P138" s="78"/>
      <c r="Q138" s="78"/>
      <c r="R138" s="36">
        <f t="shared" si="6"/>
        <v>19962.933836129694</v>
      </c>
      <c r="S138" s="37">
        <f t="shared" si="1"/>
        <v>197.65281025871082</v>
      </c>
      <c r="T138" s="37"/>
      <c r="X138" s="232">
        <f t="shared" si="7"/>
        <v>1390.73</v>
      </c>
      <c r="Y138" s="42">
        <f t="shared" si="8"/>
        <v>44062</v>
      </c>
    </row>
    <row r="139" spans="1:25" ht="14.5">
      <c r="A139" s="256">
        <v>43979</v>
      </c>
      <c r="B139" s="257" t="s">
        <v>47</v>
      </c>
      <c r="C139" s="258" t="s">
        <v>69</v>
      </c>
      <c r="D139" s="259" t="s">
        <v>90</v>
      </c>
      <c r="E139" s="258" t="s">
        <v>71</v>
      </c>
      <c r="F139" s="259">
        <v>27300</v>
      </c>
      <c r="G139" s="260">
        <v>4.07</v>
      </c>
      <c r="H139" s="260">
        <v>0</v>
      </c>
      <c r="I139" s="261">
        <v>0</v>
      </c>
      <c r="J139" s="262">
        <v>0</v>
      </c>
      <c r="K139" s="263" t="s">
        <v>9</v>
      </c>
      <c r="L139" s="264">
        <f t="shared" si="9"/>
        <v>111157.11107500001</v>
      </c>
      <c r="M139" s="383"/>
      <c r="N139" s="68"/>
      <c r="O139" s="78"/>
      <c r="P139" s="78"/>
      <c r="Q139" s="78"/>
      <c r="R139" s="36">
        <f t="shared" si="6"/>
        <v>19962.933836129694</v>
      </c>
      <c r="S139" s="37" t="str">
        <f t="shared" si="1"/>
        <v/>
      </c>
      <c r="T139" s="37"/>
      <c r="X139" s="39" t="str">
        <f t="shared" si="7"/>
        <v/>
      </c>
      <c r="Y139" s="42" t="str">
        <f t="shared" si="8"/>
        <v/>
      </c>
    </row>
    <row r="140" spans="1:25" ht="14.5">
      <c r="A140" s="265">
        <v>43983</v>
      </c>
      <c r="B140" s="266" t="s">
        <v>48</v>
      </c>
      <c r="C140" s="267" t="s">
        <v>69</v>
      </c>
      <c r="D140" s="268" t="s">
        <v>90</v>
      </c>
      <c r="E140" s="267" t="s">
        <v>71</v>
      </c>
      <c r="F140" s="268">
        <v>27300</v>
      </c>
      <c r="G140" s="269">
        <v>4.1100000000000003</v>
      </c>
      <c r="H140" s="269">
        <v>4.07</v>
      </c>
      <c r="I140" s="270">
        <v>1276.44</v>
      </c>
      <c r="J140" s="271">
        <v>1.1399999999999999</v>
      </c>
      <c r="K140" s="272" t="s">
        <v>9</v>
      </c>
      <c r="L140" s="385" t="str">
        <f t="shared" si="9"/>
        <v/>
      </c>
      <c r="M140" s="33" t="s">
        <v>39</v>
      </c>
      <c r="N140" s="34"/>
      <c r="O140" s="78"/>
      <c r="P140" s="78"/>
      <c r="Q140" s="78"/>
      <c r="R140" s="36">
        <f t="shared" si="6"/>
        <v>20190.511281861574</v>
      </c>
      <c r="S140" s="37">
        <f t="shared" si="1"/>
        <v>227.57744573188029</v>
      </c>
      <c r="T140" s="37"/>
      <c r="X140" s="232">
        <f t="shared" si="7"/>
        <v>13.49</v>
      </c>
      <c r="Y140" s="42">
        <f t="shared" si="8"/>
        <v>44063</v>
      </c>
    </row>
    <row r="141" spans="1:25" ht="14.5">
      <c r="A141" s="127">
        <v>43983</v>
      </c>
      <c r="B141" s="128" t="s">
        <v>47</v>
      </c>
      <c r="C141" s="129" t="s">
        <v>69</v>
      </c>
      <c r="D141" s="130" t="s">
        <v>91</v>
      </c>
      <c r="E141" s="129" t="s">
        <v>71</v>
      </c>
      <c r="F141" s="130">
        <v>3900</v>
      </c>
      <c r="G141" s="131">
        <v>29.34</v>
      </c>
      <c r="H141" s="131">
        <v>0</v>
      </c>
      <c r="I141" s="132">
        <v>0</v>
      </c>
      <c r="J141" s="133">
        <v>0</v>
      </c>
      <c r="K141" s="134" t="s">
        <v>9</v>
      </c>
      <c r="L141" s="135">
        <f t="shared" si="9"/>
        <v>114473.18845</v>
      </c>
      <c r="M141" s="45" t="s">
        <v>21</v>
      </c>
      <c r="N141" s="34"/>
      <c r="O141" s="68"/>
      <c r="P141" s="68"/>
      <c r="Q141" s="68"/>
      <c r="R141" s="36">
        <f t="shared" si="6"/>
        <v>20190.511281861574</v>
      </c>
      <c r="S141" s="37" t="str">
        <f t="shared" si="1"/>
        <v/>
      </c>
      <c r="T141" s="37"/>
      <c r="U141" s="136"/>
      <c r="V141" s="136"/>
      <c r="W141" s="136"/>
      <c r="X141" s="39" t="str">
        <f t="shared" si="7"/>
        <v/>
      </c>
      <c r="Y141" s="42" t="str">
        <f t="shared" si="8"/>
        <v/>
      </c>
    </row>
    <row r="142" spans="1:25" ht="14.5">
      <c r="A142" s="127">
        <v>43984</v>
      </c>
      <c r="B142" s="128" t="s">
        <v>48</v>
      </c>
      <c r="C142" s="129" t="s">
        <v>69</v>
      </c>
      <c r="D142" s="134" t="s">
        <v>91</v>
      </c>
      <c r="E142" s="129" t="s">
        <v>71</v>
      </c>
      <c r="F142" s="130">
        <v>3900</v>
      </c>
      <c r="G142" s="131">
        <v>29.71</v>
      </c>
      <c r="H142" s="131">
        <v>29.34</v>
      </c>
      <c r="I142" s="132">
        <v>1469.42</v>
      </c>
      <c r="J142" s="133">
        <v>1.28</v>
      </c>
      <c r="K142" s="134" t="s">
        <v>9</v>
      </c>
      <c r="L142" s="135" t="str">
        <f t="shared" si="9"/>
        <v/>
      </c>
      <c r="M142" s="56">
        <f>IFERROR(AVERAGE(L140:L183),0)</f>
        <v>102135.52783913042</v>
      </c>
      <c r="N142" s="34"/>
      <c r="O142" s="78"/>
      <c r="P142" s="78"/>
      <c r="Q142" s="78"/>
      <c r="R142" s="36">
        <f t="shared" si="6"/>
        <v>20448.9498262694</v>
      </c>
      <c r="S142" s="37">
        <f t="shared" si="1"/>
        <v>258.43854440782525</v>
      </c>
      <c r="T142" s="37"/>
      <c r="X142" s="232">
        <f t="shared" si="7"/>
        <v>1457.71</v>
      </c>
      <c r="Y142" s="42">
        <f t="shared" si="8"/>
        <v>44064</v>
      </c>
    </row>
    <row r="143" spans="1:25" ht="14.5">
      <c r="A143" s="165">
        <v>43984</v>
      </c>
      <c r="B143" s="246" t="s">
        <v>47</v>
      </c>
      <c r="C143" s="167" t="s">
        <v>69</v>
      </c>
      <c r="D143" s="169" t="s">
        <v>92</v>
      </c>
      <c r="E143" s="167" t="s">
        <v>71</v>
      </c>
      <c r="F143" s="169">
        <v>8900</v>
      </c>
      <c r="G143" s="170">
        <v>13.45</v>
      </c>
      <c r="H143" s="170">
        <v>0</v>
      </c>
      <c r="I143" s="171">
        <v>0</v>
      </c>
      <c r="J143" s="172">
        <v>0</v>
      </c>
      <c r="K143" s="168" t="s">
        <v>9</v>
      </c>
      <c r="L143" s="273">
        <f t="shared" si="9"/>
        <v>119753.904125</v>
      </c>
      <c r="M143" s="45" t="s">
        <v>24</v>
      </c>
      <c r="N143" s="34"/>
      <c r="O143" s="78"/>
      <c r="P143" s="78"/>
      <c r="Q143" s="78"/>
      <c r="R143" s="36">
        <f t="shared" si="6"/>
        <v>20448.9498262694</v>
      </c>
      <c r="S143" s="37" t="str">
        <f t="shared" si="1"/>
        <v/>
      </c>
      <c r="T143" s="37"/>
      <c r="X143" s="39" t="str">
        <f t="shared" si="7"/>
        <v/>
      </c>
      <c r="Y143" s="42" t="str">
        <f t="shared" si="8"/>
        <v/>
      </c>
    </row>
    <row r="144" spans="1:25" ht="14.5">
      <c r="A144" s="165">
        <v>43985</v>
      </c>
      <c r="B144" s="246" t="s">
        <v>48</v>
      </c>
      <c r="C144" s="167" t="s">
        <v>69</v>
      </c>
      <c r="D144" s="169" t="s">
        <v>92</v>
      </c>
      <c r="E144" s="167" t="s">
        <v>71</v>
      </c>
      <c r="F144" s="169">
        <v>8900</v>
      </c>
      <c r="G144" s="170">
        <v>13.59</v>
      </c>
      <c r="H144" s="170">
        <v>13.46</v>
      </c>
      <c r="I144" s="171">
        <v>1241.27</v>
      </c>
      <c r="J144" s="172">
        <v>1.03</v>
      </c>
      <c r="K144" s="168" t="s">
        <v>9</v>
      </c>
      <c r="L144" s="273" t="str">
        <f t="shared" si="9"/>
        <v/>
      </c>
      <c r="M144" s="56">
        <f>SUM(I140:I183)</f>
        <v>7232.29</v>
      </c>
      <c r="N144" s="34"/>
      <c r="O144" s="78"/>
      <c r="P144" s="78"/>
      <c r="Q144" s="78"/>
      <c r="R144" s="36">
        <f t="shared" si="6"/>
        <v>20659.574009479973</v>
      </c>
      <c r="S144" s="37">
        <f t="shared" si="1"/>
        <v>210.62418321057339</v>
      </c>
      <c r="T144" s="37"/>
      <c r="X144" s="232">
        <f t="shared" si="7"/>
        <v>1433.85</v>
      </c>
      <c r="Y144" s="42">
        <f t="shared" si="8"/>
        <v>44067</v>
      </c>
    </row>
    <row r="145" spans="1:25" ht="14.5">
      <c r="A145" s="69">
        <v>43985</v>
      </c>
      <c r="B145" s="274" t="s">
        <v>47</v>
      </c>
      <c r="C145" s="71" t="s">
        <v>69</v>
      </c>
      <c r="D145" s="72" t="s">
        <v>93</v>
      </c>
      <c r="E145" s="71" t="s">
        <v>71</v>
      </c>
      <c r="F145" s="72">
        <v>7900</v>
      </c>
      <c r="G145" s="73">
        <v>14.9</v>
      </c>
      <c r="H145" s="73">
        <v>0</v>
      </c>
      <c r="I145" s="74">
        <v>0</v>
      </c>
      <c r="J145" s="75">
        <v>0</v>
      </c>
      <c r="K145" s="76" t="s">
        <v>9</v>
      </c>
      <c r="L145" s="209">
        <f t="shared" si="9"/>
        <v>117758.25575</v>
      </c>
      <c r="M145" s="45" t="s">
        <v>27</v>
      </c>
      <c r="N145" s="34"/>
      <c r="O145" s="78"/>
      <c r="P145" s="78"/>
      <c r="Q145" s="78"/>
      <c r="R145" s="36">
        <f t="shared" si="6"/>
        <v>20659.574009479973</v>
      </c>
      <c r="S145" s="37" t="str">
        <f t="shared" si="1"/>
        <v/>
      </c>
      <c r="T145" s="37"/>
      <c r="X145" s="39" t="str">
        <f t="shared" si="7"/>
        <v/>
      </c>
      <c r="Y145" s="42" t="str">
        <f t="shared" si="8"/>
        <v/>
      </c>
    </row>
    <row r="146" spans="1:25" ht="14.5">
      <c r="A146" s="69">
        <v>43986</v>
      </c>
      <c r="B146" s="274" t="s">
        <v>48</v>
      </c>
      <c r="C146" s="71" t="s">
        <v>69</v>
      </c>
      <c r="D146" s="72" t="s">
        <v>93</v>
      </c>
      <c r="E146" s="71" t="s">
        <v>71</v>
      </c>
      <c r="F146" s="72">
        <v>7900</v>
      </c>
      <c r="G146" s="73">
        <v>15.06</v>
      </c>
      <c r="H146" s="73">
        <v>14.91</v>
      </c>
      <c r="I146" s="74">
        <v>1250.49</v>
      </c>
      <c r="J146" s="75">
        <v>1.06</v>
      </c>
      <c r="K146" s="76" t="s">
        <v>9</v>
      </c>
      <c r="L146" s="209" t="str">
        <f t="shared" si="9"/>
        <v/>
      </c>
      <c r="M146" s="66">
        <f>SUM(J140:J183)/100</f>
        <v>8.0599999999999991E-2</v>
      </c>
      <c r="N146" s="34"/>
      <c r="O146" s="78"/>
      <c r="P146" s="78"/>
      <c r="Q146" s="78"/>
      <c r="R146" s="36">
        <f t="shared" si="6"/>
        <v>20878.565493980459</v>
      </c>
      <c r="S146" s="37">
        <f t="shared" si="1"/>
        <v>218.99148450048597</v>
      </c>
      <c r="T146" s="37"/>
      <c r="X146" s="232">
        <f t="shared" si="7"/>
        <v>1433.19</v>
      </c>
      <c r="Y146" s="42">
        <f t="shared" si="8"/>
        <v>44068</v>
      </c>
    </row>
    <row r="147" spans="1:25" ht="14.5">
      <c r="A147" s="233">
        <v>43986</v>
      </c>
      <c r="B147" s="234" t="s">
        <v>47</v>
      </c>
      <c r="C147" s="235" t="s">
        <v>69</v>
      </c>
      <c r="D147" s="236" t="s">
        <v>94</v>
      </c>
      <c r="E147" s="235" t="s">
        <v>71</v>
      </c>
      <c r="F147" s="236">
        <v>13500</v>
      </c>
      <c r="G147" s="237">
        <v>8.9299999999999979</v>
      </c>
      <c r="H147" s="237">
        <v>0</v>
      </c>
      <c r="I147" s="238">
        <v>0</v>
      </c>
      <c r="J147" s="239">
        <v>0</v>
      </c>
      <c r="K147" s="240" t="s">
        <v>9</v>
      </c>
      <c r="L147" s="243">
        <f t="shared" si="9"/>
        <v>120604.18037499997</v>
      </c>
      <c r="M147" s="388"/>
      <c r="N147" s="68"/>
      <c r="O147" s="78"/>
      <c r="P147" s="78"/>
      <c r="Q147" s="78"/>
      <c r="R147" s="36">
        <f t="shared" si="6"/>
        <v>20878.565493980459</v>
      </c>
      <c r="S147" s="37" t="str">
        <f t="shared" si="1"/>
        <v/>
      </c>
      <c r="T147" s="37"/>
      <c r="X147" s="39" t="str">
        <f t="shared" si="7"/>
        <v/>
      </c>
      <c r="Y147" s="42" t="str">
        <f t="shared" si="8"/>
        <v/>
      </c>
    </row>
    <row r="148" spans="1:25" ht="14.5">
      <c r="A148" s="233">
        <v>43987</v>
      </c>
      <c r="B148" s="234" t="s">
        <v>48</v>
      </c>
      <c r="C148" s="235" t="s">
        <v>69</v>
      </c>
      <c r="D148" s="236" t="s">
        <v>94</v>
      </c>
      <c r="E148" s="235" t="s">
        <v>71</v>
      </c>
      <c r="F148" s="236">
        <v>13500</v>
      </c>
      <c r="G148" s="237">
        <v>9.4499999999999993</v>
      </c>
      <c r="H148" s="237">
        <v>8.9299999999999979</v>
      </c>
      <c r="I148" s="238">
        <v>7058.95</v>
      </c>
      <c r="J148" s="239">
        <v>5.85</v>
      </c>
      <c r="K148" s="240" t="s">
        <v>9</v>
      </c>
      <c r="L148" s="243" t="str">
        <f t="shared" si="9"/>
        <v/>
      </c>
      <c r="M148" s="78"/>
      <c r="N148" s="68"/>
      <c r="O148" s="78"/>
      <c r="P148" s="78"/>
      <c r="Q148" s="78"/>
      <c r="R148" s="36">
        <f t="shared" si="6"/>
        <v>22099.961575378315</v>
      </c>
      <c r="S148" s="37">
        <f t="shared" si="1"/>
        <v>1221.3960813978556</v>
      </c>
      <c r="T148" s="37"/>
      <c r="X148" s="232">
        <f t="shared" si="7"/>
        <v>1434.96</v>
      </c>
      <c r="Y148" s="42">
        <f t="shared" si="8"/>
        <v>44069</v>
      </c>
    </row>
    <row r="149" spans="1:25" ht="14.5">
      <c r="A149" s="211">
        <v>43987</v>
      </c>
      <c r="B149" s="212" t="s">
        <v>47</v>
      </c>
      <c r="C149" s="213" t="s">
        <v>69</v>
      </c>
      <c r="D149" s="214" t="s">
        <v>95</v>
      </c>
      <c r="E149" s="213" t="s">
        <v>71</v>
      </c>
      <c r="F149" s="215">
        <v>10600</v>
      </c>
      <c r="G149" s="216">
        <v>11.8</v>
      </c>
      <c r="H149" s="216">
        <v>0</v>
      </c>
      <c r="I149" s="217">
        <v>0</v>
      </c>
      <c r="J149" s="218">
        <v>0</v>
      </c>
      <c r="K149" s="214" t="s">
        <v>9</v>
      </c>
      <c r="L149" s="219">
        <f t="shared" si="9"/>
        <v>125130.65100000001</v>
      </c>
      <c r="M149" s="78"/>
      <c r="N149" s="68"/>
      <c r="O149" s="78"/>
      <c r="P149" s="78"/>
      <c r="Q149" s="78"/>
      <c r="R149" s="36">
        <f t="shared" si="6"/>
        <v>22099.961575378315</v>
      </c>
      <c r="S149" s="37" t="str">
        <f t="shared" si="1"/>
        <v/>
      </c>
      <c r="T149" s="37"/>
      <c r="X149" s="39" t="str">
        <f t="shared" si="7"/>
        <v/>
      </c>
      <c r="Y149" s="42" t="str">
        <f t="shared" si="8"/>
        <v/>
      </c>
    </row>
    <row r="150" spans="1:25" ht="14.5">
      <c r="A150" s="211">
        <v>43990</v>
      </c>
      <c r="B150" s="212" t="s">
        <v>48</v>
      </c>
      <c r="C150" s="213" t="s">
        <v>69</v>
      </c>
      <c r="D150" s="214" t="s">
        <v>95</v>
      </c>
      <c r="E150" s="213" t="s">
        <v>71</v>
      </c>
      <c r="F150" s="215">
        <v>10600</v>
      </c>
      <c r="G150" s="216">
        <v>11.98</v>
      </c>
      <c r="H150" s="216">
        <v>11.8</v>
      </c>
      <c r="I150" s="217">
        <v>1916.75</v>
      </c>
      <c r="J150" s="218">
        <v>1.53</v>
      </c>
      <c r="K150" s="214" t="s">
        <v>9</v>
      </c>
      <c r="L150" s="219" t="str">
        <f t="shared" si="9"/>
        <v/>
      </c>
      <c r="M150" s="78"/>
      <c r="N150" s="68"/>
      <c r="O150" s="78"/>
      <c r="P150" s="78"/>
      <c r="Q150" s="78"/>
      <c r="R150" s="36">
        <f t="shared" si="6"/>
        <v>22438.090987481606</v>
      </c>
      <c r="S150" s="37">
        <f t="shared" si="1"/>
        <v>338.12941210329154</v>
      </c>
      <c r="T150" s="37"/>
      <c r="X150" s="232">
        <f t="shared" si="7"/>
        <v>1500.95</v>
      </c>
      <c r="Y150" s="42">
        <f t="shared" si="8"/>
        <v>44070</v>
      </c>
    </row>
    <row r="151" spans="1:25" ht="14.5">
      <c r="A151" s="69">
        <v>43990</v>
      </c>
      <c r="B151" s="274" t="s">
        <v>47</v>
      </c>
      <c r="C151" s="71" t="s">
        <v>69</v>
      </c>
      <c r="D151" s="72" t="s">
        <v>96</v>
      </c>
      <c r="E151" s="71" t="s">
        <v>71</v>
      </c>
      <c r="F151" s="72">
        <v>30800</v>
      </c>
      <c r="G151" s="73">
        <v>4.25</v>
      </c>
      <c r="H151" s="73">
        <v>0</v>
      </c>
      <c r="I151" s="74">
        <v>0</v>
      </c>
      <c r="J151" s="75">
        <v>0</v>
      </c>
      <c r="K151" s="76" t="s">
        <v>9</v>
      </c>
      <c r="L151" s="210">
        <f t="shared" si="9"/>
        <v>130952.5425</v>
      </c>
      <c r="M151" s="78"/>
      <c r="N151" s="68"/>
      <c r="O151" s="78"/>
      <c r="P151" s="78"/>
      <c r="Q151" s="78"/>
      <c r="R151" s="36">
        <f t="shared" si="6"/>
        <v>22438.090987481606</v>
      </c>
      <c r="S151" s="37" t="str">
        <f t="shared" si="1"/>
        <v/>
      </c>
      <c r="T151" s="37"/>
      <c r="X151" s="39" t="str">
        <f t="shared" si="7"/>
        <v/>
      </c>
      <c r="Y151" s="42" t="str">
        <f t="shared" si="8"/>
        <v/>
      </c>
    </row>
    <row r="152" spans="1:25" ht="14.5">
      <c r="A152" s="69">
        <v>43991</v>
      </c>
      <c r="B152" s="274" t="s">
        <v>48</v>
      </c>
      <c r="C152" s="71" t="s">
        <v>69</v>
      </c>
      <c r="D152" s="72" t="s">
        <v>96</v>
      </c>
      <c r="E152" s="71" t="s">
        <v>71</v>
      </c>
      <c r="F152" s="72">
        <v>30800</v>
      </c>
      <c r="G152" s="73">
        <v>4.07</v>
      </c>
      <c r="H152" s="73">
        <v>4.25</v>
      </c>
      <c r="I152" s="74">
        <v>-5334.59</v>
      </c>
      <c r="J152" s="75">
        <v>-4.07</v>
      </c>
      <c r="K152" s="76" t="s">
        <v>9</v>
      </c>
      <c r="L152" s="210" t="str">
        <f t="shared" si="9"/>
        <v/>
      </c>
      <c r="M152" s="78"/>
      <c r="N152" s="68"/>
      <c r="O152" s="78"/>
      <c r="P152" s="78"/>
      <c r="Q152" s="78"/>
      <c r="R152" s="36">
        <f t="shared" si="6"/>
        <v>21524.860684291107</v>
      </c>
      <c r="S152" s="37">
        <f t="shared" si="1"/>
        <v>-913.2303031904994</v>
      </c>
      <c r="T152" s="37"/>
      <c r="X152" s="232">
        <f t="shared" si="7"/>
        <v>-4639.1099999999997</v>
      </c>
      <c r="Y152" s="42">
        <f t="shared" si="8"/>
        <v>44071</v>
      </c>
    </row>
    <row r="153" spans="1:25" ht="14.5">
      <c r="A153" s="275">
        <v>43991</v>
      </c>
      <c r="B153" s="276" t="s">
        <v>47</v>
      </c>
      <c r="C153" s="277" t="s">
        <v>69</v>
      </c>
      <c r="D153" s="278" t="s">
        <v>95</v>
      </c>
      <c r="E153" s="277" t="s">
        <v>71</v>
      </c>
      <c r="F153" s="278">
        <v>9000</v>
      </c>
      <c r="G153" s="279">
        <v>13.32</v>
      </c>
      <c r="H153" s="279">
        <v>0</v>
      </c>
      <c r="I153" s="245">
        <v>0</v>
      </c>
      <c r="J153" s="280">
        <v>0</v>
      </c>
      <c r="K153" s="281" t="s">
        <v>9</v>
      </c>
      <c r="L153" s="282">
        <f t="shared" si="9"/>
        <v>119928.961</v>
      </c>
      <c r="M153" s="78"/>
      <c r="N153" s="68"/>
      <c r="O153" s="78"/>
      <c r="P153" s="78"/>
      <c r="Q153" s="78"/>
      <c r="R153" s="36">
        <f t="shared" si="6"/>
        <v>21524.860684291107</v>
      </c>
      <c r="S153" s="37" t="str">
        <f t="shared" si="1"/>
        <v/>
      </c>
      <c r="T153" s="37"/>
      <c r="X153" s="39" t="str">
        <f t="shared" si="7"/>
        <v/>
      </c>
      <c r="Y153" s="42" t="str">
        <f t="shared" si="8"/>
        <v/>
      </c>
    </row>
    <row r="154" spans="1:25" ht="14.5">
      <c r="A154" s="275">
        <v>43992</v>
      </c>
      <c r="B154" s="276" t="s">
        <v>48</v>
      </c>
      <c r="C154" s="277" t="s">
        <v>69</v>
      </c>
      <c r="D154" s="278" t="s">
        <v>95</v>
      </c>
      <c r="E154" s="277" t="s">
        <v>71</v>
      </c>
      <c r="F154" s="278">
        <v>9000</v>
      </c>
      <c r="G154" s="279">
        <v>11.94</v>
      </c>
      <c r="H154" s="279">
        <v>13.33</v>
      </c>
      <c r="I154" s="245">
        <v>-12442.62</v>
      </c>
      <c r="J154" s="280">
        <v>-10.37</v>
      </c>
      <c r="K154" s="281" t="s">
        <v>9</v>
      </c>
      <c r="L154" s="282" t="str">
        <f t="shared" si="9"/>
        <v/>
      </c>
      <c r="M154" s="78"/>
      <c r="N154" s="68"/>
      <c r="O154" s="78"/>
      <c r="P154" s="78"/>
      <c r="Q154" s="78"/>
      <c r="R154" s="36">
        <f t="shared" si="6"/>
        <v>19292.73263133012</v>
      </c>
      <c r="S154" s="37">
        <f t="shared" si="1"/>
        <v>-2232.1280529609867</v>
      </c>
      <c r="T154" s="37"/>
      <c r="X154" s="232">
        <f t="shared" si="7"/>
        <v>-2877.34</v>
      </c>
      <c r="Y154" s="42">
        <f t="shared" si="8"/>
        <v>44074</v>
      </c>
    </row>
    <row r="155" spans="1:25" ht="14.5">
      <c r="A155" s="165">
        <v>43992</v>
      </c>
      <c r="B155" s="246" t="s">
        <v>47</v>
      </c>
      <c r="C155" s="167" t="s">
        <v>69</v>
      </c>
      <c r="D155" s="169" t="s">
        <v>92</v>
      </c>
      <c r="E155" s="167" t="s">
        <v>71</v>
      </c>
      <c r="F155" s="169">
        <v>7900</v>
      </c>
      <c r="G155" s="170">
        <v>14.23</v>
      </c>
      <c r="H155" s="170">
        <v>0</v>
      </c>
      <c r="I155" s="171">
        <v>0</v>
      </c>
      <c r="J155" s="172">
        <v>0</v>
      </c>
      <c r="K155" s="168" t="s">
        <v>9</v>
      </c>
      <c r="L155" s="173">
        <f t="shared" si="9"/>
        <v>112463.535525</v>
      </c>
      <c r="M155" s="78"/>
      <c r="N155" s="68"/>
      <c r="O155" s="78"/>
      <c r="P155" s="78"/>
      <c r="Q155" s="78"/>
      <c r="R155" s="36">
        <f t="shared" si="6"/>
        <v>19292.73263133012</v>
      </c>
      <c r="S155" s="37" t="str">
        <f t="shared" si="1"/>
        <v/>
      </c>
      <c r="T155" s="37"/>
      <c r="X155" s="39" t="str">
        <f t="shared" si="7"/>
        <v/>
      </c>
      <c r="Y155" s="42" t="str">
        <f t="shared" si="8"/>
        <v/>
      </c>
    </row>
    <row r="156" spans="1:25" ht="14.5">
      <c r="A156" s="165">
        <v>43994</v>
      </c>
      <c r="B156" s="246" t="s">
        <v>48</v>
      </c>
      <c r="C156" s="167" t="s">
        <v>69</v>
      </c>
      <c r="D156" s="169" t="s">
        <v>92</v>
      </c>
      <c r="E156" s="167" t="s">
        <v>71</v>
      </c>
      <c r="F156" s="169">
        <v>7900</v>
      </c>
      <c r="G156" s="170">
        <v>13.15</v>
      </c>
      <c r="H156" s="170">
        <v>14.24</v>
      </c>
      <c r="I156" s="171">
        <v>-8539.2199999999993</v>
      </c>
      <c r="J156" s="172">
        <v>-7.59</v>
      </c>
      <c r="K156" s="168" t="s">
        <v>9</v>
      </c>
      <c r="L156" s="173" t="str">
        <f t="shared" si="9"/>
        <v/>
      </c>
      <c r="M156" s="78"/>
      <c r="N156" s="68"/>
      <c r="O156" s="78"/>
      <c r="P156" s="78"/>
      <c r="Q156" s="78"/>
      <c r="R156" s="36">
        <f t="shared" si="6"/>
        <v>17828.414224612163</v>
      </c>
      <c r="S156" s="37">
        <f t="shared" si="1"/>
        <v>-1464.3184067179573</v>
      </c>
      <c r="T156" s="37"/>
      <c r="X156" s="232">
        <f t="shared" si="7"/>
        <v>2044.32</v>
      </c>
      <c r="Y156" s="42">
        <f t="shared" si="8"/>
        <v>44075</v>
      </c>
    </row>
    <row r="157" spans="1:25" ht="14.5">
      <c r="A157" s="201">
        <v>43994</v>
      </c>
      <c r="B157" s="283" t="s">
        <v>47</v>
      </c>
      <c r="C157" s="203" t="s">
        <v>69</v>
      </c>
      <c r="D157" s="205" t="s">
        <v>83</v>
      </c>
      <c r="E157" s="203" t="s">
        <v>71</v>
      </c>
      <c r="F157" s="205">
        <v>7600</v>
      </c>
      <c r="G157" s="206">
        <v>13.07</v>
      </c>
      <c r="H157" s="206">
        <v>0</v>
      </c>
      <c r="I157" s="207">
        <v>0</v>
      </c>
      <c r="J157" s="208">
        <v>0</v>
      </c>
      <c r="K157" s="204" t="s">
        <v>9</v>
      </c>
      <c r="L157" s="210">
        <f t="shared" si="9"/>
        <v>99374.282900000006</v>
      </c>
      <c r="M157" s="78"/>
      <c r="N157" s="68"/>
      <c r="O157" s="78"/>
      <c r="P157" s="78"/>
      <c r="Q157" s="78"/>
      <c r="R157" s="36">
        <f t="shared" si="6"/>
        <v>17828.414224612163</v>
      </c>
      <c r="S157" s="37" t="str">
        <f t="shared" si="1"/>
        <v/>
      </c>
      <c r="T157" s="37"/>
      <c r="X157" s="39" t="str">
        <f t="shared" si="7"/>
        <v/>
      </c>
      <c r="Y157" s="42" t="str">
        <f t="shared" si="8"/>
        <v/>
      </c>
    </row>
    <row r="158" spans="1:25" ht="14.5">
      <c r="A158" s="201">
        <v>43997</v>
      </c>
      <c r="B158" s="283" t="s">
        <v>48</v>
      </c>
      <c r="C158" s="203" t="s">
        <v>69</v>
      </c>
      <c r="D158" s="205" t="s">
        <v>83</v>
      </c>
      <c r="E158" s="203" t="s">
        <v>71</v>
      </c>
      <c r="F158" s="205">
        <v>7600</v>
      </c>
      <c r="G158" s="206">
        <v>13.21</v>
      </c>
      <c r="H158" s="206">
        <v>13.07</v>
      </c>
      <c r="I158" s="207">
        <v>1063.77</v>
      </c>
      <c r="J158" s="208">
        <v>1.07</v>
      </c>
      <c r="K158" s="204" t="s">
        <v>9</v>
      </c>
      <c r="L158" s="210" t="str">
        <f t="shared" si="9"/>
        <v/>
      </c>
      <c r="M158" s="78"/>
      <c r="N158" s="68"/>
      <c r="O158" s="78"/>
      <c r="P158" s="78"/>
      <c r="Q158" s="78"/>
      <c r="R158" s="36">
        <f t="shared" si="6"/>
        <v>18019.17825681551</v>
      </c>
      <c r="S158" s="37">
        <f t="shared" si="1"/>
        <v>190.7640322033476</v>
      </c>
      <c r="T158" s="37"/>
      <c r="X158" s="232">
        <f t="shared" si="7"/>
        <v>-990.28</v>
      </c>
      <c r="Y158" s="42">
        <f t="shared" si="8"/>
        <v>44076</v>
      </c>
    </row>
    <row r="159" spans="1:25" ht="14.5">
      <c r="A159" s="118">
        <v>43997</v>
      </c>
      <c r="B159" s="119" t="s">
        <v>47</v>
      </c>
      <c r="C159" s="120" t="s">
        <v>69</v>
      </c>
      <c r="D159" s="125" t="s">
        <v>97</v>
      </c>
      <c r="E159" s="120" t="s">
        <v>71</v>
      </c>
      <c r="F159" s="121">
        <v>3300</v>
      </c>
      <c r="G159" s="122">
        <v>30.74</v>
      </c>
      <c r="H159" s="122">
        <v>0</v>
      </c>
      <c r="I159" s="142">
        <v>0</v>
      </c>
      <c r="J159" s="124">
        <v>0</v>
      </c>
      <c r="K159" s="125" t="s">
        <v>9</v>
      </c>
      <c r="L159" s="574">
        <f t="shared" si="9"/>
        <v>101484.96865</v>
      </c>
      <c r="M159" s="78"/>
      <c r="N159" s="68"/>
      <c r="O159" s="78"/>
      <c r="P159" s="78"/>
      <c r="Q159" s="78"/>
      <c r="R159" s="36">
        <f t="shared" si="6"/>
        <v>18019.17825681551</v>
      </c>
      <c r="S159" s="37" t="str">
        <f t="shared" si="1"/>
        <v/>
      </c>
      <c r="T159" s="37"/>
      <c r="X159" s="39" t="str">
        <f t="shared" si="7"/>
        <v/>
      </c>
      <c r="Y159" s="42" t="str">
        <f t="shared" si="8"/>
        <v/>
      </c>
    </row>
    <row r="160" spans="1:25" ht="14.5">
      <c r="A160" s="118">
        <v>43998</v>
      </c>
      <c r="B160" s="137" t="s">
        <v>48</v>
      </c>
      <c r="C160" s="138" t="s">
        <v>69</v>
      </c>
      <c r="D160" s="139" t="s">
        <v>97</v>
      </c>
      <c r="E160" s="138" t="s">
        <v>71</v>
      </c>
      <c r="F160" s="140">
        <v>3300</v>
      </c>
      <c r="G160" s="141">
        <v>31.48</v>
      </c>
      <c r="H160" s="141">
        <v>30.74</v>
      </c>
      <c r="I160" s="142">
        <v>2458.16</v>
      </c>
      <c r="J160" s="143">
        <v>2.42</v>
      </c>
      <c r="K160" s="139" t="s">
        <v>9</v>
      </c>
      <c r="L160" s="144" t="str">
        <f t="shared" si="9"/>
        <v/>
      </c>
      <c r="M160" s="78"/>
      <c r="N160" s="68"/>
      <c r="O160" s="78"/>
      <c r="P160" s="78"/>
      <c r="Q160" s="78"/>
      <c r="R160" s="36">
        <f t="shared" si="6"/>
        <v>18455.242370630447</v>
      </c>
      <c r="S160" s="37">
        <f t="shared" si="1"/>
        <v>436.06411381493672</v>
      </c>
      <c r="T160" s="37"/>
      <c r="X160" s="232">
        <f t="shared" si="7"/>
        <v>1508.57</v>
      </c>
      <c r="Y160" s="42">
        <f t="shared" si="8"/>
        <v>44077</v>
      </c>
    </row>
    <row r="161" spans="1:25" ht="14.5">
      <c r="A161" s="22">
        <v>43998</v>
      </c>
      <c r="B161" s="23" t="s">
        <v>47</v>
      </c>
      <c r="C161" s="24" t="s">
        <v>69</v>
      </c>
      <c r="D161" s="25" t="s">
        <v>70</v>
      </c>
      <c r="E161" s="24" t="s">
        <v>71</v>
      </c>
      <c r="F161" s="26">
        <v>17000</v>
      </c>
      <c r="G161" s="27">
        <v>5.93</v>
      </c>
      <c r="H161" s="28">
        <v>0</v>
      </c>
      <c r="I161" s="29">
        <v>0</v>
      </c>
      <c r="J161" s="30">
        <v>0</v>
      </c>
      <c r="K161" s="31" t="s">
        <v>9</v>
      </c>
      <c r="L161" s="242">
        <f t="shared" si="9"/>
        <v>100852.76325</v>
      </c>
      <c r="M161" s="78"/>
      <c r="N161" s="68"/>
      <c r="O161" s="78"/>
      <c r="P161" s="78"/>
      <c r="Q161" s="78"/>
      <c r="R161" s="36">
        <f t="shared" si="6"/>
        <v>18455.242370630447</v>
      </c>
      <c r="S161" s="37" t="str">
        <f t="shared" si="1"/>
        <v/>
      </c>
      <c r="T161" s="37"/>
      <c r="X161" s="39" t="str">
        <f t="shared" si="7"/>
        <v/>
      </c>
      <c r="Y161" s="42" t="str">
        <f t="shared" si="8"/>
        <v/>
      </c>
    </row>
    <row r="162" spans="1:25" ht="14.5">
      <c r="A162" s="22">
        <v>43999</v>
      </c>
      <c r="B162" s="23" t="s">
        <v>48</v>
      </c>
      <c r="C162" s="24" t="s">
        <v>69</v>
      </c>
      <c r="D162" s="25" t="s">
        <v>70</v>
      </c>
      <c r="E162" s="24" t="s">
        <v>71</v>
      </c>
      <c r="F162" s="26">
        <v>17000</v>
      </c>
      <c r="G162" s="27">
        <v>5.99</v>
      </c>
      <c r="H162" s="27">
        <v>5.93</v>
      </c>
      <c r="I162" s="43">
        <v>1107.95</v>
      </c>
      <c r="J162" s="44">
        <v>1.0900000000000001</v>
      </c>
      <c r="K162" s="25" t="s">
        <v>9</v>
      </c>
      <c r="L162" s="242" t="str">
        <f t="shared" si="9"/>
        <v/>
      </c>
      <c r="M162" s="78"/>
      <c r="N162" s="68"/>
      <c r="O162" s="78"/>
      <c r="P162" s="78"/>
      <c r="Q162" s="78"/>
      <c r="R162" s="36">
        <f t="shared" si="6"/>
        <v>18656.404512470319</v>
      </c>
      <c r="S162" s="37">
        <f t="shared" si="1"/>
        <v>201.16214183987177</v>
      </c>
      <c r="T162" s="37"/>
      <c r="X162" s="232">
        <f t="shared" si="7"/>
        <v>1540.17</v>
      </c>
      <c r="Y162" s="42">
        <f t="shared" si="8"/>
        <v>44078</v>
      </c>
    </row>
    <row r="163" spans="1:25" ht="14.5">
      <c r="A163" s="47">
        <v>43999</v>
      </c>
      <c r="B163" s="48" t="s">
        <v>47</v>
      </c>
      <c r="C163" s="49" t="s">
        <v>69</v>
      </c>
      <c r="D163" s="54" t="s">
        <v>72</v>
      </c>
      <c r="E163" s="49" t="s">
        <v>71</v>
      </c>
      <c r="F163" s="50">
        <v>36700</v>
      </c>
      <c r="G163" s="51">
        <v>2.75</v>
      </c>
      <c r="H163" s="51">
        <v>0</v>
      </c>
      <c r="I163" s="52">
        <v>0</v>
      </c>
      <c r="J163" s="53">
        <v>0</v>
      </c>
      <c r="K163" s="54" t="s">
        <v>9</v>
      </c>
      <c r="L163" s="174">
        <f t="shared" si="9"/>
        <v>100967.800625</v>
      </c>
      <c r="M163" s="78"/>
      <c r="N163" s="68"/>
      <c r="O163" s="78"/>
      <c r="P163" s="78"/>
      <c r="Q163" s="78"/>
      <c r="R163" s="36">
        <f t="shared" si="6"/>
        <v>18656.404512470319</v>
      </c>
      <c r="S163" s="37" t="str">
        <f t="shared" si="1"/>
        <v/>
      </c>
      <c r="T163" s="37"/>
      <c r="X163" s="39" t="str">
        <f t="shared" si="7"/>
        <v/>
      </c>
      <c r="Y163" s="42" t="str">
        <f t="shared" si="8"/>
        <v/>
      </c>
    </row>
    <row r="164" spans="1:25" ht="15" customHeight="1">
      <c r="A164" s="47">
        <v>44000</v>
      </c>
      <c r="B164" s="48" t="s">
        <v>48</v>
      </c>
      <c r="C164" s="49" t="s">
        <v>69</v>
      </c>
      <c r="D164" s="54" t="s">
        <v>72</v>
      </c>
      <c r="E164" s="49" t="s">
        <v>71</v>
      </c>
      <c r="F164" s="50">
        <v>36700</v>
      </c>
      <c r="G164" s="51">
        <v>2.79</v>
      </c>
      <c r="H164" s="51">
        <v>2.75</v>
      </c>
      <c r="I164" s="52">
        <v>1752.68</v>
      </c>
      <c r="J164" s="53">
        <v>1.73</v>
      </c>
      <c r="K164" s="54" t="s">
        <v>9</v>
      </c>
      <c r="L164" s="174" t="str">
        <f t="shared" si="9"/>
        <v/>
      </c>
      <c r="M164" s="78"/>
      <c r="N164" s="68"/>
      <c r="O164" s="78"/>
      <c r="P164" s="78"/>
      <c r="Q164" s="78"/>
      <c r="R164" s="36">
        <f t="shared" si="6"/>
        <v>18979.160310536055</v>
      </c>
      <c r="S164" s="37">
        <f t="shared" si="1"/>
        <v>322.7557980657366</v>
      </c>
      <c r="T164" s="37"/>
      <c r="X164" s="232">
        <f t="shared" si="7"/>
        <v>1664.74</v>
      </c>
      <c r="Y164" s="42">
        <f t="shared" si="8"/>
        <v>44082</v>
      </c>
    </row>
    <row r="165" spans="1:25" ht="15" customHeight="1">
      <c r="A165" s="22">
        <v>44000</v>
      </c>
      <c r="B165" s="23" t="s">
        <v>47</v>
      </c>
      <c r="C165" s="24" t="s">
        <v>69</v>
      </c>
      <c r="D165" s="25" t="s">
        <v>70</v>
      </c>
      <c r="E165" s="24" t="s">
        <v>71</v>
      </c>
      <c r="F165" s="26">
        <v>16200</v>
      </c>
      <c r="G165" s="27">
        <v>6.34</v>
      </c>
      <c r="H165" s="28">
        <v>0</v>
      </c>
      <c r="I165" s="29">
        <v>0</v>
      </c>
      <c r="J165" s="30">
        <v>0</v>
      </c>
      <c r="K165" s="31" t="s">
        <v>9</v>
      </c>
      <c r="L165" s="242">
        <f t="shared" si="9"/>
        <v>102751.38009999999</v>
      </c>
      <c r="M165" s="78"/>
      <c r="N165" s="68"/>
      <c r="O165" s="78"/>
      <c r="P165" s="78"/>
      <c r="Q165" s="78"/>
      <c r="R165" s="36">
        <f t="shared" si="6"/>
        <v>18979.160310536055</v>
      </c>
      <c r="S165" s="37" t="str">
        <f t="shared" si="1"/>
        <v/>
      </c>
      <c r="T165" s="37"/>
      <c r="X165" s="39" t="str">
        <f t="shared" si="7"/>
        <v/>
      </c>
      <c r="Y165" s="42" t="str">
        <f t="shared" si="8"/>
        <v/>
      </c>
    </row>
    <row r="166" spans="1:25" ht="15" customHeight="1">
      <c r="A166" s="22">
        <v>44001</v>
      </c>
      <c r="B166" s="23" t="s">
        <v>48</v>
      </c>
      <c r="C166" s="24" t="s">
        <v>69</v>
      </c>
      <c r="D166" s="25" t="s">
        <v>70</v>
      </c>
      <c r="E166" s="24" t="s">
        <v>71</v>
      </c>
      <c r="F166" s="26">
        <v>16200</v>
      </c>
      <c r="G166" s="27">
        <v>6.48</v>
      </c>
      <c r="H166" s="27">
        <v>6.34</v>
      </c>
      <c r="I166" s="43">
        <v>2346.4</v>
      </c>
      <c r="J166" s="44">
        <v>2.2799999999999998</v>
      </c>
      <c r="K166" s="25" t="s">
        <v>9</v>
      </c>
      <c r="L166" s="242" t="str">
        <f t="shared" si="9"/>
        <v/>
      </c>
      <c r="M166" s="78"/>
      <c r="N166" s="68"/>
      <c r="O166" s="78"/>
      <c r="P166" s="78"/>
      <c r="Q166" s="78"/>
      <c r="R166" s="36">
        <f t="shared" si="6"/>
        <v>19411.885165616277</v>
      </c>
      <c r="S166" s="37">
        <f t="shared" si="1"/>
        <v>432.72485508022146</v>
      </c>
      <c r="T166" s="37"/>
      <c r="X166" s="232">
        <f t="shared" si="7"/>
        <v>1591.1</v>
      </c>
      <c r="Y166" s="42">
        <f t="shared" si="8"/>
        <v>44083</v>
      </c>
    </row>
    <row r="167" spans="1:25" ht="14.5">
      <c r="A167" s="47">
        <v>44001</v>
      </c>
      <c r="B167" s="48" t="s">
        <v>47</v>
      </c>
      <c r="C167" s="49" t="s">
        <v>69</v>
      </c>
      <c r="D167" s="54" t="s">
        <v>72</v>
      </c>
      <c r="E167" s="49" t="s">
        <v>71</v>
      </c>
      <c r="F167" s="50">
        <v>37600</v>
      </c>
      <c r="G167" s="51">
        <v>2.88</v>
      </c>
      <c r="H167" s="51">
        <v>0</v>
      </c>
      <c r="I167" s="52">
        <v>0</v>
      </c>
      <c r="J167" s="53">
        <v>0</v>
      </c>
      <c r="K167" s="54" t="s">
        <v>9</v>
      </c>
      <c r="L167" s="174">
        <f t="shared" si="9"/>
        <v>108333.1936</v>
      </c>
      <c r="M167" s="78"/>
      <c r="N167" s="68"/>
      <c r="O167" s="78"/>
      <c r="P167" s="78"/>
      <c r="Q167" s="78"/>
      <c r="R167" s="36">
        <f t="shared" si="6"/>
        <v>19411.885165616277</v>
      </c>
      <c r="S167" s="37" t="str">
        <f t="shared" si="1"/>
        <v/>
      </c>
      <c r="T167" s="37"/>
      <c r="X167" s="39" t="str">
        <f t="shared" si="7"/>
        <v/>
      </c>
      <c r="Y167" s="42" t="str">
        <f t="shared" si="8"/>
        <v/>
      </c>
    </row>
    <row r="168" spans="1:25" ht="14.5">
      <c r="A168" s="47">
        <v>44004</v>
      </c>
      <c r="B168" s="48" t="s">
        <v>48</v>
      </c>
      <c r="C168" s="49" t="s">
        <v>69</v>
      </c>
      <c r="D168" s="54" t="s">
        <v>72</v>
      </c>
      <c r="E168" s="49" t="s">
        <v>71</v>
      </c>
      <c r="F168" s="50">
        <v>37600</v>
      </c>
      <c r="G168" s="51">
        <v>2.94</v>
      </c>
      <c r="H168" s="51">
        <v>2.88</v>
      </c>
      <c r="I168" s="52">
        <v>2544.9</v>
      </c>
      <c r="J168" s="53">
        <v>2.34</v>
      </c>
      <c r="K168" s="54" t="s">
        <v>9</v>
      </c>
      <c r="L168" s="174" t="str">
        <f t="shared" si="9"/>
        <v/>
      </c>
      <c r="M168" s="78"/>
      <c r="N168" s="68"/>
      <c r="O168" s="78"/>
      <c r="P168" s="78"/>
      <c r="Q168" s="78"/>
      <c r="R168" s="36">
        <f t="shared" si="6"/>
        <v>19866.123278491701</v>
      </c>
      <c r="S168" s="37">
        <f t="shared" si="1"/>
        <v>454.23811287542412</v>
      </c>
      <c r="T168" s="37"/>
      <c r="X168" s="232">
        <f t="shared" si="7"/>
        <v>1582.33</v>
      </c>
      <c r="Y168" s="42">
        <f t="shared" si="8"/>
        <v>44084</v>
      </c>
    </row>
    <row r="169" spans="1:25" ht="14.5">
      <c r="A169" s="22">
        <v>44004</v>
      </c>
      <c r="B169" s="23" t="s">
        <v>47</v>
      </c>
      <c r="C169" s="24" t="s">
        <v>69</v>
      </c>
      <c r="D169" s="25" t="s">
        <v>70</v>
      </c>
      <c r="E169" s="24" t="s">
        <v>71</v>
      </c>
      <c r="F169" s="26">
        <v>15400</v>
      </c>
      <c r="G169" s="27">
        <v>6.87</v>
      </c>
      <c r="H169" s="28">
        <v>0</v>
      </c>
      <c r="I169" s="29">
        <v>0</v>
      </c>
      <c r="J169" s="30">
        <v>0</v>
      </c>
      <c r="K169" s="31" t="s">
        <v>9</v>
      </c>
      <c r="L169" s="242">
        <f t="shared" si="9"/>
        <v>105842.38434999999</v>
      </c>
      <c r="M169" s="78"/>
      <c r="N169" s="68"/>
      <c r="O169" s="78"/>
      <c r="P169" s="78"/>
      <c r="Q169" s="78"/>
      <c r="R169" s="36">
        <f t="shared" si="6"/>
        <v>19866.123278491701</v>
      </c>
      <c r="S169" s="37" t="str">
        <f t="shared" si="1"/>
        <v/>
      </c>
      <c r="T169" s="37"/>
      <c r="X169" s="39" t="str">
        <f t="shared" si="7"/>
        <v/>
      </c>
      <c r="Y169" s="42" t="str">
        <f t="shared" si="8"/>
        <v/>
      </c>
    </row>
    <row r="170" spans="1:25" ht="14.5">
      <c r="A170" s="22">
        <v>44005</v>
      </c>
      <c r="B170" s="23" t="s">
        <v>48</v>
      </c>
      <c r="C170" s="24" t="s">
        <v>69</v>
      </c>
      <c r="D170" s="25" t="s">
        <v>70</v>
      </c>
      <c r="E170" s="24" t="s">
        <v>71</v>
      </c>
      <c r="F170" s="26">
        <v>15400</v>
      </c>
      <c r="G170" s="27">
        <v>6.97</v>
      </c>
      <c r="H170" s="27">
        <v>6.87</v>
      </c>
      <c r="I170" s="43">
        <v>1507.75</v>
      </c>
      <c r="J170" s="44">
        <v>1.42</v>
      </c>
      <c r="K170" s="25" t="s">
        <v>9</v>
      </c>
      <c r="L170" s="242" t="str">
        <f t="shared" si="9"/>
        <v/>
      </c>
      <c r="M170" s="78"/>
      <c r="N170" s="68"/>
      <c r="O170" s="78"/>
      <c r="P170" s="78"/>
      <c r="Q170" s="78"/>
      <c r="R170" s="36">
        <f t="shared" si="6"/>
        <v>20148.222229046281</v>
      </c>
      <c r="S170" s="37">
        <f t="shared" si="1"/>
        <v>282.09895055458037</v>
      </c>
      <c r="T170" s="37"/>
      <c r="X170" s="232">
        <f t="shared" si="7"/>
        <v>1520.78</v>
      </c>
      <c r="Y170" s="42">
        <f t="shared" si="8"/>
        <v>44085</v>
      </c>
    </row>
    <row r="171" spans="1:25" ht="14.5">
      <c r="A171" s="47">
        <v>44005</v>
      </c>
      <c r="B171" s="48" t="s">
        <v>47</v>
      </c>
      <c r="C171" s="49" t="s">
        <v>69</v>
      </c>
      <c r="D171" s="54" t="s">
        <v>72</v>
      </c>
      <c r="E171" s="49" t="s">
        <v>71</v>
      </c>
      <c r="F171" s="50">
        <v>36400</v>
      </c>
      <c r="G171" s="51">
        <v>3.02</v>
      </c>
      <c r="H171" s="51">
        <v>0</v>
      </c>
      <c r="I171" s="52">
        <v>0</v>
      </c>
      <c r="J171" s="53">
        <v>0</v>
      </c>
      <c r="K171" s="54" t="s">
        <v>9</v>
      </c>
      <c r="L171" s="174">
        <f t="shared" si="9"/>
        <v>109973.72659999999</v>
      </c>
      <c r="M171" s="78"/>
      <c r="N171" s="68"/>
      <c r="O171" s="78"/>
      <c r="P171" s="78"/>
      <c r="Q171" s="78"/>
      <c r="R171" s="36">
        <f t="shared" si="6"/>
        <v>20148.222229046281</v>
      </c>
      <c r="S171" s="37" t="str">
        <f t="shared" si="1"/>
        <v/>
      </c>
      <c r="T171" s="37"/>
      <c r="X171" s="39" t="str">
        <f t="shared" si="7"/>
        <v/>
      </c>
      <c r="Y171" s="42" t="str">
        <f t="shared" si="8"/>
        <v/>
      </c>
    </row>
    <row r="172" spans="1:25" ht="14.5">
      <c r="A172" s="47">
        <v>44006</v>
      </c>
      <c r="B172" s="48" t="s">
        <v>48</v>
      </c>
      <c r="C172" s="49" t="s">
        <v>69</v>
      </c>
      <c r="D172" s="54" t="s">
        <v>72</v>
      </c>
      <c r="E172" s="49" t="s">
        <v>71</v>
      </c>
      <c r="F172" s="50">
        <v>36400</v>
      </c>
      <c r="G172" s="51">
        <v>3.05</v>
      </c>
      <c r="H172" s="51">
        <v>3.02</v>
      </c>
      <c r="I172" s="52">
        <v>1368.25</v>
      </c>
      <c r="J172" s="53">
        <v>1.2400000000000002</v>
      </c>
      <c r="K172" s="54" t="s">
        <v>9</v>
      </c>
      <c r="L172" s="174" t="str">
        <f t="shared" si="9"/>
        <v/>
      </c>
      <c r="M172" s="78"/>
      <c r="N172" s="68"/>
      <c r="O172" s="78"/>
      <c r="P172" s="78"/>
      <c r="Q172" s="78"/>
      <c r="R172" s="36">
        <f t="shared" si="6"/>
        <v>20398.060184686456</v>
      </c>
      <c r="S172" s="37">
        <f t="shared" si="1"/>
        <v>249.83795564017419</v>
      </c>
      <c r="T172" s="37"/>
      <c r="X172" s="232">
        <f t="shared" si="7"/>
        <v>1638.83</v>
      </c>
      <c r="Y172" s="42">
        <f t="shared" si="8"/>
        <v>44088</v>
      </c>
    </row>
    <row r="173" spans="1:25" ht="14.5">
      <c r="A173" s="22">
        <v>44006</v>
      </c>
      <c r="B173" s="23" t="s">
        <v>47</v>
      </c>
      <c r="C173" s="24" t="s">
        <v>69</v>
      </c>
      <c r="D173" s="25" t="s">
        <v>70</v>
      </c>
      <c r="E173" s="24" t="s">
        <v>71</v>
      </c>
      <c r="F173" s="26">
        <v>15600</v>
      </c>
      <c r="G173" s="27">
        <v>7.05</v>
      </c>
      <c r="H173" s="28">
        <v>0</v>
      </c>
      <c r="I173" s="29">
        <v>0</v>
      </c>
      <c r="J173" s="30">
        <v>0</v>
      </c>
      <c r="K173" s="31" t="s">
        <v>9</v>
      </c>
      <c r="L173" s="242">
        <f t="shared" si="9"/>
        <v>110025.7435</v>
      </c>
      <c r="M173" s="78"/>
      <c r="N173" s="68"/>
      <c r="O173" s="78"/>
      <c r="P173" s="78"/>
      <c r="Q173" s="78"/>
      <c r="R173" s="36">
        <f t="shared" si="6"/>
        <v>20398.060184686456</v>
      </c>
      <c r="S173" s="37" t="str">
        <f t="shared" si="1"/>
        <v/>
      </c>
      <c r="T173" s="37"/>
      <c r="X173" s="39" t="str">
        <f t="shared" si="7"/>
        <v/>
      </c>
      <c r="Y173" s="42" t="str">
        <f t="shared" si="8"/>
        <v/>
      </c>
    </row>
    <row r="174" spans="1:25" ht="14.5">
      <c r="A174" s="22">
        <v>44007</v>
      </c>
      <c r="B174" s="23" t="s">
        <v>48</v>
      </c>
      <c r="C174" s="24" t="s">
        <v>69</v>
      </c>
      <c r="D174" s="25" t="s">
        <v>70</v>
      </c>
      <c r="E174" s="24" t="s">
        <v>71</v>
      </c>
      <c r="F174" s="26">
        <v>15600</v>
      </c>
      <c r="G174" s="27">
        <v>7.12</v>
      </c>
      <c r="H174" s="27">
        <v>7.05</v>
      </c>
      <c r="I174" s="43">
        <v>1160.28</v>
      </c>
      <c r="J174" s="44">
        <v>1.05</v>
      </c>
      <c r="K174" s="25" t="s">
        <v>9</v>
      </c>
      <c r="L174" s="242" t="str">
        <f t="shared" si="9"/>
        <v/>
      </c>
      <c r="M174" s="78"/>
      <c r="N174" s="68"/>
      <c r="O174" s="78"/>
      <c r="P174" s="78"/>
      <c r="Q174" s="78"/>
      <c r="R174" s="36">
        <f t="shared" si="6"/>
        <v>20612.239816625661</v>
      </c>
      <c r="S174" s="37">
        <f t="shared" si="1"/>
        <v>214.17963193920514</v>
      </c>
      <c r="T174" s="37"/>
      <c r="X174" s="232">
        <f t="shared" si="7"/>
        <v>-2061.46</v>
      </c>
      <c r="Y174" s="42">
        <f t="shared" si="8"/>
        <v>44089</v>
      </c>
    </row>
    <row r="175" spans="1:25" ht="14.5">
      <c r="A175" s="47">
        <v>44007</v>
      </c>
      <c r="B175" s="48" t="s">
        <v>47</v>
      </c>
      <c r="C175" s="49" t="s">
        <v>69</v>
      </c>
      <c r="D175" s="54" t="s">
        <v>72</v>
      </c>
      <c r="E175" s="49" t="s">
        <v>71</v>
      </c>
      <c r="F175" s="50">
        <v>38400</v>
      </c>
      <c r="G175" s="51">
        <v>2.93</v>
      </c>
      <c r="H175" s="51">
        <v>0</v>
      </c>
      <c r="I175" s="52">
        <v>0</v>
      </c>
      <c r="J175" s="53">
        <v>0</v>
      </c>
      <c r="K175" s="54" t="s">
        <v>9</v>
      </c>
      <c r="L175" s="174">
        <f t="shared" si="9"/>
        <v>112558.5664</v>
      </c>
      <c r="M175" s="78"/>
      <c r="N175" s="68"/>
      <c r="O175" s="78"/>
      <c r="P175" s="78"/>
      <c r="Q175" s="78"/>
      <c r="R175" s="36">
        <f t="shared" si="6"/>
        <v>20612.239816625661</v>
      </c>
      <c r="S175" s="37" t="str">
        <f t="shared" si="1"/>
        <v/>
      </c>
      <c r="T175" s="37"/>
      <c r="X175" s="232">
        <f t="shared" si="7"/>
        <v>-2449.5700000000002</v>
      </c>
      <c r="Y175" s="42">
        <f t="shared" si="8"/>
        <v>44089</v>
      </c>
    </row>
    <row r="176" spans="1:25" ht="14.5">
      <c r="A176" s="47">
        <v>44008</v>
      </c>
      <c r="B176" s="48" t="s">
        <v>48</v>
      </c>
      <c r="C176" s="49" t="s">
        <v>69</v>
      </c>
      <c r="D176" s="54" t="s">
        <v>72</v>
      </c>
      <c r="E176" s="49" t="s">
        <v>71</v>
      </c>
      <c r="F176" s="50">
        <v>38400</v>
      </c>
      <c r="G176" s="51">
        <v>2.96</v>
      </c>
      <c r="H176" s="51">
        <v>2.93</v>
      </c>
      <c r="I176" s="52">
        <v>1446.63</v>
      </c>
      <c r="J176" s="53">
        <v>1.28</v>
      </c>
      <c r="K176" s="54" t="s">
        <v>9</v>
      </c>
      <c r="L176" s="174" t="str">
        <f t="shared" si="9"/>
        <v/>
      </c>
      <c r="M176" s="78"/>
      <c r="N176" s="68"/>
      <c r="O176" s="78"/>
      <c r="P176" s="78"/>
      <c r="Q176" s="78"/>
      <c r="R176" s="36">
        <f t="shared" si="6"/>
        <v>20876.076486278467</v>
      </c>
      <c r="S176" s="37">
        <f t="shared" si="1"/>
        <v>263.83666965280645</v>
      </c>
      <c r="T176" s="37"/>
      <c r="X176" s="39" t="str">
        <f t="shared" si="7"/>
        <v/>
      </c>
      <c r="Y176" s="42" t="str">
        <f t="shared" si="8"/>
        <v/>
      </c>
    </row>
    <row r="177" spans="1:25" ht="14.5">
      <c r="A177" s="22">
        <v>44008</v>
      </c>
      <c r="B177" s="23" t="s">
        <v>47</v>
      </c>
      <c r="C177" s="24" t="s">
        <v>69</v>
      </c>
      <c r="D177" s="25" t="s">
        <v>70</v>
      </c>
      <c r="E177" s="24" t="s">
        <v>71</v>
      </c>
      <c r="F177" s="26">
        <v>16500</v>
      </c>
      <c r="G177" s="27">
        <v>6.8</v>
      </c>
      <c r="H177" s="28">
        <v>0</v>
      </c>
      <c r="I177" s="29">
        <v>0</v>
      </c>
      <c r="J177" s="30">
        <v>0</v>
      </c>
      <c r="K177" s="31" t="s">
        <v>9</v>
      </c>
      <c r="L177" s="242">
        <f t="shared" si="9"/>
        <v>112246.465</v>
      </c>
      <c r="M177" s="78"/>
      <c r="N177" s="68"/>
      <c r="O177" s="78"/>
      <c r="P177" s="78"/>
      <c r="Q177" s="78"/>
      <c r="R177" s="36">
        <f t="shared" si="6"/>
        <v>20876.076486278467</v>
      </c>
      <c r="S177" s="37" t="str">
        <f t="shared" si="1"/>
        <v/>
      </c>
      <c r="T177" s="37"/>
      <c r="X177" s="232">
        <f t="shared" si="7"/>
        <v>-3183.91</v>
      </c>
      <c r="Y177" s="42">
        <f t="shared" si="8"/>
        <v>44091</v>
      </c>
    </row>
    <row r="178" spans="1:25" ht="14.5">
      <c r="A178" s="22">
        <v>44011</v>
      </c>
      <c r="B178" s="23" t="s">
        <v>48</v>
      </c>
      <c r="C178" s="24" t="s">
        <v>69</v>
      </c>
      <c r="D178" s="25" t="s">
        <v>70</v>
      </c>
      <c r="E178" s="24" t="s">
        <v>71</v>
      </c>
      <c r="F178" s="26">
        <v>16500</v>
      </c>
      <c r="G178" s="27">
        <v>6.9</v>
      </c>
      <c r="H178" s="27">
        <v>6.8</v>
      </c>
      <c r="I178" s="43">
        <v>1725.74</v>
      </c>
      <c r="J178" s="44">
        <v>1.53</v>
      </c>
      <c r="K178" s="25" t="s">
        <v>9</v>
      </c>
      <c r="L178" s="242" t="str">
        <f t="shared" si="9"/>
        <v/>
      </c>
      <c r="M178" s="78"/>
      <c r="N178" s="68"/>
      <c r="O178" s="78"/>
      <c r="P178" s="78"/>
      <c r="Q178" s="78"/>
      <c r="R178" s="36">
        <f t="shared" si="6"/>
        <v>21195.48045651853</v>
      </c>
      <c r="S178" s="37">
        <f t="shared" si="1"/>
        <v>319.40397024006234</v>
      </c>
      <c r="T178" s="37"/>
      <c r="X178" s="39" t="str">
        <f t="shared" si="7"/>
        <v/>
      </c>
      <c r="Y178" s="42" t="str">
        <f t="shared" si="8"/>
        <v/>
      </c>
    </row>
    <row r="179" spans="1:25" ht="14.5">
      <c r="A179" s="118">
        <v>44011</v>
      </c>
      <c r="B179" s="119" t="s">
        <v>47</v>
      </c>
      <c r="C179" s="120" t="s">
        <v>69</v>
      </c>
      <c r="D179" s="125" t="s">
        <v>97</v>
      </c>
      <c r="E179" s="120" t="s">
        <v>71</v>
      </c>
      <c r="F179" s="121">
        <v>400</v>
      </c>
      <c r="G179" s="122">
        <v>31.13</v>
      </c>
      <c r="H179" s="122">
        <v>0</v>
      </c>
      <c r="I179" s="142">
        <v>0</v>
      </c>
      <c r="J179" s="124">
        <v>0</v>
      </c>
      <c r="K179" s="125" t="s">
        <v>9</v>
      </c>
      <c r="L179" s="574">
        <f t="shared" si="9"/>
        <v>12466.046899999999</v>
      </c>
      <c r="M179" s="78"/>
      <c r="N179" s="68"/>
      <c r="O179" s="78"/>
      <c r="P179" s="78"/>
      <c r="Q179" s="78"/>
      <c r="R179" s="36">
        <f t="shared" si="6"/>
        <v>21195.48045651853</v>
      </c>
      <c r="S179" s="37" t="str">
        <f t="shared" si="1"/>
        <v/>
      </c>
      <c r="T179" s="37"/>
      <c r="X179" s="232">
        <f t="shared" si="7"/>
        <v>1529.29</v>
      </c>
      <c r="Y179" s="42">
        <f t="shared" si="8"/>
        <v>44092</v>
      </c>
    </row>
    <row r="180" spans="1:25" ht="14.5">
      <c r="A180" s="118">
        <v>44011</v>
      </c>
      <c r="B180" s="137" t="s">
        <v>47</v>
      </c>
      <c r="C180" s="138" t="s">
        <v>69</v>
      </c>
      <c r="D180" s="139" t="s">
        <v>97</v>
      </c>
      <c r="E180" s="138" t="s">
        <v>71</v>
      </c>
      <c r="F180" s="140">
        <v>400</v>
      </c>
      <c r="G180" s="141">
        <v>31.15</v>
      </c>
      <c r="H180" s="141">
        <v>0</v>
      </c>
      <c r="I180" s="142">
        <v>0</v>
      </c>
      <c r="J180" s="143">
        <v>0</v>
      </c>
      <c r="K180" s="139" t="s">
        <v>9</v>
      </c>
      <c r="L180" s="144">
        <f t="shared" si="9"/>
        <v>12474.049499999999</v>
      </c>
      <c r="M180" s="78"/>
      <c r="N180" s="68"/>
      <c r="O180" s="78"/>
      <c r="P180" s="78"/>
      <c r="Q180" s="78"/>
      <c r="R180" s="36">
        <f t="shared" si="6"/>
        <v>21195.48045651853</v>
      </c>
      <c r="S180" s="37" t="str">
        <f t="shared" si="1"/>
        <v/>
      </c>
      <c r="T180" s="37"/>
      <c r="X180" s="39" t="str">
        <f t="shared" si="7"/>
        <v/>
      </c>
      <c r="Y180" s="42" t="str">
        <f t="shared" si="8"/>
        <v/>
      </c>
    </row>
    <row r="181" spans="1:25" ht="14.5">
      <c r="A181" s="118">
        <v>44011</v>
      </c>
      <c r="B181" s="119" t="s">
        <v>47</v>
      </c>
      <c r="C181" s="120" t="s">
        <v>69</v>
      </c>
      <c r="D181" s="125" t="s">
        <v>97</v>
      </c>
      <c r="E181" s="120" t="s">
        <v>71</v>
      </c>
      <c r="F181" s="121">
        <v>2800</v>
      </c>
      <c r="G181" s="122">
        <v>31.32</v>
      </c>
      <c r="H181" s="122">
        <v>0</v>
      </c>
      <c r="I181" s="142">
        <v>0</v>
      </c>
      <c r="J181" s="124">
        <v>0</v>
      </c>
      <c r="K181" s="125" t="s">
        <v>9</v>
      </c>
      <c r="L181" s="574">
        <f t="shared" si="9"/>
        <v>87734.501199999999</v>
      </c>
      <c r="M181" s="78"/>
      <c r="N181" s="68"/>
      <c r="O181" s="78"/>
      <c r="P181" s="78"/>
      <c r="Q181" s="78"/>
      <c r="R181" s="36">
        <f t="shared" si="6"/>
        <v>21195.48045651853</v>
      </c>
      <c r="S181" s="37" t="str">
        <f t="shared" si="1"/>
        <v/>
      </c>
      <c r="T181" s="37"/>
      <c r="X181" s="232">
        <f t="shared" si="7"/>
        <v>-8850.4599999999991</v>
      </c>
      <c r="Y181" s="42">
        <f t="shared" si="8"/>
        <v>44095</v>
      </c>
    </row>
    <row r="182" spans="1:25" ht="14.5">
      <c r="A182" s="118">
        <v>44012</v>
      </c>
      <c r="B182" s="137" t="s">
        <v>48</v>
      </c>
      <c r="C182" s="138" t="s">
        <v>69</v>
      </c>
      <c r="D182" s="139" t="s">
        <v>97</v>
      </c>
      <c r="E182" s="138" t="s">
        <v>71</v>
      </c>
      <c r="F182" s="140">
        <v>3600</v>
      </c>
      <c r="G182" s="141">
        <v>31.51</v>
      </c>
      <c r="H182" s="141">
        <v>31.28</v>
      </c>
      <c r="I182" s="142">
        <v>852.89</v>
      </c>
      <c r="J182" s="143">
        <v>0.75</v>
      </c>
      <c r="K182" s="139" t="s">
        <v>9</v>
      </c>
      <c r="L182" s="144" t="str">
        <f t="shared" si="9"/>
        <v/>
      </c>
      <c r="M182" s="78"/>
      <c r="N182" s="68"/>
      <c r="O182" s="78"/>
      <c r="P182" s="78"/>
      <c r="Q182" s="78"/>
      <c r="R182" s="36">
        <f t="shared" si="6"/>
        <v>21354.446559942418</v>
      </c>
      <c r="S182" s="37">
        <f t="shared" si="1"/>
        <v>158.96610342388885</v>
      </c>
      <c r="T182" s="37"/>
      <c r="X182" s="39" t="str">
        <f t="shared" ref="X182:X245" si="10">IF(I297&lt;&gt;0,I297,"")</f>
        <v/>
      </c>
      <c r="Y182" s="42" t="str">
        <f t="shared" ref="Y182:Y245" si="11">IF(I297&lt;&gt;0,A297,"")</f>
        <v/>
      </c>
    </row>
    <row r="183" spans="1:25" ht="14.5">
      <c r="A183" s="284">
        <v>44012</v>
      </c>
      <c r="B183" s="285" t="s">
        <v>47</v>
      </c>
      <c r="C183" s="286" t="s">
        <v>69</v>
      </c>
      <c r="D183" s="287" t="s">
        <v>72</v>
      </c>
      <c r="E183" s="286" t="s">
        <v>71</v>
      </c>
      <c r="F183" s="288">
        <v>37600</v>
      </c>
      <c r="G183" s="289">
        <v>2.95</v>
      </c>
      <c r="H183" s="289">
        <v>0</v>
      </c>
      <c r="I183" s="290">
        <v>0</v>
      </c>
      <c r="J183" s="291">
        <v>0</v>
      </c>
      <c r="K183" s="287" t="s">
        <v>9</v>
      </c>
      <c r="L183" s="292">
        <f t="shared" si="9"/>
        <v>110966.049</v>
      </c>
      <c r="M183" s="383"/>
      <c r="N183" s="68"/>
      <c r="O183" s="78"/>
      <c r="P183" s="78"/>
      <c r="Q183" s="78"/>
      <c r="R183" s="36">
        <f t="shared" si="6"/>
        <v>21354.446559942418</v>
      </c>
      <c r="S183" s="37" t="str">
        <f t="shared" si="1"/>
        <v/>
      </c>
      <c r="T183" s="37">
        <f>SUM(S140:S183)</f>
        <v>1391.5127238127243</v>
      </c>
      <c r="X183" s="232">
        <f t="shared" si="10"/>
        <v>-6697.29</v>
      </c>
      <c r="Y183" s="42">
        <f t="shared" si="11"/>
        <v>44097</v>
      </c>
    </row>
    <row r="184" spans="1:25" ht="14.5">
      <c r="A184" s="293">
        <v>44013</v>
      </c>
      <c r="B184" s="294" t="s">
        <v>48</v>
      </c>
      <c r="C184" s="295" t="s">
        <v>69</v>
      </c>
      <c r="D184" s="296" t="s">
        <v>72</v>
      </c>
      <c r="E184" s="295" t="s">
        <v>71</v>
      </c>
      <c r="F184" s="297">
        <v>37600</v>
      </c>
      <c r="G184" s="298">
        <v>2.98</v>
      </c>
      <c r="H184" s="298">
        <v>2.95</v>
      </c>
      <c r="I184" s="299">
        <v>1415.62</v>
      </c>
      <c r="J184" s="300">
        <v>1.27</v>
      </c>
      <c r="K184" s="296" t="s">
        <v>9</v>
      </c>
      <c r="L184" s="576" t="str">
        <f t="shared" si="9"/>
        <v/>
      </c>
      <c r="M184" s="33" t="s">
        <v>40</v>
      </c>
      <c r="N184" s="34"/>
      <c r="O184" s="78"/>
      <c r="P184" s="78"/>
      <c r="Q184" s="78"/>
      <c r="R184" s="36">
        <f t="shared" si="6"/>
        <v>21625.648031253684</v>
      </c>
      <c r="S184" s="37">
        <f t="shared" si="1"/>
        <v>271.20147131126578</v>
      </c>
      <c r="T184" s="37"/>
      <c r="X184" s="39" t="str">
        <f t="shared" si="10"/>
        <v/>
      </c>
      <c r="Y184" s="42" t="str">
        <f t="shared" si="11"/>
        <v/>
      </c>
    </row>
    <row r="185" spans="1:25" ht="14.5">
      <c r="A185" s="425">
        <v>44013</v>
      </c>
      <c r="B185" s="426" t="s">
        <v>47</v>
      </c>
      <c r="C185" s="427" t="s">
        <v>69</v>
      </c>
      <c r="D185" s="428" t="s">
        <v>70</v>
      </c>
      <c r="E185" s="427" t="s">
        <v>71</v>
      </c>
      <c r="F185" s="429">
        <v>14500</v>
      </c>
      <c r="G185" s="430">
        <v>7.8899999999999988</v>
      </c>
      <c r="H185" s="431">
        <v>0</v>
      </c>
      <c r="I185" s="432">
        <v>0</v>
      </c>
      <c r="J185" s="433">
        <v>0</v>
      </c>
      <c r="K185" s="434" t="s">
        <v>9</v>
      </c>
      <c r="L185" s="435">
        <f t="shared" si="9"/>
        <v>114452.18162499998</v>
      </c>
      <c r="M185" s="45" t="s">
        <v>21</v>
      </c>
      <c r="N185" s="34"/>
      <c r="O185" s="78"/>
      <c r="P185" s="78"/>
      <c r="Q185" s="78"/>
      <c r="R185" s="36">
        <f t="shared" si="6"/>
        <v>21625.648031253684</v>
      </c>
      <c r="S185" s="37" t="str">
        <f t="shared" si="1"/>
        <v/>
      </c>
      <c r="T185" s="37"/>
      <c r="X185" s="232">
        <f t="shared" si="10"/>
        <v>3136.05</v>
      </c>
      <c r="Y185" s="42">
        <f t="shared" si="11"/>
        <v>44098</v>
      </c>
    </row>
    <row r="186" spans="1:25" ht="14.5">
      <c r="A186" s="425">
        <v>44014</v>
      </c>
      <c r="B186" s="426" t="s">
        <v>48</v>
      </c>
      <c r="C186" s="427" t="s">
        <v>69</v>
      </c>
      <c r="D186" s="428" t="s">
        <v>70</v>
      </c>
      <c r="E186" s="427" t="s">
        <v>71</v>
      </c>
      <c r="F186" s="429">
        <v>14500</v>
      </c>
      <c r="G186" s="430">
        <v>8.17</v>
      </c>
      <c r="H186" s="430">
        <v>7.8899999999999988</v>
      </c>
      <c r="I186" s="436">
        <v>4113.8900000000003</v>
      </c>
      <c r="J186" s="437">
        <v>3.59</v>
      </c>
      <c r="K186" s="428" t="s">
        <v>9</v>
      </c>
      <c r="L186" s="435" t="str">
        <f t="shared" si="9"/>
        <v/>
      </c>
      <c r="M186" s="56">
        <f>IFERROR(AVERAGE(L184:L228),0)</f>
        <v>130980.68800795455</v>
      </c>
      <c r="N186" s="34"/>
      <c r="O186" s="78"/>
      <c r="P186" s="78"/>
      <c r="Q186" s="78"/>
      <c r="R186" s="36">
        <f t="shared" si="6"/>
        <v>22402.008795575694</v>
      </c>
      <c r="S186" s="37">
        <f t="shared" si="1"/>
        <v>776.36076432200935</v>
      </c>
      <c r="T186" s="37"/>
      <c r="X186" s="39" t="str">
        <f t="shared" si="10"/>
        <v/>
      </c>
      <c r="Y186" s="42" t="str">
        <f t="shared" si="11"/>
        <v/>
      </c>
    </row>
    <row r="187" spans="1:25" ht="14.5">
      <c r="A187" s="47">
        <v>44014</v>
      </c>
      <c r="B187" s="48" t="s">
        <v>47</v>
      </c>
      <c r="C187" s="49" t="s">
        <v>69</v>
      </c>
      <c r="D187" s="54" t="s">
        <v>72</v>
      </c>
      <c r="E187" s="49" t="s">
        <v>71</v>
      </c>
      <c r="F187" s="50">
        <v>37500</v>
      </c>
      <c r="G187" s="51">
        <v>3.11</v>
      </c>
      <c r="H187" s="51">
        <v>0</v>
      </c>
      <c r="I187" s="52">
        <v>0</v>
      </c>
      <c r="J187" s="53">
        <v>0</v>
      </c>
      <c r="K187" s="54" t="s">
        <v>9</v>
      </c>
      <c r="L187" s="55">
        <f t="shared" si="9"/>
        <v>116672.903125</v>
      </c>
      <c r="M187" s="45" t="s">
        <v>24</v>
      </c>
      <c r="N187" s="34"/>
      <c r="O187" s="78"/>
      <c r="P187" s="78"/>
      <c r="Q187" s="78"/>
      <c r="R187" s="36">
        <f t="shared" si="6"/>
        <v>22402.008795575694</v>
      </c>
      <c r="S187" s="37" t="str">
        <f t="shared" si="1"/>
        <v/>
      </c>
      <c r="T187" s="37"/>
      <c r="X187" s="232">
        <f t="shared" si="10"/>
        <v>22.22</v>
      </c>
      <c r="Y187" s="42">
        <f t="shared" si="11"/>
        <v>44099</v>
      </c>
    </row>
    <row r="188" spans="1:25" ht="14.5">
      <c r="A188" s="47">
        <v>44015</v>
      </c>
      <c r="B188" s="48" t="s">
        <v>48</v>
      </c>
      <c r="C188" s="49" t="s">
        <v>69</v>
      </c>
      <c r="D188" s="54" t="s">
        <v>72</v>
      </c>
      <c r="E188" s="49" t="s">
        <v>71</v>
      </c>
      <c r="F188" s="50">
        <v>37500</v>
      </c>
      <c r="G188" s="51">
        <v>3.14</v>
      </c>
      <c r="H188" s="51">
        <v>3.11</v>
      </c>
      <c r="I188" s="52">
        <v>1408.59</v>
      </c>
      <c r="J188" s="53">
        <v>1.2</v>
      </c>
      <c r="K188" s="54" t="s">
        <v>9</v>
      </c>
      <c r="L188" s="55" t="str">
        <f t="shared" si="9"/>
        <v/>
      </c>
      <c r="M188" s="56">
        <f>SUM(I184:I228)</f>
        <v>27971.390000000007</v>
      </c>
      <c r="N188" s="34"/>
      <c r="O188" s="78"/>
      <c r="P188" s="78"/>
      <c r="Q188" s="78"/>
      <c r="R188" s="36">
        <f t="shared" si="6"/>
        <v>22670.832901122601</v>
      </c>
      <c r="S188" s="37">
        <f t="shared" si="1"/>
        <v>268.82410554690796</v>
      </c>
      <c r="T188" s="37"/>
      <c r="X188" s="232">
        <f t="shared" si="10"/>
        <v>-835.64</v>
      </c>
      <c r="Y188" s="42">
        <f t="shared" si="11"/>
        <v>44099</v>
      </c>
    </row>
    <row r="189" spans="1:25" ht="14.5">
      <c r="A189" s="425">
        <v>44015</v>
      </c>
      <c r="B189" s="426" t="s">
        <v>47</v>
      </c>
      <c r="C189" s="427" t="s">
        <v>69</v>
      </c>
      <c r="D189" s="428" t="s">
        <v>70</v>
      </c>
      <c r="E189" s="427" t="s">
        <v>71</v>
      </c>
      <c r="F189" s="429">
        <v>13300</v>
      </c>
      <c r="G189" s="430">
        <v>9.1</v>
      </c>
      <c r="H189" s="431">
        <v>0</v>
      </c>
      <c r="I189" s="432">
        <v>0</v>
      </c>
      <c r="J189" s="433">
        <v>0</v>
      </c>
      <c r="K189" s="434" t="s">
        <v>9</v>
      </c>
      <c r="L189" s="435">
        <f t="shared" si="9"/>
        <v>121079.33474999999</v>
      </c>
      <c r="M189" s="45" t="s">
        <v>27</v>
      </c>
      <c r="N189" s="34"/>
      <c r="O189" s="78"/>
      <c r="P189" s="78"/>
      <c r="Q189" s="78"/>
      <c r="R189" s="36">
        <f t="shared" si="6"/>
        <v>22670.832901122601</v>
      </c>
      <c r="S189" s="37" t="str">
        <f t="shared" si="1"/>
        <v/>
      </c>
      <c r="T189" s="37"/>
      <c r="X189" s="39" t="str">
        <f t="shared" si="10"/>
        <v/>
      </c>
      <c r="Y189" s="42" t="str">
        <f t="shared" si="11"/>
        <v/>
      </c>
    </row>
    <row r="190" spans="1:25" ht="14.5">
      <c r="A190" s="425">
        <v>44018</v>
      </c>
      <c r="B190" s="426" t="s">
        <v>48</v>
      </c>
      <c r="C190" s="427" t="s">
        <v>69</v>
      </c>
      <c r="D190" s="428" t="s">
        <v>70</v>
      </c>
      <c r="E190" s="427" t="s">
        <v>71</v>
      </c>
      <c r="F190" s="429">
        <v>13300</v>
      </c>
      <c r="G190" s="430">
        <v>9.89</v>
      </c>
      <c r="H190" s="430">
        <v>9.1</v>
      </c>
      <c r="I190" s="436">
        <v>10543.1</v>
      </c>
      <c r="J190" s="437">
        <v>8.6999999999999993</v>
      </c>
      <c r="K190" s="428" t="s">
        <v>9</v>
      </c>
      <c r="L190" s="435" t="str">
        <f t="shared" si="9"/>
        <v/>
      </c>
      <c r="M190" s="66">
        <f>(SUM(J184:J228)/100)-(J219/100)</f>
        <v>0.21259999999999998</v>
      </c>
      <c r="N190" s="34"/>
      <c r="O190" s="78"/>
      <c r="P190" s="78"/>
      <c r="Q190" s="78"/>
      <c r="R190" s="36">
        <f t="shared" si="6"/>
        <v>24643.195363520266</v>
      </c>
      <c r="S190" s="37">
        <f t="shared" si="1"/>
        <v>1972.3624623976648</v>
      </c>
      <c r="T190" s="37"/>
      <c r="X190" s="232">
        <f t="shared" si="10"/>
        <v>-14573.83</v>
      </c>
      <c r="Y190" s="42">
        <f t="shared" si="11"/>
        <v>44102</v>
      </c>
    </row>
    <row r="191" spans="1:25" ht="14.5">
      <c r="A191" s="47">
        <v>44018</v>
      </c>
      <c r="B191" s="48" t="s">
        <v>47</v>
      </c>
      <c r="C191" s="49" t="s">
        <v>69</v>
      </c>
      <c r="D191" s="54" t="s">
        <v>72</v>
      </c>
      <c r="E191" s="49" t="s">
        <v>71</v>
      </c>
      <c r="F191" s="50">
        <v>39000</v>
      </c>
      <c r="G191" s="51">
        <v>3.3</v>
      </c>
      <c r="H191" s="51">
        <v>0</v>
      </c>
      <c r="I191" s="52">
        <v>0</v>
      </c>
      <c r="J191" s="53">
        <v>0</v>
      </c>
      <c r="K191" s="54" t="s">
        <v>9</v>
      </c>
      <c r="L191" s="174">
        <f t="shared" si="9"/>
        <v>128751.8275</v>
      </c>
      <c r="M191" s="388"/>
      <c r="N191" s="68"/>
      <c r="O191" s="78"/>
      <c r="P191" s="78"/>
      <c r="Q191" s="78"/>
      <c r="R191" s="36">
        <f t="shared" si="6"/>
        <v>24643.195363520266</v>
      </c>
      <c r="S191" s="37" t="str">
        <f t="shared" si="1"/>
        <v/>
      </c>
      <c r="T191" s="37"/>
      <c r="X191" s="39" t="str">
        <f t="shared" si="10"/>
        <v/>
      </c>
      <c r="Y191" s="42" t="str">
        <f t="shared" si="11"/>
        <v/>
      </c>
    </row>
    <row r="192" spans="1:25" ht="14.5">
      <c r="A192" s="47">
        <v>44019</v>
      </c>
      <c r="B192" s="48" t="s">
        <v>48</v>
      </c>
      <c r="C192" s="49" t="s">
        <v>69</v>
      </c>
      <c r="D192" s="54" t="s">
        <v>72</v>
      </c>
      <c r="E192" s="49" t="s">
        <v>71</v>
      </c>
      <c r="F192" s="50">
        <v>39000</v>
      </c>
      <c r="G192" s="51">
        <v>3.26</v>
      </c>
      <c r="H192" s="51">
        <v>3.3</v>
      </c>
      <c r="I192" s="52">
        <v>-1267.97</v>
      </c>
      <c r="J192" s="53">
        <v>-0.98000000000000009</v>
      </c>
      <c r="K192" s="54" t="s">
        <v>9</v>
      </c>
      <c r="L192" s="174" t="str">
        <f t="shared" si="9"/>
        <v/>
      </c>
      <c r="M192" s="78"/>
      <c r="N192" s="68"/>
      <c r="O192" s="78"/>
      <c r="P192" s="78"/>
      <c r="Q192" s="78"/>
      <c r="R192" s="36">
        <f t="shared" si="6"/>
        <v>24401.692048957768</v>
      </c>
      <c r="S192" s="37">
        <f t="shared" si="1"/>
        <v>-241.50331456249842</v>
      </c>
      <c r="T192" s="37"/>
      <c r="X192" s="232">
        <f t="shared" si="10"/>
        <v>1504.76</v>
      </c>
      <c r="Y192" s="42">
        <f t="shared" si="11"/>
        <v>44109</v>
      </c>
    </row>
    <row r="193" spans="1:25" ht="14.5">
      <c r="A193" s="438">
        <v>44019</v>
      </c>
      <c r="B193" s="589" t="s">
        <v>47</v>
      </c>
      <c r="C193" s="590" t="s">
        <v>69</v>
      </c>
      <c r="D193" s="591" t="s">
        <v>70</v>
      </c>
      <c r="E193" s="590" t="s">
        <v>71</v>
      </c>
      <c r="F193" s="592">
        <v>13100</v>
      </c>
      <c r="G193" s="593">
        <v>9.77</v>
      </c>
      <c r="H193" s="593">
        <v>0</v>
      </c>
      <c r="I193" s="594">
        <v>0</v>
      </c>
      <c r="J193" s="595">
        <v>0</v>
      </c>
      <c r="K193" s="591" t="s">
        <v>9</v>
      </c>
      <c r="L193" s="439">
        <f t="shared" si="9"/>
        <v>128038.59577499999</v>
      </c>
      <c r="M193" s="78"/>
      <c r="N193" s="68"/>
      <c r="O193" s="78"/>
      <c r="P193" s="78"/>
      <c r="Q193" s="78"/>
      <c r="R193" s="36">
        <f t="shared" si="6"/>
        <v>24401.692048957768</v>
      </c>
      <c r="S193" s="37" t="str">
        <f t="shared" si="1"/>
        <v/>
      </c>
      <c r="T193" s="37"/>
      <c r="X193" s="39" t="str">
        <f t="shared" si="10"/>
        <v/>
      </c>
      <c r="Y193" s="42" t="str">
        <f t="shared" si="11"/>
        <v/>
      </c>
    </row>
    <row r="194" spans="1:25" ht="14.5">
      <c r="A194" s="440">
        <v>44020</v>
      </c>
      <c r="B194" s="441" t="s">
        <v>48</v>
      </c>
      <c r="C194" s="442" t="s">
        <v>69</v>
      </c>
      <c r="D194" s="443" t="s">
        <v>70</v>
      </c>
      <c r="E194" s="442" t="s">
        <v>71</v>
      </c>
      <c r="F194" s="444">
        <v>13100</v>
      </c>
      <c r="G194" s="445">
        <v>9.8699999999999992</v>
      </c>
      <c r="H194" s="445">
        <v>9.77</v>
      </c>
      <c r="I194" s="446">
        <v>1342.65</v>
      </c>
      <c r="J194" s="447">
        <v>1.04</v>
      </c>
      <c r="K194" s="443" t="s">
        <v>9</v>
      </c>
      <c r="L194" s="596" t="str">
        <f t="shared" si="9"/>
        <v/>
      </c>
      <c r="M194" s="78"/>
      <c r="N194" s="68"/>
      <c r="O194" s="78"/>
      <c r="P194" s="78"/>
      <c r="Q194" s="78"/>
      <c r="R194" s="36">
        <f t="shared" si="6"/>
        <v>24655.469646266927</v>
      </c>
      <c r="S194" s="37">
        <f t="shared" si="1"/>
        <v>253.77759730915932</v>
      </c>
      <c r="T194" s="37"/>
      <c r="X194" s="232">
        <f t="shared" si="10"/>
        <v>-4066.31</v>
      </c>
      <c r="Y194" s="42">
        <f t="shared" si="11"/>
        <v>44111</v>
      </c>
    </row>
    <row r="195" spans="1:25" ht="14.5">
      <c r="A195" s="79">
        <v>44020</v>
      </c>
      <c r="B195" s="80" t="s">
        <v>47</v>
      </c>
      <c r="C195" s="81" t="s">
        <v>69</v>
      </c>
      <c r="D195" s="82" t="s">
        <v>75</v>
      </c>
      <c r="E195" s="81" t="s">
        <v>71</v>
      </c>
      <c r="F195" s="83">
        <v>20100</v>
      </c>
      <c r="G195" s="84">
        <v>6.4</v>
      </c>
      <c r="H195" s="84">
        <v>0</v>
      </c>
      <c r="I195" s="85">
        <v>0</v>
      </c>
      <c r="J195" s="86">
        <v>0</v>
      </c>
      <c r="K195" s="82" t="s">
        <v>9</v>
      </c>
      <c r="L195" s="87">
        <f t="shared" ref="L195:L258" si="12">IF(B195="Compra",(F195*G195)+10+(F195*G195*0.000325),"")</f>
        <v>128691.808</v>
      </c>
      <c r="M195" s="78"/>
      <c r="N195" s="68"/>
      <c r="O195" s="78"/>
      <c r="P195" s="78"/>
      <c r="Q195" s="78"/>
      <c r="R195" s="36">
        <f t="shared" si="6"/>
        <v>24655.469646266927</v>
      </c>
      <c r="S195" s="37" t="str">
        <f t="shared" si="1"/>
        <v/>
      </c>
      <c r="T195" s="37"/>
      <c r="X195" s="39" t="str">
        <f t="shared" si="10"/>
        <v/>
      </c>
      <c r="Y195" s="42" t="str">
        <f t="shared" si="11"/>
        <v/>
      </c>
    </row>
    <row r="196" spans="1:25" ht="14.5">
      <c r="A196" s="79">
        <v>44021</v>
      </c>
      <c r="B196" s="80" t="s">
        <v>48</v>
      </c>
      <c r="C196" s="81" t="s">
        <v>69</v>
      </c>
      <c r="D196" s="82" t="s">
        <v>75</v>
      </c>
      <c r="E196" s="81" t="s">
        <v>71</v>
      </c>
      <c r="F196" s="83">
        <v>20100</v>
      </c>
      <c r="G196" s="84">
        <v>6.46</v>
      </c>
      <c r="H196" s="84">
        <v>6.4</v>
      </c>
      <c r="I196" s="85">
        <v>1308.2600000000002</v>
      </c>
      <c r="J196" s="86">
        <v>1.01</v>
      </c>
      <c r="K196" s="82" t="s">
        <v>9</v>
      </c>
      <c r="L196" s="87" t="str">
        <f t="shared" si="12"/>
        <v/>
      </c>
      <c r="M196" s="78"/>
      <c r="N196" s="68"/>
      <c r="O196" s="78"/>
      <c r="P196" s="78"/>
      <c r="Q196" s="78"/>
      <c r="R196" s="36">
        <f t="shared" si="6"/>
        <v>24904.489889694221</v>
      </c>
      <c r="S196" s="37">
        <f t="shared" si="1"/>
        <v>249.02024342729419</v>
      </c>
      <c r="T196" s="37"/>
      <c r="X196" s="232">
        <f t="shared" si="10"/>
        <v>1394.3</v>
      </c>
      <c r="Y196" s="42">
        <f t="shared" si="11"/>
        <v>44112</v>
      </c>
    </row>
    <row r="197" spans="1:25" ht="14.5">
      <c r="A197" s="438">
        <v>44021</v>
      </c>
      <c r="B197" s="589" t="s">
        <v>47</v>
      </c>
      <c r="C197" s="590" t="s">
        <v>69</v>
      </c>
      <c r="D197" s="591" t="s">
        <v>70</v>
      </c>
      <c r="E197" s="590" t="s">
        <v>71</v>
      </c>
      <c r="F197" s="592">
        <v>13800</v>
      </c>
      <c r="G197" s="593">
        <v>9.44</v>
      </c>
      <c r="H197" s="593">
        <v>0</v>
      </c>
      <c r="I197" s="594">
        <v>0</v>
      </c>
      <c r="J197" s="595">
        <v>0</v>
      </c>
      <c r="K197" s="591" t="s">
        <v>9</v>
      </c>
      <c r="L197" s="439">
        <f t="shared" si="12"/>
        <v>130324.33839999999</v>
      </c>
      <c r="M197" s="78"/>
      <c r="N197" s="68"/>
      <c r="O197" s="78"/>
      <c r="P197" s="78"/>
      <c r="Q197" s="78"/>
      <c r="R197" s="36">
        <f t="shared" si="6"/>
        <v>24904.489889694221</v>
      </c>
      <c r="S197" s="37" t="str">
        <f t="shared" si="1"/>
        <v/>
      </c>
      <c r="T197" s="37"/>
      <c r="X197" s="39" t="str">
        <f t="shared" si="10"/>
        <v/>
      </c>
      <c r="Y197" s="42" t="str">
        <f t="shared" si="11"/>
        <v/>
      </c>
    </row>
    <row r="198" spans="1:25" ht="14.5">
      <c r="A198" s="440">
        <v>44022</v>
      </c>
      <c r="B198" s="441" t="s">
        <v>48</v>
      </c>
      <c r="C198" s="442" t="s">
        <v>69</v>
      </c>
      <c r="D198" s="443" t="s">
        <v>70</v>
      </c>
      <c r="E198" s="442" t="s">
        <v>71</v>
      </c>
      <c r="F198" s="444">
        <v>13800</v>
      </c>
      <c r="G198" s="445">
        <v>9.5399999999999991</v>
      </c>
      <c r="H198" s="445">
        <v>9.44</v>
      </c>
      <c r="I198" s="446">
        <v>1418.23</v>
      </c>
      <c r="J198" s="447">
        <v>1.08</v>
      </c>
      <c r="K198" s="443" t="s">
        <v>9</v>
      </c>
      <c r="L198" s="596" t="str">
        <f t="shared" si="12"/>
        <v/>
      </c>
      <c r="M198" s="383"/>
      <c r="N198" s="68"/>
      <c r="O198" s="78"/>
      <c r="P198" s="78"/>
      <c r="Q198" s="78"/>
      <c r="R198" s="36">
        <f t="shared" si="6"/>
        <v>25173.458380502918</v>
      </c>
      <c r="S198" s="37">
        <f t="shared" si="1"/>
        <v>268.96849080869652</v>
      </c>
      <c r="T198" s="37"/>
      <c r="X198" s="232">
        <f t="shared" si="10"/>
        <v>1249.94</v>
      </c>
      <c r="Y198" s="42">
        <f t="shared" si="11"/>
        <v>44113</v>
      </c>
    </row>
    <row r="199" spans="1:25" ht="14.5">
      <c r="A199" s="79">
        <v>44022</v>
      </c>
      <c r="B199" s="80" t="s">
        <v>47</v>
      </c>
      <c r="C199" s="81" t="s">
        <v>69</v>
      </c>
      <c r="D199" s="82" t="s">
        <v>75</v>
      </c>
      <c r="E199" s="81" t="s">
        <v>71</v>
      </c>
      <c r="F199" s="83">
        <v>20300</v>
      </c>
      <c r="G199" s="84">
        <v>6.42</v>
      </c>
      <c r="H199" s="84">
        <v>0</v>
      </c>
      <c r="I199" s="85">
        <v>0</v>
      </c>
      <c r="J199" s="86">
        <v>0</v>
      </c>
      <c r="K199" s="82" t="s">
        <v>9</v>
      </c>
      <c r="L199" s="87">
        <f t="shared" si="12"/>
        <v>130378.35595</v>
      </c>
      <c r="M199" s="78"/>
      <c r="N199" s="34"/>
      <c r="O199" s="78"/>
      <c r="P199" s="78"/>
      <c r="Q199" s="78"/>
      <c r="R199" s="36">
        <f t="shared" si="6"/>
        <v>25173.458380502918</v>
      </c>
      <c r="S199" s="37" t="str">
        <f t="shared" si="1"/>
        <v/>
      </c>
      <c r="T199" s="37"/>
      <c r="X199" s="39" t="str">
        <f t="shared" si="10"/>
        <v/>
      </c>
      <c r="Y199" s="42" t="str">
        <f t="shared" si="11"/>
        <v/>
      </c>
    </row>
    <row r="200" spans="1:25" ht="14.5">
      <c r="A200" s="79">
        <v>44025</v>
      </c>
      <c r="B200" s="80" t="s">
        <v>48</v>
      </c>
      <c r="C200" s="81" t="s">
        <v>69</v>
      </c>
      <c r="D200" s="82" t="s">
        <v>75</v>
      </c>
      <c r="E200" s="81" t="s">
        <v>71</v>
      </c>
      <c r="F200" s="83">
        <v>20300</v>
      </c>
      <c r="G200" s="84">
        <v>6.48</v>
      </c>
      <c r="H200" s="84">
        <v>6.42</v>
      </c>
      <c r="I200" s="85">
        <v>1321.23</v>
      </c>
      <c r="J200" s="86">
        <v>1.01</v>
      </c>
      <c r="K200" s="82" t="s">
        <v>9</v>
      </c>
      <c r="L200" s="87" t="str">
        <f t="shared" si="12"/>
        <v/>
      </c>
      <c r="M200" s="78"/>
      <c r="N200" s="34"/>
      <c r="O200" s="78"/>
      <c r="P200" s="78"/>
      <c r="Q200" s="78"/>
      <c r="R200" s="36">
        <f t="shared" si="6"/>
        <v>25427.710310145998</v>
      </c>
      <c r="S200" s="37">
        <f t="shared" si="1"/>
        <v>254.25192964308008</v>
      </c>
      <c r="T200" s="37"/>
      <c r="X200" s="232">
        <f t="shared" si="10"/>
        <v>1249.3699999999999</v>
      </c>
      <c r="Y200" s="42">
        <f t="shared" si="11"/>
        <v>44117</v>
      </c>
    </row>
    <row r="201" spans="1:25" ht="14.5">
      <c r="A201" s="438">
        <v>44025</v>
      </c>
      <c r="B201" s="589" t="s">
        <v>47</v>
      </c>
      <c r="C201" s="590" t="s">
        <v>69</v>
      </c>
      <c r="D201" s="591" t="s">
        <v>70</v>
      </c>
      <c r="E201" s="590" t="s">
        <v>71</v>
      </c>
      <c r="F201" s="592">
        <v>13600</v>
      </c>
      <c r="G201" s="593">
        <v>9.4499999999999993</v>
      </c>
      <c r="H201" s="593">
        <v>0</v>
      </c>
      <c r="I201" s="594">
        <v>0</v>
      </c>
      <c r="J201" s="595">
        <v>0</v>
      </c>
      <c r="K201" s="591" t="s">
        <v>9</v>
      </c>
      <c r="L201" s="439">
        <f t="shared" si="12"/>
        <v>128571.76899999999</v>
      </c>
      <c r="M201" s="78"/>
      <c r="N201" s="34"/>
      <c r="O201" s="78"/>
      <c r="P201" s="78"/>
      <c r="Q201" s="78"/>
      <c r="R201" s="36">
        <f t="shared" si="6"/>
        <v>25427.710310145998</v>
      </c>
      <c r="S201" s="37" t="str">
        <f t="shared" si="1"/>
        <v/>
      </c>
      <c r="T201" s="37"/>
      <c r="X201" s="39" t="str">
        <f t="shared" si="10"/>
        <v/>
      </c>
      <c r="Y201" s="42" t="str">
        <f t="shared" si="11"/>
        <v/>
      </c>
    </row>
    <row r="202" spans="1:25" ht="14.5">
      <c r="A202" s="440">
        <v>44026</v>
      </c>
      <c r="B202" s="441" t="s">
        <v>48</v>
      </c>
      <c r="C202" s="442" t="s">
        <v>69</v>
      </c>
      <c r="D202" s="443" t="s">
        <v>70</v>
      </c>
      <c r="E202" s="442" t="s">
        <v>71</v>
      </c>
      <c r="F202" s="444">
        <v>13600</v>
      </c>
      <c r="G202" s="445">
        <v>9.5500000000000007</v>
      </c>
      <c r="H202" s="445">
        <v>9.4499999999999993</v>
      </c>
      <c r="I202" s="446">
        <v>1397.31</v>
      </c>
      <c r="J202" s="447">
        <v>1.08</v>
      </c>
      <c r="K202" s="443" t="s">
        <v>9</v>
      </c>
      <c r="L202" s="596" t="str">
        <f t="shared" si="12"/>
        <v/>
      </c>
      <c r="M202" s="78"/>
      <c r="N202" s="34"/>
      <c r="O202" s="78"/>
      <c r="P202" s="78"/>
      <c r="Q202" s="78"/>
      <c r="R202" s="36">
        <f t="shared" si="6"/>
        <v>25702.329581495571</v>
      </c>
      <c r="S202" s="37">
        <f t="shared" si="1"/>
        <v>274.61927134957295</v>
      </c>
      <c r="T202" s="37"/>
      <c r="X202" s="232">
        <f t="shared" si="10"/>
        <v>1326.1</v>
      </c>
      <c r="Y202" s="42">
        <f t="shared" si="11"/>
        <v>44118</v>
      </c>
    </row>
    <row r="203" spans="1:25" ht="14.5">
      <c r="A203" s="201">
        <v>44026</v>
      </c>
      <c r="B203" s="283" t="s">
        <v>47</v>
      </c>
      <c r="C203" s="203" t="s">
        <v>69</v>
      </c>
      <c r="D203" s="205" t="s">
        <v>98</v>
      </c>
      <c r="E203" s="203" t="s">
        <v>71</v>
      </c>
      <c r="F203" s="205">
        <v>15200</v>
      </c>
      <c r="G203" s="206">
        <v>8.6199999999999992</v>
      </c>
      <c r="H203" s="206">
        <v>0</v>
      </c>
      <c r="I203" s="207">
        <v>0</v>
      </c>
      <c r="J203" s="208">
        <v>0</v>
      </c>
      <c r="K203" s="204" t="s">
        <v>9</v>
      </c>
      <c r="L203" s="210">
        <f t="shared" si="12"/>
        <v>131076.58279999997</v>
      </c>
      <c r="M203" s="78"/>
      <c r="N203" s="34"/>
      <c r="O203" s="78"/>
      <c r="P203" s="78"/>
      <c r="Q203" s="78"/>
      <c r="R203" s="36">
        <f t="shared" si="6"/>
        <v>25702.329581495571</v>
      </c>
      <c r="S203" s="37" t="str">
        <f t="shared" si="1"/>
        <v/>
      </c>
      <c r="T203" s="37"/>
      <c r="X203" s="39" t="str">
        <f t="shared" si="10"/>
        <v/>
      </c>
      <c r="Y203" s="42" t="str">
        <f t="shared" si="11"/>
        <v/>
      </c>
    </row>
    <row r="204" spans="1:25" ht="14.5">
      <c r="A204" s="201">
        <v>44027</v>
      </c>
      <c r="B204" s="283" t="s">
        <v>48</v>
      </c>
      <c r="C204" s="203" t="s">
        <v>69</v>
      </c>
      <c r="D204" s="205" t="s">
        <v>98</v>
      </c>
      <c r="E204" s="203" t="s">
        <v>71</v>
      </c>
      <c r="F204" s="205">
        <v>15200</v>
      </c>
      <c r="G204" s="206">
        <v>8.84</v>
      </c>
      <c r="H204" s="206">
        <v>8.6199999999999992</v>
      </c>
      <c r="I204" s="207">
        <v>3395.17</v>
      </c>
      <c r="J204" s="208">
        <v>2.59</v>
      </c>
      <c r="K204" s="204" t="s">
        <v>9</v>
      </c>
      <c r="L204" s="210" t="str">
        <f t="shared" si="12"/>
        <v/>
      </c>
      <c r="M204" s="78"/>
      <c r="N204" s="34"/>
      <c r="O204" s="78"/>
      <c r="P204" s="78"/>
      <c r="Q204" s="78"/>
      <c r="R204" s="36">
        <f t="shared" si="6"/>
        <v>26368.019917656307</v>
      </c>
      <c r="S204" s="37">
        <f t="shared" si="1"/>
        <v>665.69033616073648</v>
      </c>
      <c r="T204" s="37"/>
      <c r="X204" s="232">
        <f t="shared" si="10"/>
        <v>-3406.69</v>
      </c>
      <c r="Y204" s="42">
        <f t="shared" si="11"/>
        <v>44119</v>
      </c>
    </row>
    <row r="205" spans="1:25" ht="14.5">
      <c r="A205" s="438">
        <v>44027</v>
      </c>
      <c r="B205" s="589" t="s">
        <v>47</v>
      </c>
      <c r="C205" s="590" t="s">
        <v>69</v>
      </c>
      <c r="D205" s="591" t="s">
        <v>70</v>
      </c>
      <c r="E205" s="590" t="s">
        <v>71</v>
      </c>
      <c r="F205" s="592">
        <v>12800</v>
      </c>
      <c r="G205" s="593">
        <v>10.51</v>
      </c>
      <c r="H205" s="593">
        <v>0</v>
      </c>
      <c r="I205" s="594">
        <v>0</v>
      </c>
      <c r="J205" s="595">
        <v>0</v>
      </c>
      <c r="K205" s="591" t="s">
        <v>9</v>
      </c>
      <c r="L205" s="439">
        <f t="shared" si="12"/>
        <v>134581.72159999999</v>
      </c>
      <c r="M205" s="78"/>
      <c r="N205" s="34"/>
      <c r="O205" s="78"/>
      <c r="P205" s="78"/>
      <c r="Q205" s="78"/>
      <c r="R205" s="36">
        <f t="shared" si="6"/>
        <v>26368.019917656307</v>
      </c>
      <c r="S205" s="37" t="str">
        <f t="shared" si="1"/>
        <v/>
      </c>
      <c r="T205" s="37"/>
      <c r="X205" s="39" t="str">
        <f t="shared" si="10"/>
        <v/>
      </c>
      <c r="Y205" s="42" t="str">
        <f t="shared" si="11"/>
        <v/>
      </c>
    </row>
    <row r="206" spans="1:25" ht="14.5">
      <c r="A206" s="440">
        <v>44029</v>
      </c>
      <c r="B206" s="441" t="s">
        <v>48</v>
      </c>
      <c r="C206" s="442" t="s">
        <v>69</v>
      </c>
      <c r="D206" s="443" t="s">
        <v>70</v>
      </c>
      <c r="E206" s="442" t="s">
        <v>71</v>
      </c>
      <c r="F206" s="444">
        <v>12800</v>
      </c>
      <c r="G206" s="445">
        <v>9.86</v>
      </c>
      <c r="H206" s="445">
        <v>10.51</v>
      </c>
      <c r="I206" s="446">
        <v>-8291.39</v>
      </c>
      <c r="J206" s="447">
        <v>-6.16</v>
      </c>
      <c r="K206" s="443" t="s">
        <v>9</v>
      </c>
      <c r="L206" s="596" t="str">
        <f t="shared" si="12"/>
        <v/>
      </c>
      <c r="M206" s="78"/>
      <c r="N206" s="68"/>
      <c r="O206" s="78"/>
      <c r="P206" s="78"/>
      <c r="Q206" s="78"/>
      <c r="R206" s="36">
        <f t="shared" si="6"/>
        <v>24743.749890728679</v>
      </c>
      <c r="S206" s="37">
        <f t="shared" si="1"/>
        <v>-1624.2700269276284</v>
      </c>
      <c r="T206" s="37"/>
      <c r="X206" s="232">
        <f t="shared" si="10"/>
        <v>-139.94999999999999</v>
      </c>
      <c r="Y206" s="42">
        <f t="shared" si="11"/>
        <v>44120</v>
      </c>
    </row>
    <row r="207" spans="1:25" ht="14.5">
      <c r="A207" s="201">
        <v>44029</v>
      </c>
      <c r="B207" s="283" t="s">
        <v>47</v>
      </c>
      <c r="C207" s="203" t="s">
        <v>69</v>
      </c>
      <c r="D207" s="205" t="s">
        <v>98</v>
      </c>
      <c r="E207" s="203" t="s">
        <v>71</v>
      </c>
      <c r="F207" s="205">
        <v>13400</v>
      </c>
      <c r="G207" s="206">
        <v>9.35</v>
      </c>
      <c r="H207" s="206">
        <v>0</v>
      </c>
      <c r="I207" s="207">
        <v>0</v>
      </c>
      <c r="J207" s="208">
        <v>0</v>
      </c>
      <c r="K207" s="204" t="s">
        <v>9</v>
      </c>
      <c r="L207" s="210">
        <f t="shared" si="12"/>
        <v>125340.71924999999</v>
      </c>
      <c r="M207" s="78"/>
      <c r="N207" s="34"/>
      <c r="O207" s="78"/>
      <c r="P207" s="78"/>
      <c r="Q207" s="78"/>
      <c r="R207" s="36">
        <f t="shared" si="6"/>
        <v>24743.749890728679</v>
      </c>
      <c r="S207" s="37" t="str">
        <f t="shared" si="1"/>
        <v/>
      </c>
      <c r="T207" s="37"/>
      <c r="X207" s="39" t="str">
        <f t="shared" si="10"/>
        <v/>
      </c>
      <c r="Y207" s="42" t="str">
        <f t="shared" si="11"/>
        <v/>
      </c>
    </row>
    <row r="208" spans="1:25" ht="14.5">
      <c r="A208" s="201">
        <v>44032</v>
      </c>
      <c r="B208" s="283" t="s">
        <v>48</v>
      </c>
      <c r="C208" s="203" t="s">
        <v>69</v>
      </c>
      <c r="D208" s="205" t="s">
        <v>98</v>
      </c>
      <c r="E208" s="203" t="s">
        <v>71</v>
      </c>
      <c r="F208" s="205">
        <v>13400</v>
      </c>
      <c r="G208" s="206">
        <v>9.4499999999999993</v>
      </c>
      <c r="H208" s="206">
        <v>9.35</v>
      </c>
      <c r="I208" s="207">
        <v>1377.29</v>
      </c>
      <c r="J208" s="208">
        <v>1.0900000000000001</v>
      </c>
      <c r="K208" s="204" t="s">
        <v>9</v>
      </c>
      <c r="L208" s="210" t="str">
        <f t="shared" si="12"/>
        <v/>
      </c>
      <c r="M208" s="78"/>
      <c r="N208" s="34"/>
      <c r="O208" s="78"/>
      <c r="P208" s="78"/>
      <c r="Q208" s="78"/>
      <c r="R208" s="36">
        <f t="shared" si="6"/>
        <v>25013.456764537619</v>
      </c>
      <c r="S208" s="37">
        <f t="shared" si="1"/>
        <v>269.70687380894014</v>
      </c>
      <c r="T208" s="37"/>
      <c r="X208" s="232">
        <f t="shared" si="10"/>
        <v>1207.31</v>
      </c>
      <c r="Y208" s="42">
        <f t="shared" si="11"/>
        <v>44124</v>
      </c>
    </row>
    <row r="209" spans="1:25" ht="14.5">
      <c r="A209" s="211">
        <v>44032</v>
      </c>
      <c r="B209" s="212" t="s">
        <v>47</v>
      </c>
      <c r="C209" s="213" t="s">
        <v>69</v>
      </c>
      <c r="D209" s="214" t="s">
        <v>99</v>
      </c>
      <c r="E209" s="213" t="s">
        <v>71</v>
      </c>
      <c r="F209" s="215">
        <v>1400</v>
      </c>
      <c r="G209" s="216">
        <v>92.53</v>
      </c>
      <c r="H209" s="216">
        <v>0</v>
      </c>
      <c r="I209" s="217">
        <v>0</v>
      </c>
      <c r="J209" s="218">
        <v>0</v>
      </c>
      <c r="K209" s="214" t="s">
        <v>9</v>
      </c>
      <c r="L209" s="219">
        <f t="shared" si="12"/>
        <v>129594.10115</v>
      </c>
      <c r="M209" s="78"/>
      <c r="N209" s="34"/>
      <c r="O209" s="78"/>
      <c r="P209" s="78"/>
      <c r="Q209" s="78"/>
      <c r="R209" s="36">
        <f t="shared" si="6"/>
        <v>25013.456764537619</v>
      </c>
      <c r="S209" s="37" t="str">
        <f t="shared" si="1"/>
        <v/>
      </c>
      <c r="T209" s="37"/>
      <c r="X209" s="39" t="str">
        <f t="shared" si="10"/>
        <v/>
      </c>
      <c r="Y209" s="42" t="str">
        <f t="shared" si="11"/>
        <v/>
      </c>
    </row>
    <row r="210" spans="1:25" ht="14.5">
      <c r="A210" s="211">
        <v>44033</v>
      </c>
      <c r="B210" s="212" t="s">
        <v>48</v>
      </c>
      <c r="C210" s="213" t="s">
        <v>69</v>
      </c>
      <c r="D210" s="214" t="s">
        <v>99</v>
      </c>
      <c r="E210" s="213" t="s">
        <v>71</v>
      </c>
      <c r="F210" s="215">
        <v>1400</v>
      </c>
      <c r="G210" s="216">
        <v>93.54</v>
      </c>
      <c r="H210" s="216">
        <v>92.54</v>
      </c>
      <c r="I210" s="217">
        <v>1412.71</v>
      </c>
      <c r="J210" s="218">
        <v>1.0900000000000001</v>
      </c>
      <c r="K210" s="214" t="s">
        <v>9</v>
      </c>
      <c r="L210" s="219" t="str">
        <f t="shared" si="12"/>
        <v/>
      </c>
      <c r="M210" s="78"/>
      <c r="N210" s="34"/>
      <c r="O210" s="78"/>
      <c r="P210" s="78"/>
      <c r="Q210" s="78"/>
      <c r="R210" s="36">
        <f t="shared" si="6"/>
        <v>25286.103443271077</v>
      </c>
      <c r="S210" s="37">
        <f t="shared" si="1"/>
        <v>272.64667873345752</v>
      </c>
      <c r="T210" s="37"/>
      <c r="X210" s="232">
        <f t="shared" si="10"/>
        <v>1238.8900000000001</v>
      </c>
      <c r="Y210" s="42">
        <f t="shared" si="11"/>
        <v>44125</v>
      </c>
    </row>
    <row r="211" spans="1:25" ht="14.5">
      <c r="A211" s="201">
        <v>44033</v>
      </c>
      <c r="B211" s="283" t="s">
        <v>47</v>
      </c>
      <c r="C211" s="203" t="s">
        <v>69</v>
      </c>
      <c r="D211" s="205" t="s">
        <v>98</v>
      </c>
      <c r="E211" s="203" t="s">
        <v>71</v>
      </c>
      <c r="F211" s="205">
        <v>13900</v>
      </c>
      <c r="G211" s="206">
        <v>9.4</v>
      </c>
      <c r="H211" s="206">
        <v>0</v>
      </c>
      <c r="I211" s="207">
        <v>0</v>
      </c>
      <c r="J211" s="208">
        <v>0</v>
      </c>
      <c r="K211" s="204" t="s">
        <v>9</v>
      </c>
      <c r="L211" s="210">
        <f t="shared" si="12"/>
        <v>130712.4645</v>
      </c>
      <c r="M211" s="78"/>
      <c r="N211" s="34"/>
      <c r="O211" s="78"/>
      <c r="P211" s="78"/>
      <c r="Q211" s="78"/>
      <c r="R211" s="36">
        <f t="shared" si="6"/>
        <v>25286.103443271077</v>
      </c>
      <c r="S211" s="37" t="str">
        <f t="shared" si="1"/>
        <v/>
      </c>
      <c r="T211" s="37"/>
      <c r="X211" s="39" t="str">
        <f t="shared" si="10"/>
        <v/>
      </c>
      <c r="Y211" s="42" t="str">
        <f t="shared" si="11"/>
        <v/>
      </c>
    </row>
    <row r="212" spans="1:25" ht="14.5">
      <c r="A212" s="201">
        <v>44034</v>
      </c>
      <c r="B212" s="283" t="s">
        <v>48</v>
      </c>
      <c r="C212" s="203" t="s">
        <v>69</v>
      </c>
      <c r="D212" s="205" t="s">
        <v>98</v>
      </c>
      <c r="E212" s="203" t="s">
        <v>71</v>
      </c>
      <c r="F212" s="205">
        <v>13900</v>
      </c>
      <c r="G212" s="206">
        <v>9.18</v>
      </c>
      <c r="H212" s="206">
        <v>9.4</v>
      </c>
      <c r="I212" s="207">
        <v>-3017.64</v>
      </c>
      <c r="J212" s="208">
        <v>-2.2999999999999998</v>
      </c>
      <c r="K212" s="204" t="s">
        <v>9</v>
      </c>
      <c r="L212" s="210" t="str">
        <f t="shared" si="12"/>
        <v/>
      </c>
      <c r="M212" s="78"/>
      <c r="N212" s="34"/>
      <c r="O212" s="78"/>
      <c r="P212" s="78"/>
      <c r="Q212" s="78"/>
      <c r="R212" s="36">
        <f t="shared" si="6"/>
        <v>24704.523064075842</v>
      </c>
      <c r="S212" s="37">
        <f t="shared" si="1"/>
        <v>-581.58037919523485</v>
      </c>
      <c r="T212" s="37"/>
      <c r="X212" s="232">
        <f t="shared" si="10"/>
        <v>1229.9000000000001</v>
      </c>
      <c r="Y212" s="42">
        <f t="shared" si="11"/>
        <v>44126</v>
      </c>
    </row>
    <row r="213" spans="1:25" ht="14.5">
      <c r="A213" s="127">
        <v>44034</v>
      </c>
      <c r="B213" s="128" t="s">
        <v>47</v>
      </c>
      <c r="C213" s="129" t="s">
        <v>69</v>
      </c>
      <c r="D213" s="130" t="s">
        <v>78</v>
      </c>
      <c r="E213" s="129" t="s">
        <v>71</v>
      </c>
      <c r="F213" s="130">
        <v>6000</v>
      </c>
      <c r="G213" s="131">
        <v>21.29</v>
      </c>
      <c r="H213" s="131">
        <v>0</v>
      </c>
      <c r="I213" s="132">
        <v>0</v>
      </c>
      <c r="J213" s="133">
        <v>0</v>
      </c>
      <c r="K213" s="134" t="s">
        <v>9</v>
      </c>
      <c r="L213" s="135">
        <f t="shared" si="12"/>
        <v>127791.51549999999</v>
      </c>
      <c r="M213" s="78"/>
      <c r="N213" s="34"/>
      <c r="O213" s="78"/>
      <c r="P213" s="78"/>
      <c r="Q213" s="78"/>
      <c r="R213" s="36">
        <f t="shared" si="6"/>
        <v>24704.523064075842</v>
      </c>
      <c r="S213" s="37" t="str">
        <f t="shared" si="1"/>
        <v/>
      </c>
      <c r="T213" s="37"/>
      <c r="X213" s="39" t="str">
        <f t="shared" si="10"/>
        <v/>
      </c>
      <c r="Y213" s="42" t="str">
        <f t="shared" si="11"/>
        <v/>
      </c>
    </row>
    <row r="214" spans="1:25" ht="14.5">
      <c r="A214" s="127">
        <v>44035</v>
      </c>
      <c r="B214" s="128" t="s">
        <v>48</v>
      </c>
      <c r="C214" s="129" t="s">
        <v>69</v>
      </c>
      <c r="D214" s="134" t="s">
        <v>78</v>
      </c>
      <c r="E214" s="129" t="s">
        <v>71</v>
      </c>
      <c r="F214" s="130">
        <v>6000</v>
      </c>
      <c r="G214" s="131">
        <v>21.62</v>
      </c>
      <c r="H214" s="131">
        <v>21.3</v>
      </c>
      <c r="I214" s="132">
        <v>1941.62</v>
      </c>
      <c r="J214" s="133">
        <v>1.51</v>
      </c>
      <c r="K214" s="134" t="s">
        <v>9</v>
      </c>
      <c r="L214" s="135" t="str">
        <f t="shared" si="12"/>
        <v/>
      </c>
      <c r="M214" s="78"/>
      <c r="N214" s="68"/>
      <c r="O214" s="78"/>
      <c r="P214" s="78"/>
      <c r="Q214" s="78"/>
      <c r="R214" s="36">
        <f t="shared" si="6"/>
        <v>25077.561362343386</v>
      </c>
      <c r="S214" s="37">
        <f t="shared" si="1"/>
        <v>373.03829826754372</v>
      </c>
      <c r="T214" s="37"/>
      <c r="X214" s="232">
        <f t="shared" si="10"/>
        <v>-1584.34</v>
      </c>
      <c r="Y214" s="42">
        <f t="shared" si="11"/>
        <v>44127</v>
      </c>
    </row>
    <row r="215" spans="1:25" ht="14.5">
      <c r="A215" s="201">
        <v>44035</v>
      </c>
      <c r="B215" s="283" t="s">
        <v>47</v>
      </c>
      <c r="C215" s="203" t="s">
        <v>69</v>
      </c>
      <c r="D215" s="205" t="s">
        <v>100</v>
      </c>
      <c r="E215" s="203" t="s">
        <v>71</v>
      </c>
      <c r="F215" s="205">
        <v>7200</v>
      </c>
      <c r="G215" s="206">
        <v>18</v>
      </c>
      <c r="H215" s="206">
        <v>0</v>
      </c>
      <c r="I215" s="207">
        <v>0</v>
      </c>
      <c r="J215" s="208">
        <v>0</v>
      </c>
      <c r="K215" s="204" t="s">
        <v>9</v>
      </c>
      <c r="L215" s="210">
        <f t="shared" si="12"/>
        <v>129652.12</v>
      </c>
      <c r="M215" s="78"/>
      <c r="N215" s="34"/>
      <c r="O215" s="78"/>
      <c r="P215" s="78"/>
      <c r="Q215" s="78"/>
      <c r="R215" s="36">
        <f t="shared" si="6"/>
        <v>25077.561362343386</v>
      </c>
      <c r="S215" s="37" t="str">
        <f t="shared" si="1"/>
        <v/>
      </c>
      <c r="T215" s="37"/>
      <c r="X215" s="39" t="str">
        <f t="shared" si="10"/>
        <v/>
      </c>
      <c r="Y215" s="42" t="str">
        <f t="shared" si="11"/>
        <v/>
      </c>
    </row>
    <row r="216" spans="1:25" ht="14.5">
      <c r="A216" s="201">
        <v>44036</v>
      </c>
      <c r="B216" s="283" t="s">
        <v>48</v>
      </c>
      <c r="C216" s="203" t="s">
        <v>69</v>
      </c>
      <c r="D216" s="205" t="s">
        <v>100</v>
      </c>
      <c r="E216" s="203" t="s">
        <v>71</v>
      </c>
      <c r="F216" s="205">
        <v>7200</v>
      </c>
      <c r="G216" s="206">
        <v>18.190000000000001</v>
      </c>
      <c r="H216" s="206">
        <v>18.010000000000002</v>
      </c>
      <c r="I216" s="207">
        <v>1340.67</v>
      </c>
      <c r="J216" s="208">
        <v>1.03</v>
      </c>
      <c r="K216" s="204" t="s">
        <v>9</v>
      </c>
      <c r="L216" s="210" t="str">
        <f t="shared" si="12"/>
        <v/>
      </c>
      <c r="M216" s="78"/>
      <c r="N216" s="34"/>
      <c r="O216" s="78"/>
      <c r="P216" s="78"/>
      <c r="Q216" s="78"/>
      <c r="R216" s="36">
        <f t="shared" si="6"/>
        <v>25335.860244375523</v>
      </c>
      <c r="S216" s="37">
        <f t="shared" si="1"/>
        <v>258.29888203213704</v>
      </c>
      <c r="T216" s="37"/>
      <c r="X216" s="232">
        <f t="shared" si="10"/>
        <v>1257.6099999999999</v>
      </c>
      <c r="Y216" s="42">
        <f t="shared" si="11"/>
        <v>44130</v>
      </c>
    </row>
    <row r="217" spans="1:25" ht="14.5">
      <c r="A217" s="47">
        <v>44036</v>
      </c>
      <c r="B217" s="301" t="s">
        <v>47</v>
      </c>
      <c r="C217" s="49" t="s">
        <v>69</v>
      </c>
      <c r="D217" s="50" t="s">
        <v>101</v>
      </c>
      <c r="E217" s="49" t="s">
        <v>71</v>
      </c>
      <c r="F217" s="50">
        <v>2400</v>
      </c>
      <c r="G217" s="51">
        <v>54.51</v>
      </c>
      <c r="H217" s="51">
        <v>0</v>
      </c>
      <c r="I217" s="52">
        <v>0</v>
      </c>
      <c r="J217" s="53">
        <v>0</v>
      </c>
      <c r="K217" s="54" t="s">
        <v>9</v>
      </c>
      <c r="L217" s="174">
        <f t="shared" si="12"/>
        <v>130876.5178</v>
      </c>
      <c r="M217" s="78"/>
      <c r="N217" s="34"/>
      <c r="O217" s="78"/>
      <c r="P217" s="78"/>
      <c r="Q217" s="78"/>
      <c r="R217" s="36">
        <f t="shared" si="6"/>
        <v>25335.860244375523</v>
      </c>
      <c r="S217" s="37" t="str">
        <f t="shared" si="1"/>
        <v/>
      </c>
      <c r="T217" s="37"/>
      <c r="X217" s="39" t="str">
        <f t="shared" si="10"/>
        <v/>
      </c>
      <c r="Y217" s="42" t="str">
        <f t="shared" si="11"/>
        <v/>
      </c>
    </row>
    <row r="218" spans="1:25" ht="14.5">
      <c r="A218" s="47">
        <v>44039</v>
      </c>
      <c r="B218" s="301" t="s">
        <v>48</v>
      </c>
      <c r="C218" s="49" t="s">
        <v>69</v>
      </c>
      <c r="D218" s="50" t="s">
        <v>101</v>
      </c>
      <c r="E218" s="49" t="s">
        <v>71</v>
      </c>
      <c r="F218" s="50">
        <v>2400</v>
      </c>
      <c r="G218" s="51">
        <v>55.09</v>
      </c>
      <c r="H218" s="51">
        <v>54.51</v>
      </c>
      <c r="I218" s="52">
        <v>1411.93</v>
      </c>
      <c r="J218" s="53">
        <v>1.07</v>
      </c>
      <c r="K218" s="54" t="s">
        <v>9</v>
      </c>
      <c r="L218" s="174" t="str">
        <f t="shared" si="12"/>
        <v/>
      </c>
      <c r="M218" s="78"/>
      <c r="N218" s="34"/>
      <c r="O218" s="78"/>
      <c r="P218" s="78"/>
      <c r="Q218" s="78"/>
      <c r="R218" s="36">
        <f t="shared" si="6"/>
        <v>25606.95394899034</v>
      </c>
      <c r="S218" s="37">
        <f t="shared" si="1"/>
        <v>271.0937046148174</v>
      </c>
      <c r="T218" s="37"/>
      <c r="X218" s="232">
        <f t="shared" si="10"/>
        <v>5590.89</v>
      </c>
      <c r="Y218" s="42">
        <f t="shared" si="11"/>
        <v>44131</v>
      </c>
    </row>
    <row r="219" spans="1:25" ht="14.5">
      <c r="A219" s="165">
        <v>44039</v>
      </c>
      <c r="B219" s="166" t="s">
        <v>48</v>
      </c>
      <c r="C219" s="167" t="s">
        <v>69</v>
      </c>
      <c r="D219" s="168" t="s">
        <v>80</v>
      </c>
      <c r="E219" s="167" t="s">
        <v>71</v>
      </c>
      <c r="F219" s="169">
        <v>1100</v>
      </c>
      <c r="G219" s="170">
        <v>10.89</v>
      </c>
      <c r="H219" s="170">
        <v>9.02</v>
      </c>
      <c r="I219" s="171">
        <v>2062.48</v>
      </c>
      <c r="J219" s="172">
        <v>20.79</v>
      </c>
      <c r="K219" s="168" t="s">
        <v>9</v>
      </c>
      <c r="L219" s="173" t="str">
        <f t="shared" si="12"/>
        <v/>
      </c>
      <c r="M219" s="78"/>
      <c r="N219" s="34"/>
      <c r="O219" s="78"/>
      <c r="P219" s="78"/>
      <c r="Q219" s="78"/>
      <c r="R219" s="36">
        <f>R218</f>
        <v>25606.95394899034</v>
      </c>
      <c r="S219" s="37">
        <f>-(T183*0.15)</f>
        <v>-208.72690857190864</v>
      </c>
      <c r="T219" s="37" t="s">
        <v>102</v>
      </c>
      <c r="X219" s="39" t="str">
        <f t="shared" si="10"/>
        <v/>
      </c>
      <c r="Y219" s="42" t="str">
        <f t="shared" si="11"/>
        <v/>
      </c>
    </row>
    <row r="220" spans="1:25" ht="14.5">
      <c r="A220" s="201">
        <v>44039</v>
      </c>
      <c r="B220" s="283" t="s">
        <v>47</v>
      </c>
      <c r="C220" s="203" t="s">
        <v>69</v>
      </c>
      <c r="D220" s="205" t="s">
        <v>100</v>
      </c>
      <c r="E220" s="203" t="s">
        <v>71</v>
      </c>
      <c r="F220" s="205">
        <v>7500</v>
      </c>
      <c r="G220" s="206">
        <v>18.95</v>
      </c>
      <c r="H220" s="206">
        <v>0</v>
      </c>
      <c r="I220" s="207">
        <v>0</v>
      </c>
      <c r="J220" s="208">
        <v>0</v>
      </c>
      <c r="K220" s="204" t="s">
        <v>9</v>
      </c>
      <c r="L220" s="210">
        <f t="shared" si="12"/>
        <v>142181.19062499999</v>
      </c>
      <c r="M220" s="78"/>
      <c r="N220" s="34"/>
      <c r="O220" s="78"/>
      <c r="P220" s="78"/>
      <c r="Q220" s="78"/>
      <c r="R220" s="36">
        <f t="shared" ref="R220:R288" si="13">R219*((J220/100)+1)</f>
        <v>25606.95394899034</v>
      </c>
      <c r="S220" s="37" t="str">
        <f t="shared" ref="S220:S381" si="14">IF(R220&lt;&gt;R219,R220-R219,"")</f>
        <v/>
      </c>
      <c r="T220" s="37"/>
      <c r="X220" s="232">
        <f t="shared" si="10"/>
        <v>-4273.0200000000004</v>
      </c>
      <c r="Y220" s="42">
        <f t="shared" si="11"/>
        <v>44132</v>
      </c>
    </row>
    <row r="221" spans="1:25" ht="14.5">
      <c r="A221" s="201">
        <v>44040</v>
      </c>
      <c r="B221" s="283" t="s">
        <v>48</v>
      </c>
      <c r="C221" s="203" t="s">
        <v>69</v>
      </c>
      <c r="D221" s="205" t="s">
        <v>100</v>
      </c>
      <c r="E221" s="203" t="s">
        <v>71</v>
      </c>
      <c r="F221" s="205">
        <v>7500</v>
      </c>
      <c r="G221" s="206">
        <v>18.82</v>
      </c>
      <c r="H221" s="206">
        <v>18.96</v>
      </c>
      <c r="I221" s="207">
        <v>-966.28</v>
      </c>
      <c r="J221" s="208">
        <v>-0.67</v>
      </c>
      <c r="K221" s="204" t="s">
        <v>9</v>
      </c>
      <c r="L221" s="210" t="str">
        <f t="shared" si="12"/>
        <v/>
      </c>
      <c r="M221" s="78"/>
      <c r="N221" s="34"/>
      <c r="O221" s="78"/>
      <c r="P221" s="78"/>
      <c r="Q221" s="78"/>
      <c r="R221" s="36">
        <f t="shared" si="13"/>
        <v>25435.387357532105</v>
      </c>
      <c r="S221" s="37">
        <f t="shared" si="14"/>
        <v>-171.56659145823505</v>
      </c>
      <c r="T221" s="37"/>
      <c r="X221" s="39" t="str">
        <f t="shared" si="10"/>
        <v/>
      </c>
      <c r="Y221" s="42" t="str">
        <f t="shared" si="11"/>
        <v/>
      </c>
    </row>
    <row r="222" spans="1:25" ht="14.5">
      <c r="A222" s="47">
        <v>44040</v>
      </c>
      <c r="B222" s="301" t="s">
        <v>47</v>
      </c>
      <c r="C222" s="49" t="s">
        <v>69</v>
      </c>
      <c r="D222" s="50" t="s">
        <v>101</v>
      </c>
      <c r="E222" s="49" t="s">
        <v>71</v>
      </c>
      <c r="F222" s="50">
        <v>2500</v>
      </c>
      <c r="G222" s="51">
        <v>56.35</v>
      </c>
      <c r="H222" s="51">
        <v>0</v>
      </c>
      <c r="I222" s="52">
        <v>0</v>
      </c>
      <c r="J222" s="53">
        <v>0</v>
      </c>
      <c r="K222" s="54" t="s">
        <v>9</v>
      </c>
      <c r="L222" s="174">
        <f t="shared" si="12"/>
        <v>140930.78437499999</v>
      </c>
      <c r="M222" s="78"/>
      <c r="N222" s="68"/>
      <c r="O222" s="78"/>
      <c r="P222" s="78"/>
      <c r="Q222" s="78"/>
      <c r="R222" s="36">
        <f t="shared" si="13"/>
        <v>25435.387357532105</v>
      </c>
      <c r="S222" s="37" t="str">
        <f t="shared" si="14"/>
        <v/>
      </c>
      <c r="T222" s="37"/>
      <c r="X222" s="232">
        <f t="shared" si="10"/>
        <v>1247.28</v>
      </c>
      <c r="Y222" s="42">
        <f t="shared" si="11"/>
        <v>44133</v>
      </c>
    </row>
    <row r="223" spans="1:25" ht="14.5">
      <c r="A223" s="47">
        <v>44041</v>
      </c>
      <c r="B223" s="301" t="s">
        <v>48</v>
      </c>
      <c r="C223" s="49" t="s">
        <v>69</v>
      </c>
      <c r="D223" s="50" t="s">
        <v>101</v>
      </c>
      <c r="E223" s="49" t="s">
        <v>71</v>
      </c>
      <c r="F223" s="50">
        <v>2500</v>
      </c>
      <c r="G223" s="51">
        <v>56.91</v>
      </c>
      <c r="H223" s="51">
        <v>56.35</v>
      </c>
      <c r="I223" s="52">
        <v>1418.77</v>
      </c>
      <c r="J223" s="53">
        <v>1</v>
      </c>
      <c r="K223" s="54" t="s">
        <v>9</v>
      </c>
      <c r="L223" s="174" t="str">
        <f t="shared" si="12"/>
        <v/>
      </c>
      <c r="M223" s="78"/>
      <c r="N223" s="34"/>
      <c r="O223" s="78"/>
      <c r="P223" s="78"/>
      <c r="Q223" s="78"/>
      <c r="R223" s="36">
        <f t="shared" si="13"/>
        <v>25689.741231107426</v>
      </c>
      <c r="S223" s="37">
        <f t="shared" si="14"/>
        <v>254.3538735753209</v>
      </c>
      <c r="T223" s="37"/>
      <c r="X223" s="39" t="str">
        <f t="shared" si="10"/>
        <v/>
      </c>
      <c r="Y223" s="42" t="str">
        <f t="shared" si="11"/>
        <v/>
      </c>
    </row>
    <row r="224" spans="1:25" ht="14.5">
      <c r="A224" s="201">
        <v>44041</v>
      </c>
      <c r="B224" s="283" t="s">
        <v>47</v>
      </c>
      <c r="C224" s="203" t="s">
        <v>69</v>
      </c>
      <c r="D224" s="205" t="s">
        <v>100</v>
      </c>
      <c r="E224" s="203" t="s">
        <v>71</v>
      </c>
      <c r="F224" s="205">
        <v>7000</v>
      </c>
      <c r="G224" s="206">
        <v>20.22</v>
      </c>
      <c r="H224" s="206">
        <v>0</v>
      </c>
      <c r="I224" s="207">
        <v>0</v>
      </c>
      <c r="J224" s="208">
        <v>0</v>
      </c>
      <c r="K224" s="204" t="s">
        <v>9</v>
      </c>
      <c r="L224" s="210">
        <f t="shared" si="12"/>
        <v>141596.00049999999</v>
      </c>
      <c r="M224" s="78"/>
      <c r="N224" s="34"/>
      <c r="O224" s="78"/>
      <c r="P224" s="78"/>
      <c r="Q224" s="78"/>
      <c r="R224" s="36">
        <f t="shared" si="13"/>
        <v>25689.741231107426</v>
      </c>
      <c r="S224" s="37" t="str">
        <f t="shared" si="14"/>
        <v/>
      </c>
      <c r="T224" s="37"/>
      <c r="X224" s="232">
        <f t="shared" si="10"/>
        <v>-1531.57</v>
      </c>
      <c r="Y224" s="42">
        <f t="shared" si="11"/>
        <v>44134</v>
      </c>
    </row>
    <row r="225" spans="1:25" ht="14.5">
      <c r="A225" s="201">
        <v>44042</v>
      </c>
      <c r="B225" s="283" t="s">
        <v>48</v>
      </c>
      <c r="C225" s="203" t="s">
        <v>69</v>
      </c>
      <c r="D225" s="205" t="s">
        <v>100</v>
      </c>
      <c r="E225" s="203" t="s">
        <v>71</v>
      </c>
      <c r="F225" s="205">
        <v>7000</v>
      </c>
      <c r="G225" s="206">
        <v>20.43</v>
      </c>
      <c r="H225" s="206">
        <v>20.23</v>
      </c>
      <c r="I225" s="207">
        <v>1433.33</v>
      </c>
      <c r="J225" s="208">
        <v>1.01</v>
      </c>
      <c r="K225" s="204" t="s">
        <v>9</v>
      </c>
      <c r="L225" s="210" t="str">
        <f t="shared" si="12"/>
        <v/>
      </c>
      <c r="M225" s="78"/>
      <c r="N225" s="34"/>
      <c r="O225" s="78"/>
      <c r="P225" s="78"/>
      <c r="Q225" s="78"/>
      <c r="R225" s="36">
        <f t="shared" si="13"/>
        <v>25949.207617541611</v>
      </c>
      <c r="S225" s="37">
        <f t="shared" si="14"/>
        <v>259.46638643418555</v>
      </c>
      <c r="T225" s="37"/>
      <c r="X225" s="39" t="str">
        <f t="shared" si="10"/>
        <v/>
      </c>
      <c r="Y225" s="42" t="str">
        <f t="shared" si="11"/>
        <v/>
      </c>
    </row>
    <row r="226" spans="1:25" ht="14.5">
      <c r="A226" s="47">
        <v>44042</v>
      </c>
      <c r="B226" s="301" t="s">
        <v>47</v>
      </c>
      <c r="C226" s="49" t="s">
        <v>69</v>
      </c>
      <c r="D226" s="50" t="s">
        <v>101</v>
      </c>
      <c r="E226" s="49" t="s">
        <v>71</v>
      </c>
      <c r="F226" s="50">
        <v>2400</v>
      </c>
      <c r="G226" s="51">
        <v>60.02</v>
      </c>
      <c r="H226" s="51">
        <v>0</v>
      </c>
      <c r="I226" s="52">
        <v>0</v>
      </c>
      <c r="J226" s="53">
        <v>0</v>
      </c>
      <c r="K226" s="54" t="s">
        <v>9</v>
      </c>
      <c r="L226" s="174">
        <f t="shared" si="12"/>
        <v>144104.8156</v>
      </c>
      <c r="M226" s="78"/>
      <c r="N226" s="34"/>
      <c r="O226" s="78"/>
      <c r="P226" s="78"/>
      <c r="Q226" s="78"/>
      <c r="R226" s="36">
        <f t="shared" si="13"/>
        <v>25949.207617541611</v>
      </c>
      <c r="S226" s="37" t="str">
        <f t="shared" si="14"/>
        <v/>
      </c>
      <c r="T226" s="37"/>
      <c r="X226" s="232">
        <f t="shared" si="10"/>
        <v>3360.79</v>
      </c>
      <c r="Y226" s="42">
        <f t="shared" si="11"/>
        <v>44138</v>
      </c>
    </row>
    <row r="227" spans="1:25" ht="14.5">
      <c r="A227" s="47">
        <v>44043</v>
      </c>
      <c r="B227" s="301" t="s">
        <v>48</v>
      </c>
      <c r="C227" s="49" t="s">
        <v>69</v>
      </c>
      <c r="D227" s="50" t="s">
        <v>101</v>
      </c>
      <c r="E227" s="49" t="s">
        <v>71</v>
      </c>
      <c r="F227" s="50">
        <v>2400</v>
      </c>
      <c r="G227" s="51">
        <v>60.62</v>
      </c>
      <c r="H227" s="51">
        <v>60.02</v>
      </c>
      <c r="I227" s="52">
        <v>1451.82</v>
      </c>
      <c r="J227" s="53">
        <v>1</v>
      </c>
      <c r="K227" s="54" t="s">
        <v>9</v>
      </c>
      <c r="L227" s="174" t="str">
        <f t="shared" si="12"/>
        <v/>
      </c>
      <c r="M227" s="78"/>
      <c r="N227" s="34"/>
      <c r="O227" s="78"/>
      <c r="P227" s="78"/>
      <c r="Q227" s="78"/>
      <c r="R227" s="36">
        <f t="shared" si="13"/>
        <v>26208.699693717026</v>
      </c>
      <c r="S227" s="37">
        <f t="shared" si="14"/>
        <v>259.4920761754147</v>
      </c>
      <c r="T227" s="37"/>
      <c r="X227" s="39" t="str">
        <f t="shared" si="10"/>
        <v/>
      </c>
      <c r="Y227" s="42" t="str">
        <f t="shared" si="11"/>
        <v/>
      </c>
    </row>
    <row r="228" spans="1:25" ht="14.5">
      <c r="A228" s="302">
        <v>44043</v>
      </c>
      <c r="B228" s="303" t="s">
        <v>47</v>
      </c>
      <c r="C228" s="304" t="s">
        <v>69</v>
      </c>
      <c r="D228" s="305" t="s">
        <v>100</v>
      </c>
      <c r="E228" s="304" t="s">
        <v>71</v>
      </c>
      <c r="F228" s="306">
        <v>7100</v>
      </c>
      <c r="G228" s="307">
        <v>20.58</v>
      </c>
      <c r="H228" s="307">
        <v>0</v>
      </c>
      <c r="I228" s="308">
        <v>0</v>
      </c>
      <c r="J228" s="309">
        <v>0</v>
      </c>
      <c r="K228" s="305" t="s">
        <v>9</v>
      </c>
      <c r="L228" s="310">
        <f t="shared" si="12"/>
        <v>146175.48835</v>
      </c>
      <c r="M228" s="383"/>
      <c r="N228" s="34"/>
      <c r="O228" s="78"/>
      <c r="P228" s="78"/>
      <c r="Q228" s="78"/>
      <c r="R228" s="36">
        <f t="shared" si="13"/>
        <v>26208.699693717026</v>
      </c>
      <c r="S228" s="37" t="str">
        <f t="shared" si="14"/>
        <v/>
      </c>
      <c r="T228" s="37">
        <f>SUM(S184:S228)</f>
        <v>4645.5262252026987</v>
      </c>
      <c r="X228" s="232">
        <f t="shared" si="10"/>
        <v>1253.04</v>
      </c>
      <c r="Y228" s="42">
        <f t="shared" si="11"/>
        <v>44139</v>
      </c>
    </row>
    <row r="229" spans="1:25" ht="14.5">
      <c r="A229" s="311">
        <v>44046</v>
      </c>
      <c r="B229" s="312" t="s">
        <v>48</v>
      </c>
      <c r="C229" s="313" t="s">
        <v>69</v>
      </c>
      <c r="D229" s="314" t="s">
        <v>100</v>
      </c>
      <c r="E229" s="313" t="s">
        <v>71</v>
      </c>
      <c r="F229" s="315">
        <v>7100</v>
      </c>
      <c r="G229" s="316">
        <v>20.8</v>
      </c>
      <c r="H229" s="316">
        <v>20.59</v>
      </c>
      <c r="I229" s="317">
        <v>1523.5</v>
      </c>
      <c r="J229" s="318">
        <v>1.04</v>
      </c>
      <c r="K229" s="314" t="s">
        <v>9</v>
      </c>
      <c r="L229" s="577" t="str">
        <f t="shared" si="12"/>
        <v/>
      </c>
      <c r="M229" s="33" t="s">
        <v>41</v>
      </c>
      <c r="N229" s="34"/>
      <c r="O229" s="78"/>
      <c r="P229" s="78"/>
      <c r="Q229" s="78"/>
      <c r="R229" s="36">
        <f t="shared" si="13"/>
        <v>26481.270170531683</v>
      </c>
      <c r="S229" s="37">
        <f t="shared" si="14"/>
        <v>272.57047681465701</v>
      </c>
      <c r="T229" s="37"/>
      <c r="X229" s="39" t="str">
        <f t="shared" si="10"/>
        <v/>
      </c>
      <c r="Y229" s="42" t="str">
        <f t="shared" si="11"/>
        <v/>
      </c>
    </row>
    <row r="230" spans="1:25" ht="14.5">
      <c r="A230" s="47">
        <v>44046</v>
      </c>
      <c r="B230" s="301" t="s">
        <v>47</v>
      </c>
      <c r="C230" s="49" t="s">
        <v>69</v>
      </c>
      <c r="D230" s="50" t="s">
        <v>101</v>
      </c>
      <c r="E230" s="49" t="s">
        <v>71</v>
      </c>
      <c r="F230" s="50">
        <v>2300</v>
      </c>
      <c r="G230" s="51">
        <v>62.51</v>
      </c>
      <c r="H230" s="51">
        <v>0</v>
      </c>
      <c r="I230" s="52">
        <v>0</v>
      </c>
      <c r="J230" s="53">
        <v>0</v>
      </c>
      <c r="K230" s="54" t="s">
        <v>9</v>
      </c>
      <c r="L230" s="55">
        <f t="shared" si="12"/>
        <v>143829.72622499999</v>
      </c>
      <c r="M230" s="45" t="s">
        <v>21</v>
      </c>
      <c r="N230" s="34"/>
      <c r="O230" s="78"/>
      <c r="P230" s="78"/>
      <c r="Q230" s="78"/>
      <c r="R230" s="36">
        <f t="shared" si="13"/>
        <v>26481.270170531683</v>
      </c>
      <c r="S230" s="37" t="str">
        <f t="shared" si="14"/>
        <v/>
      </c>
      <c r="T230" s="37"/>
      <c r="X230" s="232">
        <f t="shared" si="10"/>
        <v>2453.79</v>
      </c>
      <c r="Y230" s="42">
        <f t="shared" si="11"/>
        <v>44140</v>
      </c>
    </row>
    <row r="231" spans="1:25" ht="14.5">
      <c r="A231" s="47">
        <v>44047</v>
      </c>
      <c r="B231" s="301" t="s">
        <v>48</v>
      </c>
      <c r="C231" s="49" t="s">
        <v>69</v>
      </c>
      <c r="D231" s="50" t="s">
        <v>101</v>
      </c>
      <c r="E231" s="49" t="s">
        <v>71</v>
      </c>
      <c r="F231" s="50">
        <v>2300</v>
      </c>
      <c r="G231" s="51">
        <v>63.14</v>
      </c>
      <c r="H231" s="51">
        <v>62.51</v>
      </c>
      <c r="I231" s="52">
        <v>1455.86</v>
      </c>
      <c r="J231" s="53">
        <v>1.01</v>
      </c>
      <c r="K231" s="54" t="s">
        <v>9</v>
      </c>
      <c r="L231" s="55" t="str">
        <f t="shared" si="12"/>
        <v/>
      </c>
      <c r="M231" s="56">
        <f>IFERROR(AVERAGE(L229:L270),0)</f>
        <v>143785.47375238096</v>
      </c>
      <c r="N231" s="34"/>
      <c r="O231" s="78"/>
      <c r="P231" s="78"/>
      <c r="Q231" s="78"/>
      <c r="R231" s="36">
        <f t="shared" si="13"/>
        <v>26748.730999254054</v>
      </c>
      <c r="S231" s="37">
        <f t="shared" si="14"/>
        <v>267.46082872237093</v>
      </c>
      <c r="T231" s="37"/>
      <c r="X231" s="39" t="str">
        <f t="shared" si="10"/>
        <v/>
      </c>
      <c r="Y231" s="42" t="str">
        <f t="shared" si="11"/>
        <v/>
      </c>
    </row>
    <row r="232" spans="1:25" ht="14.5">
      <c r="A232" s="201">
        <v>44047</v>
      </c>
      <c r="B232" s="283" t="s">
        <v>47</v>
      </c>
      <c r="C232" s="203" t="s">
        <v>69</v>
      </c>
      <c r="D232" s="205" t="s">
        <v>100</v>
      </c>
      <c r="E232" s="203" t="s">
        <v>71</v>
      </c>
      <c r="F232" s="205">
        <v>7200</v>
      </c>
      <c r="G232" s="206">
        <v>20.5</v>
      </c>
      <c r="H232" s="206">
        <v>0</v>
      </c>
      <c r="I232" s="207">
        <v>0</v>
      </c>
      <c r="J232" s="208">
        <v>0</v>
      </c>
      <c r="K232" s="204" t="s">
        <v>9</v>
      </c>
      <c r="L232" s="209">
        <f t="shared" si="12"/>
        <v>147657.97</v>
      </c>
      <c r="M232" s="45" t="s">
        <v>24</v>
      </c>
      <c r="N232" s="34"/>
      <c r="O232" s="78"/>
      <c r="P232" s="78"/>
      <c r="Q232" s="78"/>
      <c r="R232" s="36">
        <f t="shared" si="13"/>
        <v>26748.730999254054</v>
      </c>
      <c r="S232" s="37" t="str">
        <f t="shared" si="14"/>
        <v/>
      </c>
      <c r="T232" s="37"/>
      <c r="X232" s="232">
        <f t="shared" si="10"/>
        <v>3890.27</v>
      </c>
      <c r="Y232" s="42">
        <f t="shared" si="11"/>
        <v>44144</v>
      </c>
    </row>
    <row r="233" spans="1:25" ht="14.5">
      <c r="A233" s="201">
        <v>44048</v>
      </c>
      <c r="B233" s="283" t="s">
        <v>48</v>
      </c>
      <c r="C233" s="203" t="s">
        <v>69</v>
      </c>
      <c r="D233" s="205" t="s">
        <v>100</v>
      </c>
      <c r="E233" s="203" t="s">
        <v>71</v>
      </c>
      <c r="F233" s="205">
        <v>7200</v>
      </c>
      <c r="G233" s="206">
        <v>20.72</v>
      </c>
      <c r="H233" s="206">
        <v>20.51</v>
      </c>
      <c r="I233" s="207">
        <v>1545.32</v>
      </c>
      <c r="J233" s="208">
        <v>1.04</v>
      </c>
      <c r="K233" s="204" t="s">
        <v>9</v>
      </c>
      <c r="L233" s="209" t="str">
        <f t="shared" si="12"/>
        <v/>
      </c>
      <c r="M233" s="56">
        <f>SUM(I229:I270)</f>
        <v>-363.74000000000069</v>
      </c>
      <c r="N233" s="34"/>
      <c r="O233" s="78"/>
      <c r="P233" s="78"/>
      <c r="Q233" s="78"/>
      <c r="R233" s="36">
        <f t="shared" si="13"/>
        <v>27026.917801646294</v>
      </c>
      <c r="S233" s="37">
        <f t="shared" si="14"/>
        <v>278.18680239223977</v>
      </c>
      <c r="T233" s="37"/>
      <c r="X233" s="39" t="str">
        <f t="shared" si="10"/>
        <v/>
      </c>
      <c r="Y233" s="42" t="str">
        <f t="shared" si="11"/>
        <v/>
      </c>
    </row>
    <row r="234" spans="1:25" ht="14.5">
      <c r="A234" s="47">
        <v>44048</v>
      </c>
      <c r="B234" s="48" t="s">
        <v>47</v>
      </c>
      <c r="C234" s="49" t="s">
        <v>69</v>
      </c>
      <c r="D234" s="54" t="s">
        <v>101</v>
      </c>
      <c r="E234" s="49" t="s">
        <v>71</v>
      </c>
      <c r="F234" s="50">
        <v>2400</v>
      </c>
      <c r="G234" s="51">
        <v>61.65</v>
      </c>
      <c r="H234" s="51">
        <v>0</v>
      </c>
      <c r="I234" s="52">
        <v>0</v>
      </c>
      <c r="J234" s="53">
        <v>0</v>
      </c>
      <c r="K234" s="54" t="s">
        <v>9</v>
      </c>
      <c r="L234" s="55">
        <f t="shared" si="12"/>
        <v>148018.087</v>
      </c>
      <c r="M234" s="45" t="s">
        <v>27</v>
      </c>
      <c r="N234" s="34"/>
      <c r="O234" s="78"/>
      <c r="P234" s="78"/>
      <c r="Q234" s="78"/>
      <c r="R234" s="36">
        <f t="shared" si="13"/>
        <v>27026.917801646294</v>
      </c>
      <c r="S234" s="37" t="str">
        <f t="shared" si="14"/>
        <v/>
      </c>
      <c r="T234" s="37"/>
      <c r="X234" s="232">
        <f t="shared" si="10"/>
        <v>1348.25</v>
      </c>
      <c r="Y234" s="42">
        <f t="shared" si="11"/>
        <v>44146</v>
      </c>
    </row>
    <row r="235" spans="1:25" ht="14.5">
      <c r="A235" s="47">
        <v>44049</v>
      </c>
      <c r="B235" s="48" t="s">
        <v>48</v>
      </c>
      <c r="C235" s="49" t="s">
        <v>69</v>
      </c>
      <c r="D235" s="54" t="s">
        <v>101</v>
      </c>
      <c r="E235" s="49" t="s">
        <v>71</v>
      </c>
      <c r="F235" s="50">
        <v>2400</v>
      </c>
      <c r="G235" s="51">
        <v>62.27</v>
      </c>
      <c r="H235" s="51">
        <v>61.65</v>
      </c>
      <c r="I235" s="52">
        <v>1497.14</v>
      </c>
      <c r="J235" s="53">
        <v>1.01</v>
      </c>
      <c r="K235" s="54" t="s">
        <v>9</v>
      </c>
      <c r="L235" s="55" t="str">
        <f t="shared" si="12"/>
        <v/>
      </c>
      <c r="M235" s="66">
        <f>SUM(J229:J270)/100</f>
        <v>8.9999999999998523E-4</v>
      </c>
      <c r="N235" s="34"/>
      <c r="O235" s="78"/>
      <c r="P235" s="78"/>
      <c r="Q235" s="78"/>
      <c r="R235" s="36">
        <f t="shared" si="13"/>
        <v>27299.889671442921</v>
      </c>
      <c r="S235" s="37">
        <f t="shared" si="14"/>
        <v>272.97186979662729</v>
      </c>
      <c r="T235" s="37"/>
      <c r="X235" s="39" t="str">
        <f t="shared" si="10"/>
        <v/>
      </c>
      <c r="Y235" s="42" t="str">
        <f t="shared" si="11"/>
        <v/>
      </c>
    </row>
    <row r="236" spans="1:25" ht="14.5">
      <c r="A236" s="201">
        <v>44049</v>
      </c>
      <c r="B236" s="283" t="s">
        <v>47</v>
      </c>
      <c r="C236" s="203" t="s">
        <v>69</v>
      </c>
      <c r="D236" s="205" t="s">
        <v>100</v>
      </c>
      <c r="E236" s="203" t="s">
        <v>71</v>
      </c>
      <c r="F236" s="205">
        <v>6900</v>
      </c>
      <c r="G236" s="206">
        <v>21.7</v>
      </c>
      <c r="H236" s="206">
        <v>0</v>
      </c>
      <c r="I236" s="207">
        <v>0</v>
      </c>
      <c r="J236" s="208">
        <v>0</v>
      </c>
      <c r="K236" s="204" t="s">
        <v>9</v>
      </c>
      <c r="L236" s="209">
        <f t="shared" si="12"/>
        <v>149788.66224999999</v>
      </c>
      <c r="M236" s="319"/>
      <c r="N236" s="34"/>
      <c r="O236" s="78"/>
      <c r="P236" s="78"/>
      <c r="Q236" s="78"/>
      <c r="R236" s="36">
        <f t="shared" si="13"/>
        <v>27299.889671442921</v>
      </c>
      <c r="S236" s="37" t="str">
        <f t="shared" si="14"/>
        <v/>
      </c>
      <c r="T236" s="37"/>
      <c r="X236" s="320">
        <f t="shared" si="10"/>
        <v>-30.71</v>
      </c>
      <c r="Y236" s="42">
        <f t="shared" si="11"/>
        <v>44147</v>
      </c>
    </row>
    <row r="237" spans="1:25" ht="14.5">
      <c r="A237" s="201">
        <v>44050</v>
      </c>
      <c r="B237" s="283" t="s">
        <v>48</v>
      </c>
      <c r="C237" s="203" t="s">
        <v>69</v>
      </c>
      <c r="D237" s="205" t="s">
        <v>100</v>
      </c>
      <c r="E237" s="203" t="s">
        <v>71</v>
      </c>
      <c r="F237" s="205">
        <v>6900</v>
      </c>
      <c r="G237" s="206">
        <v>21.93</v>
      </c>
      <c r="H237" s="206">
        <v>21.71</v>
      </c>
      <c r="I237" s="207">
        <v>1544.01</v>
      </c>
      <c r="J237" s="208">
        <v>1.03</v>
      </c>
      <c r="K237" s="204" t="s">
        <v>9</v>
      </c>
      <c r="L237" s="210" t="str">
        <f t="shared" si="12"/>
        <v/>
      </c>
      <c r="M237" s="78"/>
      <c r="N237" s="34"/>
      <c r="O237" s="78"/>
      <c r="P237" s="78"/>
      <c r="Q237" s="78"/>
      <c r="R237" s="36">
        <f t="shared" si="13"/>
        <v>27581.078535058783</v>
      </c>
      <c r="S237" s="37">
        <f t="shared" si="14"/>
        <v>281.18886361586192</v>
      </c>
      <c r="T237" s="37"/>
      <c r="X237" s="39" t="str">
        <f t="shared" si="10"/>
        <v/>
      </c>
      <c r="Y237" s="42" t="str">
        <f t="shared" si="11"/>
        <v/>
      </c>
    </row>
    <row r="238" spans="1:25" ht="14.5">
      <c r="A238" s="47">
        <v>44050</v>
      </c>
      <c r="B238" s="48" t="s">
        <v>47</v>
      </c>
      <c r="C238" s="49" t="s">
        <v>69</v>
      </c>
      <c r="D238" s="54" t="s">
        <v>101</v>
      </c>
      <c r="E238" s="49" t="s">
        <v>71</v>
      </c>
      <c r="F238" s="50">
        <v>2300</v>
      </c>
      <c r="G238" s="51">
        <v>64.02</v>
      </c>
      <c r="H238" s="51">
        <v>0</v>
      </c>
      <c r="I238" s="52">
        <v>0</v>
      </c>
      <c r="J238" s="53">
        <v>0</v>
      </c>
      <c r="K238" s="54" t="s">
        <v>9</v>
      </c>
      <c r="L238" s="55">
        <f t="shared" si="12"/>
        <v>147303.85495000001</v>
      </c>
      <c r="M238" s="78"/>
      <c r="N238" s="34"/>
      <c r="O238" s="78"/>
      <c r="P238" s="78"/>
      <c r="Q238" s="78"/>
      <c r="R238" s="36">
        <f t="shared" si="13"/>
        <v>27581.078535058783</v>
      </c>
      <c r="S238" s="37" t="str">
        <f t="shared" si="14"/>
        <v/>
      </c>
      <c r="T238" s="37"/>
      <c r="X238" s="232">
        <f t="shared" si="10"/>
        <v>523.80999999999995</v>
      </c>
      <c r="Y238" s="42">
        <f t="shared" si="11"/>
        <v>44148</v>
      </c>
    </row>
    <row r="239" spans="1:25" ht="14.5">
      <c r="A239" s="47">
        <v>44053</v>
      </c>
      <c r="B239" s="48" t="s">
        <v>48</v>
      </c>
      <c r="C239" s="49" t="s">
        <v>69</v>
      </c>
      <c r="D239" s="54" t="s">
        <v>101</v>
      </c>
      <c r="E239" s="49" t="s">
        <v>71</v>
      </c>
      <c r="F239" s="50">
        <v>2300</v>
      </c>
      <c r="G239" s="51">
        <v>64.67</v>
      </c>
      <c r="H239" s="51">
        <v>64.02</v>
      </c>
      <c r="I239" s="52">
        <v>1499.58</v>
      </c>
      <c r="J239" s="53">
        <v>1.01</v>
      </c>
      <c r="K239" s="54" t="s">
        <v>9</v>
      </c>
      <c r="L239" s="55" t="str">
        <f t="shared" si="12"/>
        <v/>
      </c>
      <c r="M239" s="78"/>
      <c r="N239" s="34"/>
      <c r="O239" s="78"/>
      <c r="P239" s="78"/>
      <c r="Q239" s="78"/>
      <c r="R239" s="36">
        <f t="shared" si="13"/>
        <v>27859.647428262877</v>
      </c>
      <c r="S239" s="37">
        <f t="shared" si="14"/>
        <v>278.56889320409391</v>
      </c>
      <c r="T239" s="37"/>
      <c r="X239" s="39" t="str">
        <f t="shared" si="10"/>
        <v/>
      </c>
      <c r="Y239" s="42" t="str">
        <f t="shared" si="11"/>
        <v/>
      </c>
    </row>
    <row r="240" spans="1:25" ht="14.5">
      <c r="A240" s="127">
        <v>44053</v>
      </c>
      <c r="B240" s="128" t="s">
        <v>47</v>
      </c>
      <c r="C240" s="129" t="s">
        <v>69</v>
      </c>
      <c r="D240" s="130" t="s">
        <v>103</v>
      </c>
      <c r="E240" s="129" t="s">
        <v>71</v>
      </c>
      <c r="F240" s="130">
        <v>2700</v>
      </c>
      <c r="G240" s="131">
        <v>54.98</v>
      </c>
      <c r="H240" s="131">
        <v>0</v>
      </c>
      <c r="I240" s="132">
        <v>0</v>
      </c>
      <c r="J240" s="133">
        <v>0</v>
      </c>
      <c r="K240" s="134" t="s">
        <v>9</v>
      </c>
      <c r="L240" s="135">
        <f t="shared" si="12"/>
        <v>148504.24494999999</v>
      </c>
      <c r="M240" s="78"/>
      <c r="N240" s="34"/>
      <c r="O240" s="78"/>
      <c r="P240" s="78"/>
      <c r="Q240" s="78"/>
      <c r="R240" s="36">
        <f t="shared" si="13"/>
        <v>27859.647428262877</v>
      </c>
      <c r="S240" s="37" t="str">
        <f t="shared" si="14"/>
        <v/>
      </c>
      <c r="T240" s="37"/>
      <c r="X240" s="448">
        <f t="shared" si="10"/>
        <v>-541.78</v>
      </c>
      <c r="Y240" s="42">
        <f t="shared" si="11"/>
        <v>44152</v>
      </c>
    </row>
    <row r="241" spans="1:25" ht="14.5">
      <c r="A241" s="127">
        <v>44054</v>
      </c>
      <c r="B241" s="128" t="s">
        <v>48</v>
      </c>
      <c r="C241" s="129" t="s">
        <v>69</v>
      </c>
      <c r="D241" s="134" t="s">
        <v>103</v>
      </c>
      <c r="E241" s="129" t="s">
        <v>71</v>
      </c>
      <c r="F241" s="130">
        <v>2700</v>
      </c>
      <c r="G241" s="131">
        <v>53.97</v>
      </c>
      <c r="H241" s="131">
        <v>54.98</v>
      </c>
      <c r="I241" s="132">
        <v>-2701.85</v>
      </c>
      <c r="J241" s="133">
        <v>-1.82</v>
      </c>
      <c r="K241" s="134" t="s">
        <v>9</v>
      </c>
      <c r="L241" s="135" t="str">
        <f t="shared" si="12"/>
        <v/>
      </c>
      <c r="M241" s="78"/>
      <c r="N241" s="34"/>
      <c r="O241" s="78"/>
      <c r="P241" s="78"/>
      <c r="Q241" s="78"/>
      <c r="R241" s="36">
        <f t="shared" si="13"/>
        <v>27352.601845068493</v>
      </c>
      <c r="S241" s="37">
        <f t="shared" si="14"/>
        <v>-507.04558319438365</v>
      </c>
      <c r="T241" s="37"/>
      <c r="X241" s="39" t="str">
        <f t="shared" si="10"/>
        <v/>
      </c>
      <c r="Y241" s="42" t="str">
        <f t="shared" si="11"/>
        <v/>
      </c>
    </row>
    <row r="242" spans="1:25" ht="14.5">
      <c r="A242" s="47">
        <v>44054</v>
      </c>
      <c r="B242" s="48" t="s">
        <v>47</v>
      </c>
      <c r="C242" s="49" t="s">
        <v>69</v>
      </c>
      <c r="D242" s="54" t="s">
        <v>101</v>
      </c>
      <c r="E242" s="49" t="s">
        <v>71</v>
      </c>
      <c r="F242" s="50">
        <v>2400</v>
      </c>
      <c r="G242" s="51">
        <v>60.52</v>
      </c>
      <c r="H242" s="51">
        <v>0</v>
      </c>
      <c r="I242" s="52">
        <v>0</v>
      </c>
      <c r="J242" s="53">
        <v>0</v>
      </c>
      <c r="K242" s="54" t="s">
        <v>9</v>
      </c>
      <c r="L242" s="55">
        <f t="shared" si="12"/>
        <v>145305.20559999999</v>
      </c>
      <c r="M242" s="78"/>
      <c r="N242" s="34"/>
      <c r="O242" s="78"/>
      <c r="P242" s="78"/>
      <c r="Q242" s="78"/>
      <c r="R242" s="36">
        <f t="shared" si="13"/>
        <v>27352.601845068493</v>
      </c>
      <c r="S242" s="37" t="str">
        <f t="shared" si="14"/>
        <v/>
      </c>
      <c r="T242" s="37"/>
      <c r="X242" s="448">
        <f t="shared" si="10"/>
        <v>1001.08</v>
      </c>
      <c r="Y242" s="42">
        <f t="shared" si="11"/>
        <v>44153</v>
      </c>
    </row>
    <row r="243" spans="1:25" ht="14.5">
      <c r="A243" s="47">
        <v>44055</v>
      </c>
      <c r="B243" s="48" t="s">
        <v>48</v>
      </c>
      <c r="C243" s="49" t="s">
        <v>69</v>
      </c>
      <c r="D243" s="54" t="s">
        <v>101</v>
      </c>
      <c r="E243" s="49" t="s">
        <v>71</v>
      </c>
      <c r="F243" s="50">
        <v>2400</v>
      </c>
      <c r="G243" s="51">
        <v>61.13</v>
      </c>
      <c r="H243" s="51">
        <v>60.52</v>
      </c>
      <c r="I243" s="52">
        <v>1474.81</v>
      </c>
      <c r="J243" s="53">
        <v>1.01</v>
      </c>
      <c r="K243" s="54" t="s">
        <v>9</v>
      </c>
      <c r="L243" s="55" t="str">
        <f t="shared" si="12"/>
        <v/>
      </c>
      <c r="M243" s="78"/>
      <c r="N243" s="34"/>
      <c r="O243" s="78"/>
      <c r="P243" s="78"/>
      <c r="Q243" s="78"/>
      <c r="R243" s="36">
        <f t="shared" si="13"/>
        <v>27628.863123703686</v>
      </c>
      <c r="S243" s="37">
        <f t="shared" si="14"/>
        <v>276.26127863519287</v>
      </c>
      <c r="T243" s="37"/>
      <c r="X243" s="448">
        <f t="shared" si="10"/>
        <v>-712.34</v>
      </c>
      <c r="Y243" s="42">
        <f t="shared" si="11"/>
        <v>44153</v>
      </c>
    </row>
    <row r="244" spans="1:25" ht="14.5">
      <c r="A244" s="201">
        <v>44055</v>
      </c>
      <c r="B244" s="283" t="s">
        <v>47</v>
      </c>
      <c r="C244" s="203" t="s">
        <v>69</v>
      </c>
      <c r="D244" s="205" t="s">
        <v>100</v>
      </c>
      <c r="E244" s="203" t="s">
        <v>71</v>
      </c>
      <c r="F244" s="205">
        <v>7200</v>
      </c>
      <c r="G244" s="206">
        <v>20.62</v>
      </c>
      <c r="H244" s="206">
        <v>0</v>
      </c>
      <c r="I244" s="207">
        <v>0</v>
      </c>
      <c r="J244" s="208">
        <v>0</v>
      </c>
      <c r="K244" s="204" t="s">
        <v>9</v>
      </c>
      <c r="L244" s="209">
        <f t="shared" si="12"/>
        <v>148522.25080000001</v>
      </c>
      <c r="M244" s="78"/>
      <c r="N244" s="34"/>
      <c r="O244" s="78"/>
      <c r="P244" s="78"/>
      <c r="Q244" s="78"/>
      <c r="R244" s="36">
        <f t="shared" si="13"/>
        <v>27628.863123703686</v>
      </c>
      <c r="S244" s="37" t="str">
        <f t="shared" si="14"/>
        <v/>
      </c>
      <c r="T244" s="37"/>
      <c r="X244" s="39" t="str">
        <f t="shared" si="10"/>
        <v/>
      </c>
      <c r="Y244" s="42" t="str">
        <f t="shared" si="11"/>
        <v/>
      </c>
    </row>
    <row r="245" spans="1:25" ht="14.5">
      <c r="A245" s="201">
        <v>44056</v>
      </c>
      <c r="B245" s="283" t="s">
        <v>48</v>
      </c>
      <c r="C245" s="203" t="s">
        <v>69</v>
      </c>
      <c r="D245" s="205" t="s">
        <v>100</v>
      </c>
      <c r="E245" s="203" t="s">
        <v>71</v>
      </c>
      <c r="F245" s="205">
        <v>7200</v>
      </c>
      <c r="G245" s="206">
        <v>20.84</v>
      </c>
      <c r="H245" s="206">
        <v>20.63</v>
      </c>
      <c r="I245" s="207">
        <v>1544.79</v>
      </c>
      <c r="J245" s="208">
        <v>1.04</v>
      </c>
      <c r="K245" s="204" t="s">
        <v>9</v>
      </c>
      <c r="L245" s="210" t="str">
        <f t="shared" si="12"/>
        <v/>
      </c>
      <c r="M245" s="78"/>
      <c r="N245" s="34"/>
      <c r="O245" s="78"/>
      <c r="P245" s="78"/>
      <c r="Q245" s="78"/>
      <c r="R245" s="36">
        <f t="shared" si="13"/>
        <v>27916.203300190202</v>
      </c>
      <c r="S245" s="37">
        <f t="shared" si="14"/>
        <v>287.3401764865157</v>
      </c>
      <c r="T245" s="37"/>
      <c r="X245" s="449">
        <f t="shared" si="10"/>
        <v>1316.36</v>
      </c>
      <c r="Y245" s="42">
        <f t="shared" si="11"/>
        <v>44154</v>
      </c>
    </row>
    <row r="246" spans="1:25" ht="14.5">
      <c r="A246" s="47">
        <v>44056</v>
      </c>
      <c r="B246" s="48" t="s">
        <v>47</v>
      </c>
      <c r="C246" s="49" t="s">
        <v>69</v>
      </c>
      <c r="D246" s="54" t="s">
        <v>101</v>
      </c>
      <c r="E246" s="49" t="s">
        <v>71</v>
      </c>
      <c r="F246" s="50">
        <v>2400</v>
      </c>
      <c r="G246" s="51">
        <v>62.62</v>
      </c>
      <c r="H246" s="51">
        <v>0</v>
      </c>
      <c r="I246" s="52">
        <v>0</v>
      </c>
      <c r="J246" s="53">
        <v>0</v>
      </c>
      <c r="K246" s="54" t="s">
        <v>9</v>
      </c>
      <c r="L246" s="55">
        <f t="shared" si="12"/>
        <v>150346.84359999999</v>
      </c>
      <c r="M246" s="78"/>
      <c r="N246" s="34"/>
      <c r="O246" s="78"/>
      <c r="P246" s="78"/>
      <c r="Q246" s="78"/>
      <c r="R246" s="36">
        <f t="shared" si="13"/>
        <v>27916.203300190202</v>
      </c>
      <c r="S246" s="37" t="str">
        <f t="shared" si="14"/>
        <v/>
      </c>
      <c r="T246" s="37"/>
      <c r="X246" s="39" t="str">
        <f t="shared" ref="X246:X309" si="15">IF(I361&lt;&gt;0,I361,"")</f>
        <v/>
      </c>
      <c r="Y246" s="42" t="str">
        <f t="shared" ref="Y246:Y309" si="16">IF(I361&lt;&gt;0,A361,"")</f>
        <v/>
      </c>
    </row>
    <row r="247" spans="1:25" ht="14.5">
      <c r="A247" s="47">
        <v>44057</v>
      </c>
      <c r="B247" s="48" t="s">
        <v>48</v>
      </c>
      <c r="C247" s="49" t="s">
        <v>69</v>
      </c>
      <c r="D247" s="54" t="s">
        <v>101</v>
      </c>
      <c r="E247" s="49" t="s">
        <v>71</v>
      </c>
      <c r="F247" s="50">
        <v>2400</v>
      </c>
      <c r="G247" s="51">
        <v>58.78</v>
      </c>
      <c r="H247" s="51">
        <v>62.62</v>
      </c>
      <c r="I247" s="52">
        <v>-9210.99</v>
      </c>
      <c r="J247" s="53">
        <v>-6.12</v>
      </c>
      <c r="K247" s="54" t="s">
        <v>9</v>
      </c>
      <c r="L247" s="55" t="str">
        <f t="shared" si="12"/>
        <v/>
      </c>
      <c r="M247" s="78"/>
      <c r="N247" s="34"/>
      <c r="O247" s="78"/>
      <c r="P247" s="78"/>
      <c r="Q247" s="78"/>
      <c r="R247" s="36">
        <f t="shared" si="13"/>
        <v>26207.731658218559</v>
      </c>
      <c r="S247" s="37">
        <f t="shared" si="14"/>
        <v>-1708.4716419716424</v>
      </c>
      <c r="T247" s="37"/>
      <c r="X247" s="448">
        <f t="shared" si="15"/>
        <v>1979.08</v>
      </c>
      <c r="Y247" s="42">
        <f t="shared" si="16"/>
        <v>44155</v>
      </c>
    </row>
    <row r="248" spans="1:25" ht="14.5">
      <c r="A248" s="118">
        <v>44057</v>
      </c>
      <c r="B248" s="119" t="s">
        <v>47</v>
      </c>
      <c r="C248" s="120" t="s">
        <v>69</v>
      </c>
      <c r="D248" s="125" t="s">
        <v>97</v>
      </c>
      <c r="E248" s="120" t="s">
        <v>71</v>
      </c>
      <c r="F248" s="121">
        <v>5000</v>
      </c>
      <c r="G248" s="122">
        <v>28.37</v>
      </c>
      <c r="H248" s="122">
        <v>0</v>
      </c>
      <c r="I248" s="142">
        <v>0</v>
      </c>
      <c r="J248" s="124">
        <v>0</v>
      </c>
      <c r="K248" s="125" t="s">
        <v>9</v>
      </c>
      <c r="L248" s="574">
        <f t="shared" si="12"/>
        <v>141906.10125000001</v>
      </c>
      <c r="M248" s="78"/>
      <c r="N248" s="34"/>
      <c r="O248" s="78"/>
      <c r="P248" s="78"/>
      <c r="Q248" s="78"/>
      <c r="R248" s="36">
        <f t="shared" si="13"/>
        <v>26207.731658218559</v>
      </c>
      <c r="S248" s="37" t="str">
        <f t="shared" si="14"/>
        <v/>
      </c>
      <c r="T248" s="37"/>
      <c r="X248" s="39" t="str">
        <f t="shared" si="15"/>
        <v/>
      </c>
      <c r="Y248" s="42" t="str">
        <f t="shared" si="16"/>
        <v/>
      </c>
    </row>
    <row r="249" spans="1:25" ht="14.5">
      <c r="A249" s="118">
        <v>44060</v>
      </c>
      <c r="B249" s="137" t="s">
        <v>48</v>
      </c>
      <c r="C249" s="138" t="s">
        <v>69</v>
      </c>
      <c r="D249" s="139" t="s">
        <v>97</v>
      </c>
      <c r="E249" s="138" t="s">
        <v>71</v>
      </c>
      <c r="F249" s="140">
        <v>5000</v>
      </c>
      <c r="G249" s="141">
        <v>27.53</v>
      </c>
      <c r="H249" s="141">
        <v>28.37</v>
      </c>
      <c r="I249" s="142">
        <v>-4198.3500000000004</v>
      </c>
      <c r="J249" s="143">
        <v>-2.95</v>
      </c>
      <c r="K249" s="139" t="s">
        <v>9</v>
      </c>
      <c r="L249" s="144" t="str">
        <f t="shared" si="12"/>
        <v/>
      </c>
      <c r="M249" s="78"/>
      <c r="N249" s="34"/>
      <c r="O249" s="78"/>
      <c r="P249" s="78"/>
      <c r="Q249" s="78"/>
      <c r="R249" s="36">
        <f t="shared" si="13"/>
        <v>25434.603574301113</v>
      </c>
      <c r="S249" s="37">
        <f t="shared" si="14"/>
        <v>-773.12808391744693</v>
      </c>
      <c r="T249" s="37"/>
      <c r="X249" s="448">
        <f t="shared" si="15"/>
        <v>-2129.06</v>
      </c>
      <c r="Y249" s="42">
        <f t="shared" si="16"/>
        <v>44158</v>
      </c>
    </row>
    <row r="250" spans="1:25" ht="14.5">
      <c r="A250" s="47">
        <v>44060</v>
      </c>
      <c r="B250" s="48" t="s">
        <v>47</v>
      </c>
      <c r="C250" s="49" t="s">
        <v>69</v>
      </c>
      <c r="D250" s="54" t="s">
        <v>101</v>
      </c>
      <c r="E250" s="49" t="s">
        <v>71</v>
      </c>
      <c r="F250" s="50">
        <v>2400</v>
      </c>
      <c r="G250" s="51">
        <v>55.42</v>
      </c>
      <c r="H250" s="51">
        <v>0</v>
      </c>
      <c r="I250" s="52">
        <v>0</v>
      </c>
      <c r="J250" s="53">
        <v>0</v>
      </c>
      <c r="K250" s="54" t="s">
        <v>9</v>
      </c>
      <c r="L250" s="55">
        <f t="shared" si="12"/>
        <v>133061.22760000001</v>
      </c>
      <c r="M250" s="78"/>
      <c r="N250" s="34"/>
      <c r="O250" s="78"/>
      <c r="P250" s="78"/>
      <c r="Q250" s="78"/>
      <c r="R250" s="36">
        <f t="shared" si="13"/>
        <v>25434.603574301113</v>
      </c>
      <c r="S250" s="37" t="str">
        <f t="shared" si="14"/>
        <v/>
      </c>
      <c r="T250" s="37"/>
      <c r="X250" s="39" t="str">
        <f t="shared" si="15"/>
        <v/>
      </c>
      <c r="Y250" s="42" t="str">
        <f t="shared" si="16"/>
        <v/>
      </c>
    </row>
    <row r="251" spans="1:25" ht="14.5">
      <c r="A251" s="47">
        <v>44061</v>
      </c>
      <c r="B251" s="48" t="s">
        <v>48</v>
      </c>
      <c r="C251" s="49" t="s">
        <v>69</v>
      </c>
      <c r="D251" s="54" t="s">
        <v>101</v>
      </c>
      <c r="E251" s="49" t="s">
        <v>71</v>
      </c>
      <c r="F251" s="50">
        <v>2400</v>
      </c>
      <c r="G251" s="51">
        <v>56.46</v>
      </c>
      <c r="H251" s="51">
        <v>55.42</v>
      </c>
      <c r="I251" s="52">
        <v>2514.0100000000002</v>
      </c>
      <c r="J251" s="53">
        <v>1.89</v>
      </c>
      <c r="K251" s="54" t="s">
        <v>9</v>
      </c>
      <c r="L251" s="55" t="str">
        <f t="shared" si="12"/>
        <v/>
      </c>
      <c r="M251" s="78"/>
      <c r="N251" s="34"/>
      <c r="O251" s="78"/>
      <c r="P251" s="78"/>
      <c r="Q251" s="78"/>
      <c r="R251" s="36">
        <f t="shared" si="13"/>
        <v>25915.317581855401</v>
      </c>
      <c r="S251" s="37">
        <f t="shared" si="14"/>
        <v>480.7140075542884</v>
      </c>
      <c r="T251" s="37"/>
      <c r="X251" s="448">
        <f t="shared" si="15"/>
        <v>19.96</v>
      </c>
      <c r="Y251" s="42">
        <f t="shared" si="16"/>
        <v>44159</v>
      </c>
    </row>
    <row r="252" spans="1:25" ht="14.5">
      <c r="A252" s="201">
        <v>44061</v>
      </c>
      <c r="B252" s="283" t="s">
        <v>47</v>
      </c>
      <c r="C252" s="203" t="s">
        <v>69</v>
      </c>
      <c r="D252" s="205" t="s">
        <v>100</v>
      </c>
      <c r="E252" s="203" t="s">
        <v>71</v>
      </c>
      <c r="F252" s="205">
        <v>6800</v>
      </c>
      <c r="G252" s="206">
        <v>20.420000000000002</v>
      </c>
      <c r="H252" s="206">
        <v>0</v>
      </c>
      <c r="I252" s="207">
        <v>0</v>
      </c>
      <c r="J252" s="208">
        <v>0</v>
      </c>
      <c r="K252" s="204" t="s">
        <v>9</v>
      </c>
      <c r="L252" s="209">
        <f t="shared" si="12"/>
        <v>138911.12820000001</v>
      </c>
      <c r="M252" s="78"/>
      <c r="N252" s="34"/>
      <c r="O252" s="78"/>
      <c r="P252" s="78"/>
      <c r="Q252" s="78"/>
      <c r="R252" s="36">
        <f t="shared" si="13"/>
        <v>25915.317581855401</v>
      </c>
      <c r="S252" s="37" t="str">
        <f t="shared" si="14"/>
        <v/>
      </c>
      <c r="T252" s="37"/>
      <c r="X252" s="448">
        <f t="shared" si="15"/>
        <v>-1959.23</v>
      </c>
      <c r="Y252" s="42">
        <f t="shared" si="16"/>
        <v>44159</v>
      </c>
    </row>
    <row r="253" spans="1:25" ht="14.5">
      <c r="A253" s="201">
        <v>44062</v>
      </c>
      <c r="B253" s="283" t="s">
        <v>48</v>
      </c>
      <c r="C253" s="203" t="s">
        <v>69</v>
      </c>
      <c r="D253" s="205" t="s">
        <v>100</v>
      </c>
      <c r="E253" s="203" t="s">
        <v>71</v>
      </c>
      <c r="F253" s="205">
        <v>6800</v>
      </c>
      <c r="G253" s="206">
        <v>20.63</v>
      </c>
      <c r="H253" s="206">
        <v>20.43</v>
      </c>
      <c r="I253" s="207">
        <v>1390.73</v>
      </c>
      <c r="J253" s="208">
        <v>1</v>
      </c>
      <c r="K253" s="204" t="s">
        <v>9</v>
      </c>
      <c r="L253" s="210" t="str">
        <f t="shared" si="12"/>
        <v/>
      </c>
      <c r="M253" s="78"/>
      <c r="N253" s="34"/>
      <c r="O253" s="78"/>
      <c r="P253" s="78"/>
      <c r="Q253" s="78"/>
      <c r="R253" s="36">
        <f t="shared" si="13"/>
        <v>26174.470757673957</v>
      </c>
      <c r="S253" s="37">
        <f t="shared" si="14"/>
        <v>259.15317581855561</v>
      </c>
      <c r="T253" s="37"/>
      <c r="X253" s="39" t="str">
        <f t="shared" si="15"/>
        <v/>
      </c>
      <c r="Y253" s="42" t="str">
        <f t="shared" si="16"/>
        <v/>
      </c>
    </row>
    <row r="254" spans="1:25" ht="14.5">
      <c r="A254" s="47">
        <v>44062</v>
      </c>
      <c r="B254" s="48" t="s">
        <v>47</v>
      </c>
      <c r="C254" s="49" t="s">
        <v>69</v>
      </c>
      <c r="D254" s="54" t="s">
        <v>101</v>
      </c>
      <c r="E254" s="49" t="s">
        <v>71</v>
      </c>
      <c r="F254" s="50">
        <v>2400</v>
      </c>
      <c r="G254" s="51">
        <v>59.01</v>
      </c>
      <c r="H254" s="51">
        <v>0</v>
      </c>
      <c r="I254" s="52">
        <v>0</v>
      </c>
      <c r="J254" s="53">
        <v>0</v>
      </c>
      <c r="K254" s="54" t="s">
        <v>9</v>
      </c>
      <c r="L254" s="55">
        <f t="shared" si="12"/>
        <v>141680.02780000001</v>
      </c>
      <c r="M254" s="78"/>
      <c r="N254" s="34"/>
      <c r="O254" s="78"/>
      <c r="P254" s="78"/>
      <c r="Q254" s="78"/>
      <c r="R254" s="36">
        <f t="shared" si="13"/>
        <v>26174.470757673957</v>
      </c>
      <c r="S254" s="37" t="str">
        <f t="shared" si="14"/>
        <v/>
      </c>
      <c r="T254" s="37"/>
      <c r="X254" s="449">
        <f t="shared" si="15"/>
        <v>531.25</v>
      </c>
      <c r="Y254" s="42">
        <f t="shared" si="16"/>
        <v>44160</v>
      </c>
    </row>
    <row r="255" spans="1:25" ht="14.5">
      <c r="A255" s="47">
        <v>44063</v>
      </c>
      <c r="B255" s="48" t="s">
        <v>48</v>
      </c>
      <c r="C255" s="49" t="s">
        <v>69</v>
      </c>
      <c r="D255" s="54" t="s">
        <v>101</v>
      </c>
      <c r="E255" s="49" t="s">
        <v>71</v>
      </c>
      <c r="F255" s="50">
        <v>2400</v>
      </c>
      <c r="G255" s="51">
        <v>59.01</v>
      </c>
      <c r="H255" s="51">
        <v>59.01</v>
      </c>
      <c r="I255" s="52">
        <v>13.49</v>
      </c>
      <c r="J255" s="53">
        <v>0</v>
      </c>
      <c r="K255" s="54" t="s">
        <v>9</v>
      </c>
      <c r="L255" s="55" t="str">
        <f t="shared" si="12"/>
        <v/>
      </c>
      <c r="M255" s="78"/>
      <c r="N255" s="34"/>
      <c r="O255" s="78"/>
      <c r="P255" s="78"/>
      <c r="Q255" s="78"/>
      <c r="R255" s="36">
        <f t="shared" si="13"/>
        <v>26174.470757673957</v>
      </c>
      <c r="S255" s="37" t="str">
        <f t="shared" si="14"/>
        <v/>
      </c>
      <c r="T255" s="37"/>
      <c r="X255" s="449">
        <f t="shared" si="15"/>
        <v>438.43</v>
      </c>
      <c r="Y255" s="42">
        <f t="shared" si="16"/>
        <v>44160</v>
      </c>
    </row>
    <row r="256" spans="1:25" ht="14.5">
      <c r="A256" s="201">
        <v>44063</v>
      </c>
      <c r="B256" s="283" t="s">
        <v>47</v>
      </c>
      <c r="C256" s="203" t="s">
        <v>69</v>
      </c>
      <c r="D256" s="205" t="s">
        <v>100</v>
      </c>
      <c r="E256" s="203" t="s">
        <v>71</v>
      </c>
      <c r="F256" s="205">
        <v>6800</v>
      </c>
      <c r="G256" s="206">
        <v>20.66</v>
      </c>
      <c r="H256" s="206">
        <v>0</v>
      </c>
      <c r="I256" s="207">
        <v>0</v>
      </c>
      <c r="J256" s="208">
        <v>0</v>
      </c>
      <c r="K256" s="204" t="s">
        <v>9</v>
      </c>
      <c r="L256" s="209">
        <f t="shared" si="12"/>
        <v>140543.6586</v>
      </c>
      <c r="M256" s="78"/>
      <c r="N256" s="34"/>
      <c r="O256" s="78"/>
      <c r="P256" s="78"/>
      <c r="Q256" s="78"/>
      <c r="R256" s="36">
        <f t="shared" si="13"/>
        <v>26174.470757673957</v>
      </c>
      <c r="S256" s="37" t="str">
        <f t="shared" si="14"/>
        <v/>
      </c>
      <c r="T256" s="37"/>
      <c r="X256" s="39" t="str">
        <f t="shared" si="15"/>
        <v/>
      </c>
      <c r="Y256" s="42" t="str">
        <f t="shared" si="16"/>
        <v/>
      </c>
    </row>
    <row r="257" spans="1:25" ht="14.5">
      <c r="A257" s="201">
        <v>44064</v>
      </c>
      <c r="B257" s="283" t="s">
        <v>48</v>
      </c>
      <c r="C257" s="203" t="s">
        <v>69</v>
      </c>
      <c r="D257" s="205" t="s">
        <v>100</v>
      </c>
      <c r="E257" s="203" t="s">
        <v>71</v>
      </c>
      <c r="F257" s="205">
        <v>6800</v>
      </c>
      <c r="G257" s="206">
        <v>20.88</v>
      </c>
      <c r="H257" s="206">
        <v>20.67</v>
      </c>
      <c r="I257" s="207">
        <v>1457.71</v>
      </c>
      <c r="J257" s="208">
        <v>1.03</v>
      </c>
      <c r="K257" s="204" t="s">
        <v>9</v>
      </c>
      <c r="L257" s="209" t="str">
        <f t="shared" si="12"/>
        <v/>
      </c>
      <c r="M257" s="78"/>
      <c r="N257" s="34"/>
      <c r="O257" s="78"/>
      <c r="P257" s="78"/>
      <c r="Q257" s="78"/>
      <c r="R257" s="36">
        <f t="shared" si="13"/>
        <v>26444.067806477997</v>
      </c>
      <c r="S257" s="37">
        <f t="shared" si="14"/>
        <v>269.59704880404024</v>
      </c>
      <c r="T257" s="37"/>
      <c r="X257" s="448">
        <f t="shared" si="15"/>
        <v>-3650.08</v>
      </c>
      <c r="Y257" s="42">
        <f t="shared" si="16"/>
        <v>44161</v>
      </c>
    </row>
    <row r="258" spans="1:25" ht="14.5">
      <c r="A258" s="47">
        <v>44064</v>
      </c>
      <c r="B258" s="48" t="s">
        <v>47</v>
      </c>
      <c r="C258" s="49" t="s">
        <v>69</v>
      </c>
      <c r="D258" s="54" t="s">
        <v>101</v>
      </c>
      <c r="E258" s="49" t="s">
        <v>71</v>
      </c>
      <c r="F258" s="50">
        <v>2300</v>
      </c>
      <c r="G258" s="51">
        <v>61.72</v>
      </c>
      <c r="H258" s="51">
        <v>0</v>
      </c>
      <c r="I258" s="52">
        <v>0</v>
      </c>
      <c r="J258" s="53">
        <v>0</v>
      </c>
      <c r="K258" s="54" t="s">
        <v>9</v>
      </c>
      <c r="L258" s="55">
        <f t="shared" si="12"/>
        <v>142012.13570000001</v>
      </c>
      <c r="M258" s="78"/>
      <c r="N258" s="34"/>
      <c r="O258" s="78"/>
      <c r="P258" s="78"/>
      <c r="Q258" s="78"/>
      <c r="R258" s="36">
        <f t="shared" si="13"/>
        <v>26444.067806477997</v>
      </c>
      <c r="S258" s="37" t="str">
        <f t="shared" si="14"/>
        <v/>
      </c>
      <c r="T258" s="37"/>
      <c r="X258" s="39" t="str">
        <f t="shared" si="15"/>
        <v/>
      </c>
      <c r="Y258" s="42" t="str">
        <f t="shared" si="16"/>
        <v/>
      </c>
    </row>
    <row r="259" spans="1:25" ht="14.5">
      <c r="A259" s="47">
        <v>44067</v>
      </c>
      <c r="B259" s="48" t="s">
        <v>48</v>
      </c>
      <c r="C259" s="49" t="s">
        <v>69</v>
      </c>
      <c r="D259" s="54" t="s">
        <v>101</v>
      </c>
      <c r="E259" s="49" t="s">
        <v>71</v>
      </c>
      <c r="F259" s="50">
        <v>2300</v>
      </c>
      <c r="G259" s="51">
        <v>62.34</v>
      </c>
      <c r="H259" s="51">
        <v>61.72</v>
      </c>
      <c r="I259" s="52">
        <v>1433.85</v>
      </c>
      <c r="J259" s="53">
        <v>1.01</v>
      </c>
      <c r="K259" s="54" t="s">
        <v>9</v>
      </c>
      <c r="L259" s="55" t="str">
        <f t="shared" ref="L259:L300" si="17">IF(B259="Compra",(F259*G259)+10+(F259*G259*0.000325),"")</f>
        <v/>
      </c>
      <c r="M259" s="78"/>
      <c r="N259" s="34"/>
      <c r="O259" s="78"/>
      <c r="P259" s="78"/>
      <c r="Q259" s="78"/>
      <c r="R259" s="36">
        <f t="shared" si="13"/>
        <v>26711.152891323425</v>
      </c>
      <c r="S259" s="37">
        <f t="shared" si="14"/>
        <v>267.08508484542836</v>
      </c>
      <c r="T259" s="37"/>
      <c r="X259" s="448">
        <f t="shared" si="15"/>
        <v>-1679.96</v>
      </c>
      <c r="Y259" s="42">
        <f t="shared" si="16"/>
        <v>44162</v>
      </c>
    </row>
    <row r="260" spans="1:25" ht="14.5">
      <c r="A260" s="201">
        <v>44067</v>
      </c>
      <c r="B260" s="283" t="s">
        <v>47</v>
      </c>
      <c r="C260" s="203" t="s">
        <v>69</v>
      </c>
      <c r="D260" s="205" t="s">
        <v>100</v>
      </c>
      <c r="E260" s="203" t="s">
        <v>71</v>
      </c>
      <c r="F260" s="205">
        <v>6700</v>
      </c>
      <c r="G260" s="206">
        <v>21.34</v>
      </c>
      <c r="H260" s="206">
        <v>0</v>
      </c>
      <c r="I260" s="207">
        <v>0</v>
      </c>
      <c r="J260" s="208">
        <v>0</v>
      </c>
      <c r="K260" s="204" t="s">
        <v>9</v>
      </c>
      <c r="L260" s="209">
        <f t="shared" si="17"/>
        <v>143034.46784999999</v>
      </c>
      <c r="M260" s="78"/>
      <c r="N260" s="34"/>
      <c r="O260" s="78"/>
      <c r="P260" s="78"/>
      <c r="Q260" s="78"/>
      <c r="R260" s="36">
        <f t="shared" si="13"/>
        <v>26711.152891323425</v>
      </c>
      <c r="S260" s="37" t="str">
        <f t="shared" si="14"/>
        <v/>
      </c>
      <c r="T260" s="37"/>
      <c r="X260" s="39" t="str">
        <f t="shared" si="15"/>
        <v/>
      </c>
      <c r="Y260" s="42" t="str">
        <f t="shared" si="16"/>
        <v/>
      </c>
    </row>
    <row r="261" spans="1:25" ht="14.5">
      <c r="A261" s="201">
        <v>44068</v>
      </c>
      <c r="B261" s="283" t="s">
        <v>48</v>
      </c>
      <c r="C261" s="203" t="s">
        <v>69</v>
      </c>
      <c r="D261" s="205" t="s">
        <v>100</v>
      </c>
      <c r="E261" s="203" t="s">
        <v>71</v>
      </c>
      <c r="F261" s="205">
        <v>6700</v>
      </c>
      <c r="G261" s="206">
        <v>21.56</v>
      </c>
      <c r="H261" s="206">
        <v>21.35</v>
      </c>
      <c r="I261" s="207">
        <v>1433.19</v>
      </c>
      <c r="J261" s="208">
        <v>1</v>
      </c>
      <c r="K261" s="204" t="s">
        <v>9</v>
      </c>
      <c r="L261" s="209" t="str">
        <f t="shared" si="17"/>
        <v/>
      </c>
      <c r="M261" s="78"/>
      <c r="N261" s="34"/>
      <c r="O261" s="78"/>
      <c r="P261" s="78"/>
      <c r="Q261" s="78"/>
      <c r="R261" s="36">
        <f t="shared" si="13"/>
        <v>26978.264420236661</v>
      </c>
      <c r="S261" s="37">
        <f t="shared" si="14"/>
        <v>267.11152891323582</v>
      </c>
      <c r="T261" s="37"/>
      <c r="X261" s="448">
        <f t="shared" si="15"/>
        <v>1268.03</v>
      </c>
      <c r="Y261" s="42">
        <f t="shared" si="16"/>
        <v>44165</v>
      </c>
    </row>
    <row r="262" spans="1:25" ht="14.5">
      <c r="A262" s="47">
        <v>44068</v>
      </c>
      <c r="B262" s="48" t="s">
        <v>47</v>
      </c>
      <c r="C262" s="49" t="s">
        <v>69</v>
      </c>
      <c r="D262" s="54" t="s">
        <v>101</v>
      </c>
      <c r="E262" s="49" t="s">
        <v>71</v>
      </c>
      <c r="F262" s="50">
        <v>2300</v>
      </c>
      <c r="G262" s="51">
        <v>60.93</v>
      </c>
      <c r="H262" s="51">
        <v>0</v>
      </c>
      <c r="I262" s="52">
        <v>0</v>
      </c>
      <c r="J262" s="53">
        <v>0</v>
      </c>
      <c r="K262" s="54" t="s">
        <v>9</v>
      </c>
      <c r="L262" s="55">
        <f t="shared" si="17"/>
        <v>140194.54517500001</v>
      </c>
      <c r="M262" s="78"/>
      <c r="N262" s="34"/>
      <c r="O262" s="78"/>
      <c r="P262" s="78"/>
      <c r="Q262" s="78"/>
      <c r="R262" s="36">
        <f t="shared" si="13"/>
        <v>26978.264420236661</v>
      </c>
      <c r="S262" s="37" t="str">
        <f t="shared" si="14"/>
        <v/>
      </c>
      <c r="T262" s="37"/>
      <c r="X262" s="39" t="str">
        <f t="shared" si="15"/>
        <v/>
      </c>
      <c r="Y262" s="42" t="str">
        <f t="shared" si="16"/>
        <v/>
      </c>
    </row>
    <row r="263" spans="1:25" ht="14.5">
      <c r="A263" s="47">
        <v>44069</v>
      </c>
      <c r="B263" s="48" t="s">
        <v>48</v>
      </c>
      <c r="C263" s="49" t="s">
        <v>69</v>
      </c>
      <c r="D263" s="54" t="s">
        <v>101</v>
      </c>
      <c r="E263" s="49" t="s">
        <v>71</v>
      </c>
      <c r="F263" s="50">
        <v>2300</v>
      </c>
      <c r="G263" s="51">
        <v>61.55</v>
      </c>
      <c r="H263" s="51">
        <v>60.93</v>
      </c>
      <c r="I263" s="52">
        <v>1434.96</v>
      </c>
      <c r="J263" s="53">
        <v>1.02</v>
      </c>
      <c r="K263" s="54" t="s">
        <v>9</v>
      </c>
      <c r="L263" s="55" t="str">
        <f t="shared" si="17"/>
        <v/>
      </c>
      <c r="M263" s="78"/>
      <c r="N263" s="34"/>
      <c r="O263" s="78"/>
      <c r="P263" s="78"/>
      <c r="Q263" s="78"/>
      <c r="R263" s="36">
        <f t="shared" si="13"/>
        <v>27253.442717323076</v>
      </c>
      <c r="S263" s="37">
        <f t="shared" si="14"/>
        <v>275.17829708641511</v>
      </c>
      <c r="T263" s="37"/>
      <c r="X263" s="448">
        <f t="shared" si="15"/>
        <v>1178.17</v>
      </c>
      <c r="Y263" s="42">
        <f t="shared" si="16"/>
        <v>44166</v>
      </c>
    </row>
    <row r="264" spans="1:25" ht="14.5">
      <c r="A264" s="201">
        <v>44069</v>
      </c>
      <c r="B264" s="283" t="s">
        <v>47</v>
      </c>
      <c r="C264" s="203" t="s">
        <v>69</v>
      </c>
      <c r="D264" s="205" t="s">
        <v>100</v>
      </c>
      <c r="E264" s="203" t="s">
        <v>71</v>
      </c>
      <c r="F264" s="205">
        <v>7000</v>
      </c>
      <c r="G264" s="206">
        <v>20.71</v>
      </c>
      <c r="H264" s="206">
        <v>0</v>
      </c>
      <c r="I264" s="207">
        <v>0</v>
      </c>
      <c r="J264" s="208">
        <v>0</v>
      </c>
      <c r="K264" s="204" t="s">
        <v>9</v>
      </c>
      <c r="L264" s="209">
        <f t="shared" si="17"/>
        <v>145027.11525</v>
      </c>
      <c r="M264" s="78"/>
      <c r="N264" s="34"/>
      <c r="O264" s="78"/>
      <c r="P264" s="78"/>
      <c r="Q264" s="78"/>
      <c r="R264" s="36">
        <f t="shared" si="13"/>
        <v>27253.442717323076</v>
      </c>
      <c r="S264" s="37" t="str">
        <f t="shared" si="14"/>
        <v/>
      </c>
      <c r="T264" s="37"/>
      <c r="X264" s="39" t="str">
        <f t="shared" si="15"/>
        <v/>
      </c>
      <c r="Y264" s="42" t="str">
        <f t="shared" si="16"/>
        <v/>
      </c>
    </row>
    <row r="265" spans="1:25" ht="14.5">
      <c r="A265" s="201">
        <v>44070</v>
      </c>
      <c r="B265" s="283" t="s">
        <v>48</v>
      </c>
      <c r="C265" s="203" t="s">
        <v>69</v>
      </c>
      <c r="D265" s="205" t="s">
        <v>100</v>
      </c>
      <c r="E265" s="203" t="s">
        <v>71</v>
      </c>
      <c r="F265" s="205">
        <v>7000</v>
      </c>
      <c r="G265" s="206">
        <v>20.93</v>
      </c>
      <c r="H265" s="206">
        <v>20.72</v>
      </c>
      <c r="I265" s="207">
        <v>1500.95</v>
      </c>
      <c r="J265" s="208">
        <v>1.03</v>
      </c>
      <c r="K265" s="204" t="s">
        <v>9</v>
      </c>
      <c r="L265" s="209" t="str">
        <f t="shared" si="17"/>
        <v/>
      </c>
      <c r="M265" s="78"/>
      <c r="N265" s="34"/>
      <c r="O265" s="78"/>
      <c r="P265" s="78"/>
      <c r="Q265" s="78"/>
      <c r="R265" s="36">
        <f t="shared" si="13"/>
        <v>27534.153177311502</v>
      </c>
      <c r="S265" s="37">
        <f t="shared" si="14"/>
        <v>280.71045998842601</v>
      </c>
      <c r="T265" s="37"/>
      <c r="X265" s="448">
        <f t="shared" si="15"/>
        <v>1283.1600000000001</v>
      </c>
      <c r="Y265" s="42">
        <f t="shared" si="16"/>
        <v>44167</v>
      </c>
    </row>
    <row r="266" spans="1:25" ht="14.5">
      <c r="A266" s="47">
        <v>44070</v>
      </c>
      <c r="B266" s="48" t="s">
        <v>47</v>
      </c>
      <c r="C266" s="49" t="s">
        <v>69</v>
      </c>
      <c r="D266" s="54" t="s">
        <v>101</v>
      </c>
      <c r="E266" s="49" t="s">
        <v>71</v>
      </c>
      <c r="F266" s="50">
        <v>2200</v>
      </c>
      <c r="G266" s="51">
        <v>66.62</v>
      </c>
      <c r="H266" s="51">
        <v>0</v>
      </c>
      <c r="I266" s="52">
        <v>0</v>
      </c>
      <c r="J266" s="53">
        <v>0</v>
      </c>
      <c r="K266" s="54" t="s">
        <v>9</v>
      </c>
      <c r="L266" s="55">
        <f t="shared" si="17"/>
        <v>146621.63329999999</v>
      </c>
      <c r="M266" s="78"/>
      <c r="N266" s="34"/>
      <c r="O266" s="78"/>
      <c r="P266" s="78"/>
      <c r="Q266" s="78"/>
      <c r="R266" s="36">
        <f t="shared" si="13"/>
        <v>27534.153177311502</v>
      </c>
      <c r="S266" s="37" t="str">
        <f t="shared" si="14"/>
        <v/>
      </c>
      <c r="T266" s="37"/>
      <c r="X266" s="39" t="str">
        <f t="shared" si="15"/>
        <v/>
      </c>
      <c r="Y266" s="42" t="str">
        <f t="shared" si="16"/>
        <v/>
      </c>
    </row>
    <row r="267" spans="1:25" ht="14.5">
      <c r="A267" s="47">
        <v>44071</v>
      </c>
      <c r="B267" s="48" t="s">
        <v>48</v>
      </c>
      <c r="C267" s="49" t="s">
        <v>69</v>
      </c>
      <c r="D267" s="54" t="s">
        <v>101</v>
      </c>
      <c r="E267" s="49" t="s">
        <v>71</v>
      </c>
      <c r="F267" s="50">
        <v>2200</v>
      </c>
      <c r="G267" s="51">
        <v>64.510000000000019</v>
      </c>
      <c r="H267" s="51">
        <v>66.62</v>
      </c>
      <c r="I267" s="52">
        <v>-4639.1099999999997</v>
      </c>
      <c r="J267" s="53">
        <v>-3.16</v>
      </c>
      <c r="K267" s="54" t="s">
        <v>9</v>
      </c>
      <c r="L267" s="55" t="str">
        <f t="shared" si="17"/>
        <v/>
      </c>
      <c r="M267" s="78"/>
      <c r="N267" s="34"/>
      <c r="O267" s="78"/>
      <c r="P267" s="78"/>
      <c r="Q267" s="78"/>
      <c r="R267" s="36">
        <f t="shared" si="13"/>
        <v>26664.073936908459</v>
      </c>
      <c r="S267" s="37">
        <f t="shared" si="14"/>
        <v>-870.07924040304351</v>
      </c>
      <c r="T267" s="37"/>
      <c r="X267" s="448">
        <f t="shared" si="15"/>
        <v>1268.24</v>
      </c>
      <c r="Y267" s="42">
        <f t="shared" si="16"/>
        <v>44168</v>
      </c>
    </row>
    <row r="268" spans="1:25" ht="14.5">
      <c r="A268" s="201">
        <v>44071</v>
      </c>
      <c r="B268" s="283" t="s">
        <v>47</v>
      </c>
      <c r="C268" s="203" t="s">
        <v>69</v>
      </c>
      <c r="D268" s="205" t="s">
        <v>100</v>
      </c>
      <c r="E268" s="203" t="s">
        <v>71</v>
      </c>
      <c r="F268" s="205">
        <v>6300</v>
      </c>
      <c r="G268" s="206">
        <v>22.4</v>
      </c>
      <c r="H268" s="206">
        <v>0</v>
      </c>
      <c r="I268" s="207">
        <v>0</v>
      </c>
      <c r="J268" s="208">
        <v>0</v>
      </c>
      <c r="K268" s="204" t="s">
        <v>9</v>
      </c>
      <c r="L268" s="209">
        <f t="shared" si="17"/>
        <v>141175.864</v>
      </c>
      <c r="M268" s="78"/>
      <c r="N268" s="34"/>
      <c r="O268" s="78"/>
      <c r="P268" s="78"/>
      <c r="Q268" s="78"/>
      <c r="R268" s="36">
        <f t="shared" si="13"/>
        <v>26664.073936908459</v>
      </c>
      <c r="S268" s="37" t="str">
        <f t="shared" si="14"/>
        <v/>
      </c>
      <c r="T268" s="37"/>
      <c r="X268" s="39" t="str">
        <f t="shared" si="15"/>
        <v/>
      </c>
      <c r="Y268" s="42" t="str">
        <f t="shared" si="16"/>
        <v/>
      </c>
    </row>
    <row r="269" spans="1:25" ht="14.5">
      <c r="A269" s="201">
        <v>44074</v>
      </c>
      <c r="B269" s="283" t="s">
        <v>48</v>
      </c>
      <c r="C269" s="203" t="s">
        <v>69</v>
      </c>
      <c r="D269" s="205" t="s">
        <v>100</v>
      </c>
      <c r="E269" s="203" t="s">
        <v>71</v>
      </c>
      <c r="F269" s="205">
        <v>6300</v>
      </c>
      <c r="G269" s="206">
        <v>21.95</v>
      </c>
      <c r="H269" s="206">
        <v>22.41</v>
      </c>
      <c r="I269" s="207">
        <v>-2877.34</v>
      </c>
      <c r="J269" s="208">
        <v>-2.0299999999999998</v>
      </c>
      <c r="K269" s="204" t="s">
        <v>9</v>
      </c>
      <c r="L269" s="209" t="str">
        <f t="shared" si="17"/>
        <v/>
      </c>
      <c r="M269" s="78"/>
      <c r="N269" s="34"/>
      <c r="O269" s="78"/>
      <c r="P269" s="78"/>
      <c r="Q269" s="78"/>
      <c r="R269" s="36">
        <f t="shared" si="13"/>
        <v>26122.793235989218</v>
      </c>
      <c r="S269" s="37">
        <f t="shared" si="14"/>
        <v>-541.28070091924019</v>
      </c>
      <c r="T269" s="37"/>
      <c r="X269" s="448">
        <f t="shared" si="15"/>
        <v>2476.86</v>
      </c>
      <c r="Y269" s="42">
        <f t="shared" si="16"/>
        <v>44169</v>
      </c>
    </row>
    <row r="270" spans="1:25" ht="14.5">
      <c r="A270" s="284">
        <v>44074</v>
      </c>
      <c r="B270" s="285" t="s">
        <v>47</v>
      </c>
      <c r="C270" s="286" t="s">
        <v>69</v>
      </c>
      <c r="D270" s="287" t="s">
        <v>101</v>
      </c>
      <c r="E270" s="286" t="s">
        <v>71</v>
      </c>
      <c r="F270" s="288">
        <v>2100</v>
      </c>
      <c r="G270" s="289">
        <v>64.760000000000019</v>
      </c>
      <c r="H270" s="289">
        <v>0</v>
      </c>
      <c r="I270" s="290">
        <v>0</v>
      </c>
      <c r="J270" s="291">
        <v>0</v>
      </c>
      <c r="K270" s="287" t="s">
        <v>9</v>
      </c>
      <c r="L270" s="292">
        <f t="shared" si="17"/>
        <v>136050.19870000004</v>
      </c>
      <c r="M270" s="383"/>
      <c r="N270" s="68"/>
      <c r="O270" s="78"/>
      <c r="P270" s="78"/>
      <c r="Q270" s="78"/>
      <c r="R270" s="36">
        <f t="shared" si="13"/>
        <v>26122.793235989218</v>
      </c>
      <c r="S270" s="37" t="str">
        <f t="shared" si="14"/>
        <v/>
      </c>
      <c r="T270" s="37"/>
      <c r="X270" s="39" t="str">
        <f t="shared" si="15"/>
        <v/>
      </c>
      <c r="Y270" s="42" t="str">
        <f t="shared" si="16"/>
        <v/>
      </c>
    </row>
    <row r="271" spans="1:25" ht="14.5">
      <c r="A271" s="293">
        <v>44075</v>
      </c>
      <c r="B271" s="294" t="s">
        <v>48</v>
      </c>
      <c r="C271" s="295" t="s">
        <v>69</v>
      </c>
      <c r="D271" s="296" t="s">
        <v>101</v>
      </c>
      <c r="E271" s="295" t="s">
        <v>71</v>
      </c>
      <c r="F271" s="297">
        <v>2100</v>
      </c>
      <c r="G271" s="298">
        <v>65.73</v>
      </c>
      <c r="H271" s="298">
        <v>64.760000000000019</v>
      </c>
      <c r="I271" s="299">
        <v>2044.32</v>
      </c>
      <c r="J271" s="300">
        <v>1.5</v>
      </c>
      <c r="K271" s="296" t="s">
        <v>9</v>
      </c>
      <c r="L271" s="576" t="str">
        <f t="shared" si="17"/>
        <v/>
      </c>
      <c r="M271" s="33" t="s">
        <v>42</v>
      </c>
      <c r="N271" s="34"/>
      <c r="O271" s="78"/>
      <c r="P271" s="78"/>
      <c r="Q271" s="78"/>
      <c r="R271" s="36">
        <f t="shared" si="13"/>
        <v>26514.635134529053</v>
      </c>
      <c r="S271" s="37">
        <f t="shared" si="14"/>
        <v>391.8418985398348</v>
      </c>
      <c r="T271" s="37"/>
      <c r="X271" s="448">
        <f t="shared" si="15"/>
        <v>1328.23</v>
      </c>
      <c r="Y271" s="42">
        <f t="shared" si="16"/>
        <v>44172</v>
      </c>
    </row>
    <row r="272" spans="1:25" ht="14.5">
      <c r="A272" s="211">
        <v>44075</v>
      </c>
      <c r="B272" s="321" t="s">
        <v>47</v>
      </c>
      <c r="C272" s="213" t="s">
        <v>69</v>
      </c>
      <c r="D272" s="215" t="s">
        <v>104</v>
      </c>
      <c r="E272" s="213" t="s">
        <v>71</v>
      </c>
      <c r="F272" s="215">
        <v>11600</v>
      </c>
      <c r="G272" s="216">
        <v>12.79</v>
      </c>
      <c r="H272" s="216">
        <v>0</v>
      </c>
      <c r="I272" s="217">
        <v>0</v>
      </c>
      <c r="J272" s="218">
        <v>0</v>
      </c>
      <c r="K272" s="214" t="s">
        <v>9</v>
      </c>
      <c r="L272" s="322">
        <f t="shared" si="17"/>
        <v>148422.21830000001</v>
      </c>
      <c r="M272" s="45" t="s">
        <v>21</v>
      </c>
      <c r="N272" s="34"/>
      <c r="O272" s="78"/>
      <c r="P272" s="78"/>
      <c r="Q272" s="78"/>
      <c r="R272" s="36">
        <f t="shared" si="13"/>
        <v>26514.635134529053</v>
      </c>
      <c r="S272" s="37" t="str">
        <f t="shared" si="14"/>
        <v/>
      </c>
      <c r="T272" s="37"/>
      <c r="X272" s="39" t="str">
        <f t="shared" si="15"/>
        <v/>
      </c>
      <c r="Y272" s="42" t="str">
        <f t="shared" si="16"/>
        <v/>
      </c>
    </row>
    <row r="273" spans="1:25" ht="14.5">
      <c r="A273" s="211">
        <v>44076</v>
      </c>
      <c r="B273" s="321" t="s">
        <v>48</v>
      </c>
      <c r="C273" s="213" t="s">
        <v>69</v>
      </c>
      <c r="D273" s="215" t="s">
        <v>104</v>
      </c>
      <c r="E273" s="213" t="s">
        <v>71</v>
      </c>
      <c r="F273" s="215">
        <v>11600</v>
      </c>
      <c r="G273" s="216">
        <v>12.7</v>
      </c>
      <c r="H273" s="216">
        <v>12.79</v>
      </c>
      <c r="I273" s="217">
        <v>-990.28</v>
      </c>
      <c r="J273" s="218">
        <v>-0.66000000000000014</v>
      </c>
      <c r="K273" s="214" t="s">
        <v>9</v>
      </c>
      <c r="L273" s="322" t="str">
        <f t="shared" si="17"/>
        <v/>
      </c>
      <c r="M273" s="56">
        <f>IFERROR(AVERAGE(L271:L305),0)</f>
        <v>147664.55597968749</v>
      </c>
      <c r="N273" s="34"/>
      <c r="O273" s="78"/>
      <c r="P273" s="78"/>
      <c r="Q273" s="78"/>
      <c r="R273" s="36">
        <f t="shared" si="13"/>
        <v>26339.638542641162</v>
      </c>
      <c r="S273" s="37">
        <f t="shared" si="14"/>
        <v>-174.99659188789155</v>
      </c>
      <c r="T273" s="37"/>
      <c r="X273" s="448">
        <f t="shared" si="15"/>
        <v>1311.98</v>
      </c>
      <c r="Y273" s="42">
        <f t="shared" si="16"/>
        <v>44173</v>
      </c>
    </row>
    <row r="274" spans="1:25" ht="14.5">
      <c r="A274" s="165">
        <v>44076</v>
      </c>
      <c r="B274" s="246" t="s">
        <v>47</v>
      </c>
      <c r="C274" s="167" t="s">
        <v>69</v>
      </c>
      <c r="D274" s="169" t="s">
        <v>105</v>
      </c>
      <c r="E274" s="167" t="s">
        <v>71</v>
      </c>
      <c r="F274" s="169">
        <v>7300</v>
      </c>
      <c r="G274" s="170">
        <v>19.98</v>
      </c>
      <c r="H274" s="170">
        <v>0</v>
      </c>
      <c r="I274" s="171">
        <v>0</v>
      </c>
      <c r="J274" s="172">
        <v>0</v>
      </c>
      <c r="K274" s="168" t="s">
        <v>9</v>
      </c>
      <c r="L274" s="273">
        <f t="shared" si="17"/>
        <v>145911.40255</v>
      </c>
      <c r="M274" s="45" t="s">
        <v>24</v>
      </c>
      <c r="N274" s="34"/>
      <c r="O274" s="78"/>
      <c r="P274" s="78"/>
      <c r="Q274" s="78"/>
      <c r="R274" s="36">
        <f t="shared" si="13"/>
        <v>26339.638542641162</v>
      </c>
      <c r="S274" s="37" t="str">
        <f t="shared" si="14"/>
        <v/>
      </c>
      <c r="T274" s="37"/>
      <c r="X274" s="39" t="str">
        <f t="shared" si="15"/>
        <v/>
      </c>
      <c r="Y274" s="42" t="str">
        <f t="shared" si="16"/>
        <v/>
      </c>
    </row>
    <row r="275" spans="1:25" ht="14.5">
      <c r="A275" s="165">
        <v>44077</v>
      </c>
      <c r="B275" s="246" t="s">
        <v>48</v>
      </c>
      <c r="C275" s="167" t="s">
        <v>69</v>
      </c>
      <c r="D275" s="169" t="s">
        <v>105</v>
      </c>
      <c r="E275" s="167" t="s">
        <v>71</v>
      </c>
      <c r="F275" s="169">
        <v>7300</v>
      </c>
      <c r="G275" s="170">
        <v>20.190000000000001</v>
      </c>
      <c r="H275" s="170">
        <v>19.989999999999998</v>
      </c>
      <c r="I275" s="171">
        <v>1508.57</v>
      </c>
      <c r="J275" s="172">
        <v>1.03</v>
      </c>
      <c r="K275" s="168" t="s">
        <v>9</v>
      </c>
      <c r="L275" s="273" t="str">
        <f t="shared" si="17"/>
        <v/>
      </c>
      <c r="M275" s="56">
        <f>SUM(I271:I305)</f>
        <v>-21864.04</v>
      </c>
      <c r="N275" s="34"/>
      <c r="O275" s="78"/>
      <c r="P275" s="78"/>
      <c r="Q275" s="78"/>
      <c r="R275" s="36">
        <f t="shared" si="13"/>
        <v>26610.936819630366</v>
      </c>
      <c r="S275" s="37">
        <f t="shared" si="14"/>
        <v>271.29827698920417</v>
      </c>
      <c r="T275" s="37"/>
      <c r="X275" s="448">
        <f t="shared" si="15"/>
        <v>1304.77</v>
      </c>
      <c r="Y275" s="42">
        <f t="shared" si="16"/>
        <v>44174</v>
      </c>
    </row>
    <row r="276" spans="1:25" ht="14.5">
      <c r="A276" s="211">
        <v>44077</v>
      </c>
      <c r="B276" s="321" t="s">
        <v>47</v>
      </c>
      <c r="C276" s="213" t="s">
        <v>69</v>
      </c>
      <c r="D276" s="215" t="s">
        <v>104</v>
      </c>
      <c r="E276" s="213" t="s">
        <v>71</v>
      </c>
      <c r="F276" s="215">
        <v>11700</v>
      </c>
      <c r="G276" s="216">
        <v>12.52</v>
      </c>
      <c r="H276" s="216">
        <v>0</v>
      </c>
      <c r="I276" s="217">
        <v>0</v>
      </c>
      <c r="J276" s="218">
        <v>0</v>
      </c>
      <c r="K276" s="214" t="s">
        <v>9</v>
      </c>
      <c r="L276" s="322">
        <f t="shared" si="17"/>
        <v>146541.6073</v>
      </c>
      <c r="M276" s="45" t="s">
        <v>27</v>
      </c>
      <c r="N276" s="34"/>
      <c r="O276" s="78"/>
      <c r="P276" s="78"/>
      <c r="Q276" s="78"/>
      <c r="R276" s="36">
        <f t="shared" si="13"/>
        <v>26610.936819630366</v>
      </c>
      <c r="S276" s="37" t="str">
        <f t="shared" si="14"/>
        <v/>
      </c>
      <c r="T276" s="37"/>
      <c r="X276" s="39" t="str">
        <f t="shared" si="15"/>
        <v/>
      </c>
      <c r="Y276" s="42" t="str">
        <f t="shared" si="16"/>
        <v/>
      </c>
    </row>
    <row r="277" spans="1:25" ht="14.5">
      <c r="A277" s="211">
        <v>44078</v>
      </c>
      <c r="B277" s="321" t="s">
        <v>48</v>
      </c>
      <c r="C277" s="213" t="s">
        <v>69</v>
      </c>
      <c r="D277" s="215" t="s">
        <v>104</v>
      </c>
      <c r="E277" s="213" t="s">
        <v>71</v>
      </c>
      <c r="F277" s="215">
        <v>11700</v>
      </c>
      <c r="G277" s="216">
        <v>12.65</v>
      </c>
      <c r="H277" s="216">
        <v>12.52</v>
      </c>
      <c r="I277" s="217">
        <v>1540.17</v>
      </c>
      <c r="J277" s="218">
        <v>1.05</v>
      </c>
      <c r="K277" s="214" t="s">
        <v>9</v>
      </c>
      <c r="L277" s="322" t="str">
        <f t="shared" si="17"/>
        <v/>
      </c>
      <c r="M277" s="66">
        <f>SUM(J271:J305)/100-(J289/100)</f>
        <v>-0.15099999999999997</v>
      </c>
      <c r="N277" s="34"/>
      <c r="O277" s="78"/>
      <c r="P277" s="78"/>
      <c r="Q277" s="78"/>
      <c r="R277" s="36">
        <f t="shared" si="13"/>
        <v>26890.351656236482</v>
      </c>
      <c r="S277" s="37">
        <f t="shared" si="14"/>
        <v>279.4148366061163</v>
      </c>
      <c r="T277" s="37"/>
      <c r="X277" s="448">
        <f t="shared" si="15"/>
        <v>-300.39999999999998</v>
      </c>
      <c r="Y277" s="42">
        <f t="shared" si="16"/>
        <v>44175</v>
      </c>
    </row>
    <row r="278" spans="1:25" ht="14.5">
      <c r="A278" s="323">
        <v>44078</v>
      </c>
      <c r="B278" s="324" t="s">
        <v>47</v>
      </c>
      <c r="C278" s="325" t="s">
        <v>69</v>
      </c>
      <c r="D278" s="326" t="s">
        <v>73</v>
      </c>
      <c r="E278" s="325" t="s">
        <v>71</v>
      </c>
      <c r="F278" s="326">
        <v>19600</v>
      </c>
      <c r="G278" s="327">
        <v>7.59</v>
      </c>
      <c r="H278" s="327">
        <v>0</v>
      </c>
      <c r="I278" s="328">
        <v>0</v>
      </c>
      <c r="J278" s="329">
        <v>0</v>
      </c>
      <c r="K278" s="330" t="s">
        <v>9</v>
      </c>
      <c r="L278" s="331">
        <f t="shared" si="17"/>
        <v>148822.34830000001</v>
      </c>
      <c r="M278" s="319"/>
      <c r="N278" s="68"/>
      <c r="O278" s="78"/>
      <c r="P278" s="78"/>
      <c r="Q278" s="78"/>
      <c r="R278" s="36">
        <f t="shared" si="13"/>
        <v>26890.351656236482</v>
      </c>
      <c r="S278" s="37" t="str">
        <f t="shared" si="14"/>
        <v/>
      </c>
      <c r="T278" s="37"/>
      <c r="X278" s="39" t="str">
        <f t="shared" si="15"/>
        <v/>
      </c>
      <c r="Y278" s="42" t="str">
        <f t="shared" si="16"/>
        <v/>
      </c>
    </row>
    <row r="279" spans="1:25" ht="14.5">
      <c r="A279" s="323">
        <v>44082</v>
      </c>
      <c r="B279" s="324" t="s">
        <v>48</v>
      </c>
      <c r="C279" s="325" t="s">
        <v>69</v>
      </c>
      <c r="D279" s="326" t="s">
        <v>73</v>
      </c>
      <c r="E279" s="325" t="s">
        <v>71</v>
      </c>
      <c r="F279" s="326">
        <v>19600</v>
      </c>
      <c r="G279" s="327">
        <v>7.67</v>
      </c>
      <c r="H279" s="327">
        <v>7.59</v>
      </c>
      <c r="I279" s="328">
        <v>1664.74</v>
      </c>
      <c r="J279" s="329">
        <v>1.1100000000000001</v>
      </c>
      <c r="K279" s="330" t="s">
        <v>9</v>
      </c>
      <c r="L279" s="331" t="str">
        <f t="shared" si="17"/>
        <v/>
      </c>
      <c r="M279" s="78"/>
      <c r="N279" s="34"/>
      <c r="O279" s="78"/>
      <c r="P279" s="78"/>
      <c r="Q279" s="78"/>
      <c r="R279" s="36">
        <f t="shared" si="13"/>
        <v>27188.834559620711</v>
      </c>
      <c r="S279" s="37">
        <f t="shared" si="14"/>
        <v>298.48290338422885</v>
      </c>
      <c r="T279" s="37"/>
      <c r="X279" s="448">
        <f t="shared" si="15"/>
        <v>-2335.8200000000002</v>
      </c>
      <c r="Y279" s="42">
        <f t="shared" si="16"/>
        <v>44176</v>
      </c>
    </row>
    <row r="280" spans="1:25" ht="14.5">
      <c r="A280" s="107">
        <v>44082</v>
      </c>
      <c r="B280" s="108" t="s">
        <v>47</v>
      </c>
      <c r="C280" s="109" t="s">
        <v>69</v>
      </c>
      <c r="D280" s="110" t="s">
        <v>106</v>
      </c>
      <c r="E280" s="109" t="s">
        <v>71</v>
      </c>
      <c r="F280" s="111">
        <v>13000</v>
      </c>
      <c r="G280" s="112">
        <v>11.4</v>
      </c>
      <c r="H280" s="112">
        <v>0</v>
      </c>
      <c r="I280" s="113">
        <v>0</v>
      </c>
      <c r="J280" s="114">
        <v>0</v>
      </c>
      <c r="K280" s="110" t="s">
        <v>9</v>
      </c>
      <c r="L280" s="115">
        <f t="shared" si="17"/>
        <v>148258.16500000001</v>
      </c>
      <c r="M280" s="78"/>
      <c r="N280" s="34"/>
      <c r="O280" s="78"/>
      <c r="P280" s="78"/>
      <c r="Q280" s="78"/>
      <c r="R280" s="36">
        <f t="shared" si="13"/>
        <v>27188.834559620711</v>
      </c>
      <c r="S280" s="37" t="str">
        <f t="shared" si="14"/>
        <v/>
      </c>
      <c r="T280" s="37"/>
      <c r="X280" s="39" t="str">
        <f t="shared" si="15"/>
        <v/>
      </c>
      <c r="Y280" s="42" t="str">
        <f t="shared" si="16"/>
        <v/>
      </c>
    </row>
    <row r="281" spans="1:25" ht="14.5">
      <c r="A281" s="107">
        <v>44083</v>
      </c>
      <c r="B281" s="108" t="s">
        <v>48</v>
      </c>
      <c r="C281" s="109" t="s">
        <v>69</v>
      </c>
      <c r="D281" s="110" t="s">
        <v>106</v>
      </c>
      <c r="E281" s="109" t="s">
        <v>71</v>
      </c>
      <c r="F281" s="111">
        <v>13000</v>
      </c>
      <c r="G281" s="112">
        <v>11.52</v>
      </c>
      <c r="H281" s="112">
        <v>11.4</v>
      </c>
      <c r="I281" s="113">
        <v>1591.1</v>
      </c>
      <c r="J281" s="114">
        <v>1.07</v>
      </c>
      <c r="K281" s="110" t="s">
        <v>9</v>
      </c>
      <c r="L281" s="115" t="str">
        <f t="shared" si="17"/>
        <v/>
      </c>
      <c r="M281" s="78"/>
      <c r="N281" s="34"/>
      <c r="O281" s="78"/>
      <c r="P281" s="78"/>
      <c r="Q281" s="78"/>
      <c r="R281" s="36">
        <f t="shared" si="13"/>
        <v>27479.755089408649</v>
      </c>
      <c r="S281" s="37">
        <f t="shared" si="14"/>
        <v>290.92052978793799</v>
      </c>
      <c r="T281" s="37"/>
      <c r="X281" s="448">
        <f t="shared" si="15"/>
        <v>1645.3</v>
      </c>
      <c r="Y281" s="42">
        <f t="shared" si="16"/>
        <v>44179</v>
      </c>
    </row>
    <row r="282" spans="1:25" ht="14.5">
      <c r="A282" s="323">
        <v>44083</v>
      </c>
      <c r="B282" s="324" t="s">
        <v>47</v>
      </c>
      <c r="C282" s="325" t="s">
        <v>69</v>
      </c>
      <c r="D282" s="326" t="s">
        <v>73</v>
      </c>
      <c r="E282" s="325" t="s">
        <v>71</v>
      </c>
      <c r="F282" s="326">
        <v>18700</v>
      </c>
      <c r="G282" s="327">
        <v>8.08</v>
      </c>
      <c r="H282" s="327">
        <v>0</v>
      </c>
      <c r="I282" s="328">
        <v>0</v>
      </c>
      <c r="J282" s="329">
        <v>0</v>
      </c>
      <c r="K282" s="330" t="s">
        <v>9</v>
      </c>
      <c r="L282" s="331">
        <f t="shared" si="17"/>
        <v>151155.10620000001</v>
      </c>
      <c r="M282" s="78"/>
      <c r="N282" s="34"/>
      <c r="O282" s="78"/>
      <c r="P282" s="78"/>
      <c r="Q282" s="78"/>
      <c r="R282" s="36">
        <f t="shared" si="13"/>
        <v>27479.755089408649</v>
      </c>
      <c r="S282" s="37" t="str">
        <f t="shared" si="14"/>
        <v/>
      </c>
      <c r="T282" s="37"/>
      <c r="X282" s="39" t="str">
        <f t="shared" si="15"/>
        <v/>
      </c>
      <c r="Y282" s="42" t="str">
        <f t="shared" si="16"/>
        <v/>
      </c>
    </row>
    <row r="283" spans="1:25" ht="14.5">
      <c r="A283" s="323">
        <v>44084</v>
      </c>
      <c r="B283" s="324" t="s">
        <v>48</v>
      </c>
      <c r="C283" s="325" t="s">
        <v>69</v>
      </c>
      <c r="D283" s="326" t="s">
        <v>73</v>
      </c>
      <c r="E283" s="325" t="s">
        <v>71</v>
      </c>
      <c r="F283" s="326">
        <v>18700</v>
      </c>
      <c r="G283" s="327">
        <v>8.16</v>
      </c>
      <c r="H283" s="327">
        <v>8.08</v>
      </c>
      <c r="I283" s="328">
        <v>1582.33</v>
      </c>
      <c r="J283" s="329">
        <v>1.04</v>
      </c>
      <c r="K283" s="330" t="s">
        <v>9</v>
      </c>
      <c r="L283" s="331" t="str">
        <f t="shared" si="17"/>
        <v/>
      </c>
      <c r="M283" s="78"/>
      <c r="N283" s="34"/>
      <c r="O283" s="78"/>
      <c r="P283" s="78"/>
      <c r="Q283" s="78"/>
      <c r="R283" s="36">
        <f t="shared" si="13"/>
        <v>27765.544542338499</v>
      </c>
      <c r="S283" s="37">
        <f t="shared" si="14"/>
        <v>285.78945292985009</v>
      </c>
      <c r="T283" s="37"/>
      <c r="X283" s="448">
        <f t="shared" si="15"/>
        <v>1727.78</v>
      </c>
      <c r="Y283" s="42">
        <f t="shared" si="16"/>
        <v>44180</v>
      </c>
    </row>
    <row r="284" spans="1:25" ht="14.5">
      <c r="A284" s="107">
        <v>44084</v>
      </c>
      <c r="B284" s="108" t="s">
        <v>47</v>
      </c>
      <c r="C284" s="109" t="s">
        <v>69</v>
      </c>
      <c r="D284" s="110" t="s">
        <v>106</v>
      </c>
      <c r="E284" s="109" t="s">
        <v>71</v>
      </c>
      <c r="F284" s="111">
        <v>13500</v>
      </c>
      <c r="G284" s="112">
        <v>11.02</v>
      </c>
      <c r="H284" s="112">
        <v>0</v>
      </c>
      <c r="I284" s="113">
        <v>0</v>
      </c>
      <c r="J284" s="114">
        <v>0</v>
      </c>
      <c r="K284" s="110" t="s">
        <v>9</v>
      </c>
      <c r="L284" s="115">
        <f t="shared" si="17"/>
        <v>148828.35024999999</v>
      </c>
      <c r="M284" s="78"/>
      <c r="N284" s="34"/>
      <c r="O284" s="78"/>
      <c r="P284" s="78"/>
      <c r="Q284" s="78"/>
      <c r="R284" s="36">
        <f t="shared" si="13"/>
        <v>27765.544542338499</v>
      </c>
      <c r="S284" s="37" t="str">
        <f t="shared" si="14"/>
        <v/>
      </c>
      <c r="T284" s="37"/>
      <c r="X284" s="39" t="str">
        <f t="shared" si="15"/>
        <v/>
      </c>
      <c r="Y284" s="42" t="str">
        <f t="shared" si="16"/>
        <v/>
      </c>
    </row>
    <row r="285" spans="1:25" ht="14.5">
      <c r="A285" s="107">
        <v>44085</v>
      </c>
      <c r="B285" s="108" t="s">
        <v>48</v>
      </c>
      <c r="C285" s="109" t="s">
        <v>69</v>
      </c>
      <c r="D285" s="110" t="s">
        <v>106</v>
      </c>
      <c r="E285" s="109" t="s">
        <v>71</v>
      </c>
      <c r="F285" s="111">
        <v>13500</v>
      </c>
      <c r="G285" s="112">
        <v>11.13</v>
      </c>
      <c r="H285" s="112">
        <v>11.02</v>
      </c>
      <c r="I285" s="113">
        <v>1520.78</v>
      </c>
      <c r="J285" s="114">
        <v>1.02</v>
      </c>
      <c r="K285" s="110" t="s">
        <v>9</v>
      </c>
      <c r="L285" s="115" t="str">
        <f t="shared" si="17"/>
        <v/>
      </c>
      <c r="M285" s="78"/>
      <c r="N285" s="34"/>
      <c r="O285" s="78"/>
      <c r="P285" s="78"/>
      <c r="Q285" s="78"/>
      <c r="R285" s="36">
        <f t="shared" si="13"/>
        <v>28048.753096670353</v>
      </c>
      <c r="S285" s="37">
        <f t="shared" si="14"/>
        <v>283.20855433185352</v>
      </c>
      <c r="T285" s="37"/>
      <c r="X285" s="448">
        <f t="shared" si="15"/>
        <v>1237.47</v>
      </c>
      <c r="Y285" s="42">
        <f t="shared" si="16"/>
        <v>44181</v>
      </c>
    </row>
    <row r="286" spans="1:25" ht="14.5">
      <c r="A286" s="323">
        <v>44085</v>
      </c>
      <c r="B286" s="324" t="s">
        <v>47</v>
      </c>
      <c r="C286" s="325" t="s">
        <v>69</v>
      </c>
      <c r="D286" s="326" t="s">
        <v>73</v>
      </c>
      <c r="E286" s="325" t="s">
        <v>71</v>
      </c>
      <c r="F286" s="326">
        <v>19500</v>
      </c>
      <c r="G286" s="327">
        <v>8.0399999999999991</v>
      </c>
      <c r="H286" s="327">
        <v>0</v>
      </c>
      <c r="I286" s="328">
        <v>0</v>
      </c>
      <c r="J286" s="329">
        <v>0</v>
      </c>
      <c r="K286" s="330" t="s">
        <v>9</v>
      </c>
      <c r="L286" s="331">
        <f t="shared" si="17"/>
        <v>156840.95349999997</v>
      </c>
      <c r="M286" s="78"/>
      <c r="N286" s="68"/>
      <c r="O286" s="78"/>
      <c r="P286" s="78"/>
      <c r="Q286" s="78"/>
      <c r="R286" s="36">
        <f t="shared" si="13"/>
        <v>28048.753096670353</v>
      </c>
      <c r="S286" s="37" t="str">
        <f t="shared" si="14"/>
        <v/>
      </c>
      <c r="T286" s="37"/>
      <c r="X286" s="39" t="str">
        <f t="shared" si="15"/>
        <v/>
      </c>
      <c r="Y286" s="42" t="str">
        <f t="shared" si="16"/>
        <v/>
      </c>
    </row>
    <row r="287" spans="1:25" ht="14.5">
      <c r="A287" s="323">
        <v>44088</v>
      </c>
      <c r="B287" s="324" t="s">
        <v>48</v>
      </c>
      <c r="C287" s="325" t="s">
        <v>69</v>
      </c>
      <c r="D287" s="326" t="s">
        <v>73</v>
      </c>
      <c r="E287" s="325" t="s">
        <v>71</v>
      </c>
      <c r="F287" s="326">
        <v>19500</v>
      </c>
      <c r="G287" s="327">
        <v>8.1199999999999992</v>
      </c>
      <c r="H287" s="327">
        <v>8.0399999999999991</v>
      </c>
      <c r="I287" s="328">
        <v>1638.83</v>
      </c>
      <c r="J287" s="329">
        <v>1.04</v>
      </c>
      <c r="K287" s="330" t="s">
        <v>9</v>
      </c>
      <c r="L287" s="331" t="str">
        <f t="shared" si="17"/>
        <v/>
      </c>
      <c r="M287" s="78"/>
      <c r="N287" s="34"/>
      <c r="O287" s="78"/>
      <c r="P287" s="78"/>
      <c r="Q287" s="78"/>
      <c r="R287" s="36">
        <f t="shared" si="13"/>
        <v>28340.460128875722</v>
      </c>
      <c r="S287" s="37">
        <f t="shared" si="14"/>
        <v>291.70703220536961</v>
      </c>
      <c r="T287" s="37"/>
      <c r="X287" s="448">
        <f t="shared" si="15"/>
        <v>2558.98</v>
      </c>
      <c r="Y287" s="42">
        <f t="shared" si="16"/>
        <v>44182</v>
      </c>
    </row>
    <row r="288" spans="1:25" ht="14.5">
      <c r="A288" s="107">
        <v>44088</v>
      </c>
      <c r="B288" s="108" t="s">
        <v>47</v>
      </c>
      <c r="C288" s="109" t="s">
        <v>69</v>
      </c>
      <c r="D288" s="110" t="s">
        <v>106</v>
      </c>
      <c r="E288" s="109" t="s">
        <v>71</v>
      </c>
      <c r="F288" s="111">
        <v>14300</v>
      </c>
      <c r="G288" s="112">
        <v>11.05</v>
      </c>
      <c r="H288" s="112">
        <v>0</v>
      </c>
      <c r="I288" s="113">
        <v>0</v>
      </c>
      <c r="J288" s="114">
        <v>0</v>
      </c>
      <c r="K288" s="110" t="s">
        <v>9</v>
      </c>
      <c r="L288" s="115">
        <f t="shared" si="17"/>
        <v>158076.35487499999</v>
      </c>
      <c r="M288" s="78"/>
      <c r="N288" s="34"/>
      <c r="O288" s="78"/>
      <c r="P288" s="78"/>
      <c r="Q288" s="78"/>
      <c r="R288" s="36">
        <f t="shared" si="13"/>
        <v>28340.460128875722</v>
      </c>
      <c r="S288" s="37" t="str">
        <f t="shared" si="14"/>
        <v/>
      </c>
      <c r="T288" s="37"/>
      <c r="X288" s="39" t="str">
        <f t="shared" si="15"/>
        <v/>
      </c>
      <c r="Y288" s="42" t="str">
        <f t="shared" si="16"/>
        <v/>
      </c>
    </row>
    <row r="289" spans="1:25" ht="14.5">
      <c r="A289" s="107">
        <v>44089</v>
      </c>
      <c r="B289" s="108" t="s">
        <v>48</v>
      </c>
      <c r="C289" s="109" t="s">
        <v>69</v>
      </c>
      <c r="D289" s="110" t="s">
        <v>106</v>
      </c>
      <c r="E289" s="109" t="s">
        <v>71</v>
      </c>
      <c r="F289" s="111">
        <v>7000</v>
      </c>
      <c r="G289" s="112">
        <v>10.75</v>
      </c>
      <c r="H289" s="112">
        <v>11.05</v>
      </c>
      <c r="I289" s="113">
        <v>-2061.46</v>
      </c>
      <c r="J289" s="114">
        <v>-2.66</v>
      </c>
      <c r="K289" s="110" t="s">
        <v>9</v>
      </c>
      <c r="L289" s="115" t="str">
        <f t="shared" si="17"/>
        <v/>
      </c>
      <c r="M289" s="78"/>
      <c r="N289" s="34"/>
      <c r="O289" s="78"/>
      <c r="P289" s="78"/>
      <c r="Q289" s="78"/>
      <c r="R289" s="36">
        <f>R288</f>
        <v>28340.460128875722</v>
      </c>
      <c r="S289" s="37" t="str">
        <f t="shared" si="14"/>
        <v/>
      </c>
      <c r="T289" s="37"/>
      <c r="X289" s="448">
        <f t="shared" si="15"/>
        <v>-1867.19</v>
      </c>
      <c r="Y289" s="42">
        <f t="shared" si="16"/>
        <v>44183</v>
      </c>
    </row>
    <row r="290" spans="1:25" ht="14.5">
      <c r="A290" s="107">
        <v>44089</v>
      </c>
      <c r="B290" s="108" t="s">
        <v>48</v>
      </c>
      <c r="C290" s="109" t="s">
        <v>69</v>
      </c>
      <c r="D290" s="110" t="s">
        <v>106</v>
      </c>
      <c r="E290" s="109" t="s">
        <v>71</v>
      </c>
      <c r="F290" s="111">
        <v>7300</v>
      </c>
      <c r="G290" s="112">
        <v>10.71</v>
      </c>
      <c r="H290" s="112">
        <v>11.05</v>
      </c>
      <c r="I290" s="113">
        <v>-2449.5700000000002</v>
      </c>
      <c r="J290" s="114">
        <v>-3.03</v>
      </c>
      <c r="K290" s="110" t="s">
        <v>9</v>
      </c>
      <c r="L290" s="115" t="str">
        <f t="shared" si="17"/>
        <v/>
      </c>
      <c r="M290" s="78"/>
      <c r="N290" s="34"/>
      <c r="O290" s="78"/>
      <c r="P290" s="78"/>
      <c r="Q290" s="78"/>
      <c r="R290" s="36">
        <f t="shared" ref="R290:R353" si="18">R289*((J290/100)+1)</f>
        <v>27481.744186970787</v>
      </c>
      <c r="S290" s="37">
        <f t="shared" si="14"/>
        <v>-858.71594190493488</v>
      </c>
      <c r="T290" s="37"/>
      <c r="X290" s="39" t="str">
        <f t="shared" si="15"/>
        <v/>
      </c>
      <c r="Y290" s="42" t="str">
        <f t="shared" si="16"/>
        <v/>
      </c>
    </row>
    <row r="291" spans="1:25" ht="14.5">
      <c r="A291" s="211">
        <v>44090</v>
      </c>
      <c r="B291" s="321" t="s">
        <v>47</v>
      </c>
      <c r="C291" s="213" t="s">
        <v>69</v>
      </c>
      <c r="D291" s="215" t="s">
        <v>104</v>
      </c>
      <c r="E291" s="213" t="s">
        <v>71</v>
      </c>
      <c r="F291" s="215">
        <v>11400</v>
      </c>
      <c r="G291" s="216">
        <v>13.07</v>
      </c>
      <c r="H291" s="216">
        <v>0</v>
      </c>
      <c r="I291" s="217">
        <v>0</v>
      </c>
      <c r="J291" s="218">
        <v>0</v>
      </c>
      <c r="K291" s="214" t="s">
        <v>9</v>
      </c>
      <c r="L291" s="322">
        <f t="shared" si="17"/>
        <v>149056.42434999999</v>
      </c>
      <c r="M291" s="78"/>
      <c r="N291" s="34"/>
      <c r="O291" s="78"/>
      <c r="P291" s="78"/>
      <c r="Q291" s="78"/>
      <c r="R291" s="36">
        <f t="shared" si="18"/>
        <v>27481.744186970787</v>
      </c>
      <c r="S291" s="37" t="str">
        <f t="shared" si="14"/>
        <v/>
      </c>
      <c r="T291" s="37"/>
      <c r="X291" s="448">
        <f t="shared" si="15"/>
        <v>2425.7399999999998</v>
      </c>
      <c r="Y291" s="42">
        <f t="shared" si="16"/>
        <v>44188</v>
      </c>
    </row>
    <row r="292" spans="1:25" ht="14.5">
      <c r="A292" s="211">
        <v>44091</v>
      </c>
      <c r="B292" s="321" t="s">
        <v>48</v>
      </c>
      <c r="C292" s="213" t="s">
        <v>69</v>
      </c>
      <c r="D292" s="215" t="s">
        <v>104</v>
      </c>
      <c r="E292" s="213" t="s">
        <v>71</v>
      </c>
      <c r="F292" s="215">
        <v>11400</v>
      </c>
      <c r="G292" s="216">
        <v>12.79</v>
      </c>
      <c r="H292" s="216">
        <v>13.07</v>
      </c>
      <c r="I292" s="217">
        <v>-3183.91</v>
      </c>
      <c r="J292" s="218">
        <v>-2.13</v>
      </c>
      <c r="K292" s="214" t="s">
        <v>9</v>
      </c>
      <c r="L292" s="322" t="str">
        <f t="shared" si="17"/>
        <v/>
      </c>
      <c r="M292" s="78"/>
      <c r="N292" s="34"/>
      <c r="O292" s="78"/>
      <c r="P292" s="78"/>
      <c r="Q292" s="78"/>
      <c r="R292" s="36">
        <f t="shared" si="18"/>
        <v>26896.383035788309</v>
      </c>
      <c r="S292" s="37">
        <f t="shared" si="14"/>
        <v>-585.36115118247835</v>
      </c>
      <c r="T292" s="37"/>
      <c r="X292" s="39" t="str">
        <f t="shared" si="15"/>
        <v/>
      </c>
      <c r="Y292" s="42" t="str">
        <f t="shared" si="16"/>
        <v/>
      </c>
    </row>
    <row r="293" spans="1:25" ht="14.5">
      <c r="A293" s="323">
        <v>44091</v>
      </c>
      <c r="B293" s="324" t="s">
        <v>47</v>
      </c>
      <c r="C293" s="325" t="s">
        <v>69</v>
      </c>
      <c r="D293" s="326" t="s">
        <v>73</v>
      </c>
      <c r="E293" s="325" t="s">
        <v>71</v>
      </c>
      <c r="F293" s="326">
        <v>16400</v>
      </c>
      <c r="G293" s="327">
        <v>9.02</v>
      </c>
      <c r="H293" s="327">
        <v>0</v>
      </c>
      <c r="I293" s="328">
        <v>0</v>
      </c>
      <c r="J293" s="329">
        <v>0</v>
      </c>
      <c r="K293" s="330" t="s">
        <v>9</v>
      </c>
      <c r="L293" s="331">
        <f t="shared" si="17"/>
        <v>147986.0766</v>
      </c>
      <c r="M293" s="78"/>
      <c r="N293" s="34"/>
      <c r="O293" s="78"/>
      <c r="P293" s="78"/>
      <c r="Q293" s="78"/>
      <c r="R293" s="36">
        <f t="shared" si="18"/>
        <v>26896.383035788309</v>
      </c>
      <c r="S293" s="37" t="str">
        <f t="shared" si="14"/>
        <v/>
      </c>
      <c r="T293" s="37"/>
      <c r="X293" s="448">
        <f t="shared" si="15"/>
        <v>1281.57</v>
      </c>
      <c r="Y293" s="42">
        <f t="shared" si="16"/>
        <v>44193</v>
      </c>
    </row>
    <row r="294" spans="1:25" ht="14.5">
      <c r="A294" s="323">
        <v>44092</v>
      </c>
      <c r="B294" s="324" t="s">
        <v>48</v>
      </c>
      <c r="C294" s="325" t="s">
        <v>69</v>
      </c>
      <c r="D294" s="326" t="s">
        <v>73</v>
      </c>
      <c r="E294" s="325" t="s">
        <v>71</v>
      </c>
      <c r="F294" s="326">
        <v>16400</v>
      </c>
      <c r="G294" s="327">
        <v>9.11</v>
      </c>
      <c r="H294" s="327">
        <v>9.02</v>
      </c>
      <c r="I294" s="328">
        <v>1529.29</v>
      </c>
      <c r="J294" s="329">
        <v>1.03</v>
      </c>
      <c r="K294" s="330" t="s">
        <v>9</v>
      </c>
      <c r="L294" s="331" t="str">
        <f t="shared" si="17"/>
        <v/>
      </c>
      <c r="M294" s="78"/>
      <c r="N294" s="68"/>
      <c r="O294" s="78"/>
      <c r="P294" s="78"/>
      <c r="Q294" s="78"/>
      <c r="R294" s="36">
        <f t="shared" si="18"/>
        <v>27173.415781056927</v>
      </c>
      <c r="S294" s="37">
        <f t="shared" si="14"/>
        <v>277.03274526861787</v>
      </c>
      <c r="T294" s="37"/>
      <c r="X294" s="39" t="str">
        <f t="shared" si="15"/>
        <v/>
      </c>
      <c r="Y294" s="42" t="str">
        <f t="shared" si="16"/>
        <v/>
      </c>
    </row>
    <row r="295" spans="1:25" ht="14.5">
      <c r="A295" s="165">
        <v>44092</v>
      </c>
      <c r="B295" s="246" t="s">
        <v>47</v>
      </c>
      <c r="C295" s="167" t="s">
        <v>69</v>
      </c>
      <c r="D295" s="169" t="s">
        <v>107</v>
      </c>
      <c r="E295" s="167" t="s">
        <v>71</v>
      </c>
      <c r="F295" s="169">
        <v>5300</v>
      </c>
      <c r="G295" s="170">
        <v>28.21</v>
      </c>
      <c r="H295" s="170">
        <v>0</v>
      </c>
      <c r="I295" s="171">
        <v>0</v>
      </c>
      <c r="J295" s="172">
        <v>0</v>
      </c>
      <c r="K295" s="168" t="s">
        <v>9</v>
      </c>
      <c r="L295" s="273">
        <f t="shared" si="17"/>
        <v>149571.59172500001</v>
      </c>
      <c r="M295" s="78"/>
      <c r="N295" s="34"/>
      <c r="O295" s="78"/>
      <c r="P295" s="78"/>
      <c r="Q295" s="78"/>
      <c r="R295" s="36">
        <f t="shared" si="18"/>
        <v>27173.415781056927</v>
      </c>
      <c r="S295" s="37" t="str">
        <f t="shared" si="14"/>
        <v/>
      </c>
      <c r="T295" s="37"/>
      <c r="X295" s="448">
        <f t="shared" si="15"/>
        <v>1299.1099999999999</v>
      </c>
      <c r="Y295" s="42">
        <f t="shared" si="16"/>
        <v>44194</v>
      </c>
    </row>
    <row r="296" spans="1:25" ht="14.5">
      <c r="A296" s="165">
        <v>44095</v>
      </c>
      <c r="B296" s="246" t="s">
        <v>48</v>
      </c>
      <c r="C296" s="167" t="s">
        <v>69</v>
      </c>
      <c r="D296" s="169" t="s">
        <v>107</v>
      </c>
      <c r="E296" s="167" t="s">
        <v>71</v>
      </c>
      <c r="F296" s="169">
        <v>5300</v>
      </c>
      <c r="G296" s="170">
        <v>26.54</v>
      </c>
      <c r="H296" s="170">
        <v>28.21</v>
      </c>
      <c r="I296" s="171">
        <v>-8850.4599999999991</v>
      </c>
      <c r="J296" s="172">
        <v>-5.91</v>
      </c>
      <c r="K296" s="168" t="s">
        <v>9</v>
      </c>
      <c r="L296" s="273" t="str">
        <f t="shared" si="17"/>
        <v/>
      </c>
      <c r="M296" s="78"/>
      <c r="N296" s="34"/>
      <c r="O296" s="78"/>
      <c r="P296" s="78"/>
      <c r="Q296" s="78"/>
      <c r="R296" s="36">
        <f t="shared" si="18"/>
        <v>25567.466908396462</v>
      </c>
      <c r="S296" s="37">
        <f t="shared" si="14"/>
        <v>-1605.948872660465</v>
      </c>
      <c r="T296" s="37"/>
      <c r="X296" s="39" t="str">
        <f t="shared" si="15"/>
        <v/>
      </c>
      <c r="Y296" s="42" t="str">
        <f t="shared" si="16"/>
        <v/>
      </c>
    </row>
    <row r="297" spans="1:25" ht="14.5">
      <c r="A297" s="323">
        <v>44096</v>
      </c>
      <c r="B297" s="324" t="s">
        <v>47</v>
      </c>
      <c r="C297" s="325" t="s">
        <v>69</v>
      </c>
      <c r="D297" s="326" t="s">
        <v>73</v>
      </c>
      <c r="E297" s="325" t="s">
        <v>71</v>
      </c>
      <c r="F297" s="326">
        <v>16900</v>
      </c>
      <c r="G297" s="327">
        <v>8.57</v>
      </c>
      <c r="H297" s="327">
        <v>0</v>
      </c>
      <c r="I297" s="328">
        <v>0</v>
      </c>
      <c r="J297" s="329">
        <v>0</v>
      </c>
      <c r="K297" s="330" t="s">
        <v>9</v>
      </c>
      <c r="L297" s="331">
        <f t="shared" si="17"/>
        <v>144890.070725</v>
      </c>
      <c r="M297" s="78"/>
      <c r="N297" s="34"/>
      <c r="O297" s="78"/>
      <c r="P297" s="78"/>
      <c r="Q297" s="78"/>
      <c r="R297" s="36">
        <f t="shared" si="18"/>
        <v>25567.466908396462</v>
      </c>
      <c r="S297" s="37" t="str">
        <f t="shared" si="14"/>
        <v/>
      </c>
      <c r="T297" s="37"/>
      <c r="X297" s="39" t="str">
        <f t="shared" si="15"/>
        <v/>
      </c>
      <c r="Y297" s="42" t="str">
        <f t="shared" si="16"/>
        <v/>
      </c>
    </row>
    <row r="298" spans="1:25" ht="14.5">
      <c r="A298" s="323">
        <v>44097</v>
      </c>
      <c r="B298" s="324" t="s">
        <v>48</v>
      </c>
      <c r="C298" s="325" t="s">
        <v>69</v>
      </c>
      <c r="D298" s="326" t="s">
        <v>73</v>
      </c>
      <c r="E298" s="325" t="s">
        <v>71</v>
      </c>
      <c r="F298" s="326">
        <v>16900</v>
      </c>
      <c r="G298" s="327">
        <v>8.17</v>
      </c>
      <c r="H298" s="327">
        <v>8.57</v>
      </c>
      <c r="I298" s="328">
        <v>-6697.29</v>
      </c>
      <c r="J298" s="329">
        <v>-4.62</v>
      </c>
      <c r="K298" s="330" t="s">
        <v>9</v>
      </c>
      <c r="L298" s="331" t="str">
        <f t="shared" si="17"/>
        <v/>
      </c>
      <c r="M298" s="78"/>
      <c r="N298" s="34"/>
      <c r="O298" s="78"/>
      <c r="P298" s="78"/>
      <c r="Q298" s="78"/>
      <c r="R298" s="36">
        <f t="shared" si="18"/>
        <v>24386.249937228546</v>
      </c>
      <c r="S298" s="37">
        <f t="shared" si="14"/>
        <v>-1181.2169711679162</v>
      </c>
      <c r="T298" s="37"/>
      <c r="X298" s="39" t="str">
        <f t="shared" si="15"/>
        <v/>
      </c>
      <c r="Y298" s="42" t="str">
        <f t="shared" si="16"/>
        <v/>
      </c>
    </row>
    <row r="299" spans="1:25" ht="14.5">
      <c r="A299" s="98">
        <v>44097</v>
      </c>
      <c r="B299" s="137" t="s">
        <v>47</v>
      </c>
      <c r="C299" s="138" t="s">
        <v>69</v>
      </c>
      <c r="D299" s="139" t="s">
        <v>76</v>
      </c>
      <c r="E299" s="138" t="s">
        <v>71</v>
      </c>
      <c r="F299" s="140">
        <v>81000</v>
      </c>
      <c r="G299" s="141">
        <v>1.6799999999999997</v>
      </c>
      <c r="H299" s="141">
        <v>0</v>
      </c>
      <c r="I299" s="142">
        <v>0</v>
      </c>
      <c r="J299" s="143">
        <v>0</v>
      </c>
      <c r="K299" s="139" t="s">
        <v>9</v>
      </c>
      <c r="L299" s="144">
        <f t="shared" si="17"/>
        <v>136134.22599999997</v>
      </c>
      <c r="M299" s="78"/>
      <c r="N299" s="34"/>
      <c r="O299" s="78"/>
      <c r="P299" s="78"/>
      <c r="Q299" s="78"/>
      <c r="R299" s="36">
        <f t="shared" si="18"/>
        <v>24386.249937228546</v>
      </c>
      <c r="S299" s="37" t="str">
        <f t="shared" si="14"/>
        <v/>
      </c>
      <c r="T299" s="37"/>
      <c r="X299" s="39" t="str">
        <f t="shared" si="15"/>
        <v/>
      </c>
      <c r="Y299" s="42" t="str">
        <f t="shared" si="16"/>
        <v/>
      </c>
    </row>
    <row r="300" spans="1:25" ht="14.5">
      <c r="A300" s="98">
        <v>44098</v>
      </c>
      <c r="B300" s="137" t="s">
        <v>48</v>
      </c>
      <c r="C300" s="138" t="s">
        <v>69</v>
      </c>
      <c r="D300" s="139" t="s">
        <v>76</v>
      </c>
      <c r="E300" s="138" t="s">
        <v>71</v>
      </c>
      <c r="F300" s="140">
        <v>81000</v>
      </c>
      <c r="G300" s="141">
        <v>1.71</v>
      </c>
      <c r="H300" s="141">
        <v>1.6799999999999997</v>
      </c>
      <c r="I300" s="142">
        <v>3136.05</v>
      </c>
      <c r="J300" s="143">
        <v>2.2999999999999998</v>
      </c>
      <c r="K300" s="139" t="s">
        <v>9</v>
      </c>
      <c r="L300" s="144" t="str">
        <f t="shared" si="17"/>
        <v/>
      </c>
      <c r="M300" s="78"/>
      <c r="N300" s="34"/>
      <c r="O300" s="78"/>
      <c r="P300" s="78"/>
      <c r="Q300" s="78"/>
      <c r="R300" s="36">
        <f t="shared" si="18"/>
        <v>24947.1336857848</v>
      </c>
      <c r="S300" s="37">
        <f t="shared" si="14"/>
        <v>560.88374855625443</v>
      </c>
      <c r="T300" s="37"/>
      <c r="X300" s="39" t="str">
        <f t="shared" si="15"/>
        <v/>
      </c>
      <c r="Y300" s="42" t="str">
        <f t="shared" si="16"/>
        <v/>
      </c>
    </row>
    <row r="301" spans="1:25" ht="14.5">
      <c r="A301" s="192">
        <v>44098</v>
      </c>
      <c r="B301" s="332" t="s">
        <v>47</v>
      </c>
      <c r="C301" s="194" t="s">
        <v>69</v>
      </c>
      <c r="D301" s="196" t="s">
        <v>108</v>
      </c>
      <c r="E301" s="194" t="s">
        <v>71</v>
      </c>
      <c r="F301" s="196">
        <v>11700</v>
      </c>
      <c r="G301" s="197">
        <v>12.02</v>
      </c>
      <c r="H301" s="197">
        <v>0</v>
      </c>
      <c r="I301" s="198">
        <v>0</v>
      </c>
      <c r="J301" s="199">
        <v>0</v>
      </c>
      <c r="K301" s="195" t="s">
        <v>9</v>
      </c>
      <c r="L301" s="200">
        <f t="shared" ref="L301:L364" si="19">IF(B301="Compra",F301*G301,"")</f>
        <v>140634</v>
      </c>
      <c r="M301" s="78"/>
      <c r="N301" s="34"/>
      <c r="O301" s="78"/>
      <c r="P301" s="78"/>
      <c r="Q301" s="78"/>
      <c r="R301" s="36">
        <f t="shared" si="18"/>
        <v>24947.1336857848</v>
      </c>
      <c r="S301" s="37" t="str">
        <f t="shared" si="14"/>
        <v/>
      </c>
      <c r="T301" s="37"/>
      <c r="X301" s="39" t="str">
        <f t="shared" si="15"/>
        <v/>
      </c>
      <c r="Y301" s="42" t="str">
        <f t="shared" si="16"/>
        <v/>
      </c>
    </row>
    <row r="302" spans="1:25" ht="14.5">
      <c r="A302" s="192">
        <v>44099</v>
      </c>
      <c r="B302" s="332" t="s">
        <v>48</v>
      </c>
      <c r="C302" s="194" t="s">
        <v>69</v>
      </c>
      <c r="D302" s="196" t="s">
        <v>108</v>
      </c>
      <c r="E302" s="194" t="s">
        <v>71</v>
      </c>
      <c r="F302" s="196">
        <v>2300</v>
      </c>
      <c r="G302" s="197">
        <v>12.03</v>
      </c>
      <c r="H302" s="197">
        <v>12.02</v>
      </c>
      <c r="I302" s="198">
        <v>22.22</v>
      </c>
      <c r="J302" s="199">
        <v>0.08</v>
      </c>
      <c r="K302" s="195" t="s">
        <v>9</v>
      </c>
      <c r="L302" s="200" t="str">
        <f t="shared" si="19"/>
        <v/>
      </c>
      <c r="M302" s="78"/>
      <c r="N302" s="68"/>
      <c r="O302" s="78"/>
      <c r="P302" s="78"/>
      <c r="Q302" s="78"/>
      <c r="R302" s="36">
        <f t="shared" si="18"/>
        <v>24967.091392733426</v>
      </c>
      <c r="S302" s="37">
        <f t="shared" si="14"/>
        <v>19.957706948625855</v>
      </c>
      <c r="T302" s="37"/>
      <c r="X302" s="39" t="str">
        <f t="shared" si="15"/>
        <v/>
      </c>
      <c r="Y302" s="42" t="str">
        <f t="shared" si="16"/>
        <v/>
      </c>
    </row>
    <row r="303" spans="1:25" ht="14.5">
      <c r="A303" s="192">
        <v>44099</v>
      </c>
      <c r="B303" s="332" t="s">
        <v>48</v>
      </c>
      <c r="C303" s="194" t="s">
        <v>69</v>
      </c>
      <c r="D303" s="196" t="s">
        <v>108</v>
      </c>
      <c r="E303" s="194" t="s">
        <v>71</v>
      </c>
      <c r="F303" s="196">
        <v>9400</v>
      </c>
      <c r="G303" s="197">
        <v>11.93</v>
      </c>
      <c r="H303" s="197">
        <v>12.02</v>
      </c>
      <c r="I303" s="198">
        <v>-835.64</v>
      </c>
      <c r="J303" s="199">
        <v>-0.73</v>
      </c>
      <c r="K303" s="195" t="s">
        <v>9</v>
      </c>
      <c r="L303" s="200" t="str">
        <f t="shared" si="19"/>
        <v/>
      </c>
      <c r="M303" s="78"/>
      <c r="N303" s="68"/>
      <c r="O303" s="78"/>
      <c r="P303" s="78"/>
      <c r="Q303" s="78"/>
      <c r="R303" s="36">
        <f t="shared" si="18"/>
        <v>24784.831625566472</v>
      </c>
      <c r="S303" s="37">
        <f t="shared" si="14"/>
        <v>-182.25976716695368</v>
      </c>
      <c r="T303" s="37"/>
      <c r="X303" s="39" t="str">
        <f t="shared" si="15"/>
        <v/>
      </c>
      <c r="Y303" s="42" t="str">
        <f t="shared" si="16"/>
        <v/>
      </c>
    </row>
    <row r="304" spans="1:25" ht="14.5">
      <c r="A304" s="98">
        <v>44099</v>
      </c>
      <c r="B304" s="137" t="s">
        <v>47</v>
      </c>
      <c r="C304" s="138" t="s">
        <v>69</v>
      </c>
      <c r="D304" s="139" t="s">
        <v>76</v>
      </c>
      <c r="E304" s="138" t="s">
        <v>71</v>
      </c>
      <c r="F304" s="140">
        <v>80400</v>
      </c>
      <c r="G304" s="141">
        <v>1.76</v>
      </c>
      <c r="H304" s="141">
        <v>0</v>
      </c>
      <c r="I304" s="142">
        <v>0</v>
      </c>
      <c r="J304" s="143">
        <v>0</v>
      </c>
      <c r="K304" s="139" t="s">
        <v>9</v>
      </c>
      <c r="L304" s="144">
        <f t="shared" si="19"/>
        <v>141504</v>
      </c>
      <c r="M304" s="78"/>
      <c r="N304" s="68"/>
      <c r="O304" s="78"/>
      <c r="P304" s="78"/>
      <c r="Q304" s="78"/>
      <c r="R304" s="36">
        <f t="shared" si="18"/>
        <v>24784.831625566472</v>
      </c>
      <c r="S304" s="37" t="str">
        <f t="shared" si="14"/>
        <v/>
      </c>
      <c r="T304" s="37"/>
      <c r="X304" s="39" t="str">
        <f t="shared" si="15"/>
        <v/>
      </c>
      <c r="Y304" s="42" t="str">
        <f t="shared" si="16"/>
        <v/>
      </c>
    </row>
    <row r="305" spans="1:25" ht="14.5">
      <c r="A305" s="116">
        <v>44102</v>
      </c>
      <c r="B305" s="99" t="s">
        <v>48</v>
      </c>
      <c r="C305" s="100" t="s">
        <v>69</v>
      </c>
      <c r="D305" s="101" t="s">
        <v>76</v>
      </c>
      <c r="E305" s="100" t="s">
        <v>71</v>
      </c>
      <c r="F305" s="102">
        <v>80400</v>
      </c>
      <c r="G305" s="103">
        <v>1.57</v>
      </c>
      <c r="H305" s="103">
        <v>1.76</v>
      </c>
      <c r="I305" s="117">
        <v>-14573.83</v>
      </c>
      <c r="J305" s="105">
        <v>-10.29</v>
      </c>
      <c r="K305" s="101" t="s">
        <v>9</v>
      </c>
      <c r="L305" s="106" t="str">
        <f t="shared" si="19"/>
        <v/>
      </c>
      <c r="M305" s="383"/>
      <c r="N305" s="68"/>
      <c r="O305" s="78"/>
      <c r="P305" s="78"/>
      <c r="Q305" s="78"/>
      <c r="R305" s="36">
        <f t="shared" si="18"/>
        <v>22234.472451295682</v>
      </c>
      <c r="S305" s="37">
        <f t="shared" si="14"/>
        <v>-2550.3591742707904</v>
      </c>
      <c r="T305" s="37"/>
      <c r="X305" s="39" t="str">
        <f t="shared" si="15"/>
        <v/>
      </c>
      <c r="Y305" s="42" t="str">
        <f t="shared" si="16"/>
        <v/>
      </c>
    </row>
    <row r="306" spans="1:25" ht="14.5">
      <c r="A306" s="118">
        <v>44105</v>
      </c>
      <c r="B306" s="333" t="s">
        <v>47</v>
      </c>
      <c r="C306" s="120" t="s">
        <v>69</v>
      </c>
      <c r="D306" s="121" t="s">
        <v>76</v>
      </c>
      <c r="E306" s="120" t="s">
        <v>71</v>
      </c>
      <c r="F306" s="121">
        <v>80100</v>
      </c>
      <c r="G306" s="122">
        <v>1.57</v>
      </c>
      <c r="H306" s="122">
        <v>0</v>
      </c>
      <c r="I306" s="123">
        <v>0</v>
      </c>
      <c r="J306" s="124">
        <v>0</v>
      </c>
      <c r="K306" s="125" t="s">
        <v>9</v>
      </c>
      <c r="L306" s="563">
        <f t="shared" si="19"/>
        <v>125757</v>
      </c>
      <c r="M306" s="33" t="s">
        <v>43</v>
      </c>
      <c r="N306" s="34"/>
      <c r="O306" s="78"/>
      <c r="P306" s="78"/>
      <c r="Q306" s="78"/>
      <c r="R306" s="36">
        <f t="shared" si="18"/>
        <v>22234.472451295682</v>
      </c>
      <c r="S306" s="37" t="str">
        <f t="shared" si="14"/>
        <v/>
      </c>
      <c r="T306" s="37"/>
      <c r="X306" s="39" t="str">
        <f t="shared" si="15"/>
        <v/>
      </c>
      <c r="Y306" s="42" t="str">
        <f t="shared" si="16"/>
        <v/>
      </c>
    </row>
    <row r="307" spans="1:25" ht="14.5">
      <c r="A307" s="118">
        <v>44109</v>
      </c>
      <c r="B307" s="334" t="s">
        <v>48</v>
      </c>
      <c r="C307" s="138" t="s">
        <v>69</v>
      </c>
      <c r="D307" s="140" t="s">
        <v>76</v>
      </c>
      <c r="E307" s="138" t="s">
        <v>71</v>
      </c>
      <c r="F307" s="140">
        <v>80100</v>
      </c>
      <c r="G307" s="141">
        <v>1.58</v>
      </c>
      <c r="H307" s="141">
        <v>1.57</v>
      </c>
      <c r="I307" s="142">
        <v>1504.76</v>
      </c>
      <c r="J307" s="143">
        <v>1.19</v>
      </c>
      <c r="K307" s="139" t="s">
        <v>9</v>
      </c>
      <c r="L307" s="164" t="str">
        <f t="shared" si="19"/>
        <v/>
      </c>
      <c r="M307" s="45" t="s">
        <v>21</v>
      </c>
      <c r="N307" s="34"/>
      <c r="O307" s="78"/>
      <c r="P307" s="78"/>
      <c r="Q307" s="78"/>
      <c r="R307" s="36">
        <f t="shared" si="18"/>
        <v>22499.062673466102</v>
      </c>
      <c r="S307" s="37">
        <f t="shared" si="14"/>
        <v>264.59022217042002</v>
      </c>
      <c r="T307" s="37"/>
      <c r="X307" s="39" t="str">
        <f t="shared" si="15"/>
        <v/>
      </c>
      <c r="Y307" s="42" t="str">
        <f t="shared" si="16"/>
        <v/>
      </c>
    </row>
    <row r="308" spans="1:25" ht="14.5">
      <c r="A308" s="127">
        <v>44110</v>
      </c>
      <c r="B308" s="335" t="s">
        <v>47</v>
      </c>
      <c r="C308" s="129" t="s">
        <v>69</v>
      </c>
      <c r="D308" s="130" t="s">
        <v>109</v>
      </c>
      <c r="E308" s="129" t="s">
        <v>71</v>
      </c>
      <c r="F308" s="130">
        <v>11300</v>
      </c>
      <c r="G308" s="131">
        <v>11.37</v>
      </c>
      <c r="H308" s="131">
        <v>0</v>
      </c>
      <c r="I308" s="132">
        <v>0</v>
      </c>
      <c r="J308" s="133">
        <v>0</v>
      </c>
      <c r="K308" s="134" t="s">
        <v>9</v>
      </c>
      <c r="L308" s="135">
        <f t="shared" si="19"/>
        <v>128480.99999999999</v>
      </c>
      <c r="M308" s="56">
        <f>IFERROR(AVERAGE(L306:L340),0)</f>
        <v>122849.05555555556</v>
      </c>
      <c r="N308" s="34"/>
      <c r="O308" s="78"/>
      <c r="P308" s="78"/>
      <c r="Q308" s="78"/>
      <c r="R308" s="36">
        <f t="shared" si="18"/>
        <v>22499.062673466102</v>
      </c>
      <c r="S308" s="37" t="str">
        <f t="shared" si="14"/>
        <v/>
      </c>
      <c r="T308" s="37"/>
      <c r="X308" s="39" t="str">
        <f t="shared" si="15"/>
        <v/>
      </c>
      <c r="Y308" s="42" t="str">
        <f t="shared" si="16"/>
        <v/>
      </c>
    </row>
    <row r="309" spans="1:25" ht="14.5">
      <c r="A309" s="127">
        <v>44111</v>
      </c>
      <c r="B309" s="335" t="s">
        <v>48</v>
      </c>
      <c r="C309" s="129" t="s">
        <v>69</v>
      </c>
      <c r="D309" s="130" t="s">
        <v>109</v>
      </c>
      <c r="E309" s="129" t="s">
        <v>71</v>
      </c>
      <c r="F309" s="130">
        <v>11300</v>
      </c>
      <c r="G309" s="131">
        <v>11.01</v>
      </c>
      <c r="H309" s="131">
        <v>11.37</v>
      </c>
      <c r="I309" s="132">
        <v>-4066.31</v>
      </c>
      <c r="J309" s="133">
        <v>-3.16</v>
      </c>
      <c r="K309" s="134" t="s">
        <v>9</v>
      </c>
      <c r="L309" s="135" t="str">
        <f t="shared" si="19"/>
        <v/>
      </c>
      <c r="M309" s="45" t="s">
        <v>24</v>
      </c>
      <c r="N309" s="34"/>
      <c r="O309" s="78"/>
      <c r="P309" s="78"/>
      <c r="Q309" s="78"/>
      <c r="R309" s="36">
        <f t="shared" si="18"/>
        <v>21788.092292984573</v>
      </c>
      <c r="S309" s="37">
        <f t="shared" si="14"/>
        <v>-710.97038048152899</v>
      </c>
      <c r="T309" s="37"/>
      <c r="X309" s="39" t="str">
        <f t="shared" si="15"/>
        <v/>
      </c>
      <c r="Y309" s="42" t="str">
        <f t="shared" si="16"/>
        <v/>
      </c>
    </row>
    <row r="310" spans="1:25" ht="14.5">
      <c r="A310" s="165">
        <v>44111</v>
      </c>
      <c r="B310" s="246" t="s">
        <v>47</v>
      </c>
      <c r="C310" s="167" t="s">
        <v>69</v>
      </c>
      <c r="D310" s="169" t="s">
        <v>107</v>
      </c>
      <c r="E310" s="167" t="s">
        <v>71</v>
      </c>
      <c r="F310" s="169">
        <v>4800</v>
      </c>
      <c r="G310" s="170">
        <v>24.97</v>
      </c>
      <c r="H310" s="170">
        <v>0</v>
      </c>
      <c r="I310" s="171">
        <v>0</v>
      </c>
      <c r="J310" s="172">
        <v>0</v>
      </c>
      <c r="K310" s="168" t="s">
        <v>9</v>
      </c>
      <c r="L310" s="273">
        <f t="shared" si="19"/>
        <v>119856</v>
      </c>
      <c r="M310" s="56">
        <f>SUM(I306:I340)</f>
        <v>3494.4700000000003</v>
      </c>
      <c r="N310" s="34"/>
      <c r="O310" s="78"/>
      <c r="P310" s="78"/>
      <c r="Q310" s="78"/>
      <c r="R310" s="36">
        <f t="shared" si="18"/>
        <v>21788.092292984573</v>
      </c>
      <c r="S310" s="37" t="str">
        <f t="shared" si="14"/>
        <v/>
      </c>
      <c r="T310" s="37"/>
      <c r="X310" s="39" t="str">
        <f t="shared" ref="X310:X373" si="20">IF(I425&lt;&gt;0,I425,"")</f>
        <v/>
      </c>
      <c r="Y310" s="42" t="str">
        <f t="shared" ref="Y310:Y373" si="21">IF(I425&lt;&gt;0,A425,"")</f>
        <v/>
      </c>
    </row>
    <row r="311" spans="1:25" ht="14.5">
      <c r="A311" s="165">
        <v>44112</v>
      </c>
      <c r="B311" s="246" t="s">
        <v>48</v>
      </c>
      <c r="C311" s="167" t="s">
        <v>69</v>
      </c>
      <c r="D311" s="169" t="s">
        <v>107</v>
      </c>
      <c r="E311" s="167" t="s">
        <v>71</v>
      </c>
      <c r="F311" s="169">
        <v>4800</v>
      </c>
      <c r="G311" s="170">
        <v>25.27</v>
      </c>
      <c r="H311" s="170">
        <v>24.98</v>
      </c>
      <c r="I311" s="171">
        <v>1394.3</v>
      </c>
      <c r="J311" s="172">
        <v>1.1599999999999999</v>
      </c>
      <c r="K311" s="168" t="s">
        <v>9</v>
      </c>
      <c r="L311" s="273" t="str">
        <f t="shared" si="19"/>
        <v/>
      </c>
      <c r="M311" s="45" t="s">
        <v>27</v>
      </c>
      <c r="N311" s="34"/>
      <c r="O311" s="78"/>
      <c r="P311" s="78"/>
      <c r="Q311" s="78"/>
      <c r="R311" s="36">
        <f t="shared" si="18"/>
        <v>22040.834163583197</v>
      </c>
      <c r="S311" s="37">
        <f t="shared" si="14"/>
        <v>252.74187059862379</v>
      </c>
      <c r="T311" s="37"/>
      <c r="X311" s="39" t="str">
        <f t="shared" si="20"/>
        <v/>
      </c>
      <c r="Y311" s="42" t="str">
        <f t="shared" si="21"/>
        <v/>
      </c>
    </row>
    <row r="312" spans="1:25" ht="14.5">
      <c r="A312" s="79">
        <v>44112</v>
      </c>
      <c r="B312" s="336" t="s">
        <v>47</v>
      </c>
      <c r="C312" s="81" t="s">
        <v>69</v>
      </c>
      <c r="D312" s="83" t="s">
        <v>98</v>
      </c>
      <c r="E312" s="81" t="s">
        <v>71</v>
      </c>
      <c r="F312" s="83">
        <v>22400</v>
      </c>
      <c r="G312" s="84">
        <v>5.38</v>
      </c>
      <c r="H312" s="84">
        <v>0</v>
      </c>
      <c r="I312" s="85">
        <v>0</v>
      </c>
      <c r="J312" s="86">
        <v>0</v>
      </c>
      <c r="K312" s="82" t="s">
        <v>9</v>
      </c>
      <c r="L312" s="337">
        <f t="shared" si="19"/>
        <v>120512</v>
      </c>
      <c r="M312" s="66">
        <f>SUM(J306:J340)/100</f>
        <v>3.2099999999999997E-2</v>
      </c>
      <c r="N312" s="34"/>
      <c r="O312" s="78"/>
      <c r="P312" s="78"/>
      <c r="Q312" s="78"/>
      <c r="R312" s="36">
        <f t="shared" si="18"/>
        <v>22040.834163583197</v>
      </c>
      <c r="S312" s="37" t="str">
        <f t="shared" si="14"/>
        <v/>
      </c>
      <c r="T312" s="37"/>
      <c r="X312" s="39" t="str">
        <f t="shared" si="20"/>
        <v/>
      </c>
      <c r="Y312" s="42" t="str">
        <f t="shared" si="21"/>
        <v/>
      </c>
    </row>
    <row r="313" spans="1:25" ht="14.5">
      <c r="A313" s="79">
        <v>44113</v>
      </c>
      <c r="B313" s="336" t="s">
        <v>48</v>
      </c>
      <c r="C313" s="81" t="s">
        <v>69</v>
      </c>
      <c r="D313" s="83" t="s">
        <v>98</v>
      </c>
      <c r="E313" s="81" t="s">
        <v>71</v>
      </c>
      <c r="F313" s="83">
        <v>22400</v>
      </c>
      <c r="G313" s="84">
        <v>5.43</v>
      </c>
      <c r="H313" s="84">
        <v>5.38</v>
      </c>
      <c r="I313" s="85">
        <v>1249.94</v>
      </c>
      <c r="J313" s="86">
        <v>1.03</v>
      </c>
      <c r="K313" s="82" t="s">
        <v>9</v>
      </c>
      <c r="L313" s="337" t="str">
        <f t="shared" si="19"/>
        <v/>
      </c>
      <c r="M313" s="319"/>
      <c r="N313" s="68"/>
      <c r="O313" s="78"/>
      <c r="P313" s="78"/>
      <c r="Q313" s="78"/>
      <c r="R313" s="36">
        <f t="shared" si="18"/>
        <v>22267.854755468103</v>
      </c>
      <c r="S313" s="37">
        <f t="shared" si="14"/>
        <v>227.02059188490603</v>
      </c>
      <c r="T313" s="37"/>
      <c r="X313" s="39" t="str">
        <f t="shared" si="20"/>
        <v/>
      </c>
      <c r="Y313" s="42" t="str">
        <f t="shared" si="21"/>
        <v/>
      </c>
    </row>
    <row r="314" spans="1:25" ht="14.5">
      <c r="A314" s="165">
        <v>44113</v>
      </c>
      <c r="B314" s="246" t="s">
        <v>47</v>
      </c>
      <c r="C314" s="167" t="s">
        <v>69</v>
      </c>
      <c r="D314" s="169" t="s">
        <v>107</v>
      </c>
      <c r="E314" s="167" t="s">
        <v>71</v>
      </c>
      <c r="F314" s="169">
        <v>4800</v>
      </c>
      <c r="G314" s="170">
        <v>25.3</v>
      </c>
      <c r="H314" s="170">
        <v>0</v>
      </c>
      <c r="I314" s="171">
        <v>0</v>
      </c>
      <c r="J314" s="172">
        <v>0</v>
      </c>
      <c r="K314" s="168" t="s">
        <v>9</v>
      </c>
      <c r="L314" s="273">
        <f t="shared" si="19"/>
        <v>121440</v>
      </c>
      <c r="M314" s="78"/>
      <c r="N314" s="68"/>
      <c r="O314" s="78"/>
      <c r="P314" s="78"/>
      <c r="Q314" s="78"/>
      <c r="R314" s="36">
        <f t="shared" si="18"/>
        <v>22267.854755468103</v>
      </c>
      <c r="S314" s="37" t="str">
        <f t="shared" si="14"/>
        <v/>
      </c>
      <c r="T314" s="37"/>
      <c r="X314" s="39" t="str">
        <f t="shared" si="20"/>
        <v/>
      </c>
      <c r="Y314" s="42" t="str">
        <f t="shared" si="21"/>
        <v/>
      </c>
    </row>
    <row r="315" spans="1:25" ht="14.5">
      <c r="A315" s="165">
        <v>44117</v>
      </c>
      <c r="B315" s="246" t="s">
        <v>48</v>
      </c>
      <c r="C315" s="167" t="s">
        <v>69</v>
      </c>
      <c r="D315" s="169" t="s">
        <v>107</v>
      </c>
      <c r="E315" s="167" t="s">
        <v>71</v>
      </c>
      <c r="F315" s="169">
        <v>4800</v>
      </c>
      <c r="G315" s="170">
        <v>25.57</v>
      </c>
      <c r="H315" s="170">
        <v>25.31</v>
      </c>
      <c r="I315" s="171">
        <v>1249.3699999999999</v>
      </c>
      <c r="J315" s="172">
        <v>1.02</v>
      </c>
      <c r="K315" s="168" t="s">
        <v>9</v>
      </c>
      <c r="L315" s="273" t="str">
        <f t="shared" si="19"/>
        <v/>
      </c>
      <c r="M315" s="78"/>
      <c r="N315" s="78"/>
      <c r="O315" s="78"/>
      <c r="P315" s="78"/>
      <c r="Q315" s="78"/>
      <c r="R315" s="36">
        <f t="shared" si="18"/>
        <v>22494.986873973878</v>
      </c>
      <c r="S315" s="37">
        <f t="shared" si="14"/>
        <v>227.132118505775</v>
      </c>
      <c r="T315" s="37"/>
      <c r="X315" s="39" t="str">
        <f t="shared" si="20"/>
        <v/>
      </c>
      <c r="Y315" s="42" t="str">
        <f t="shared" si="21"/>
        <v/>
      </c>
    </row>
    <row r="316" spans="1:25" ht="14.5">
      <c r="A316" s="79">
        <v>44117</v>
      </c>
      <c r="B316" s="336" t="s">
        <v>47</v>
      </c>
      <c r="C316" s="81" t="s">
        <v>69</v>
      </c>
      <c r="D316" s="83" t="s">
        <v>98</v>
      </c>
      <c r="E316" s="81" t="s">
        <v>71</v>
      </c>
      <c r="F316" s="83">
        <v>23700</v>
      </c>
      <c r="G316" s="84">
        <v>5.21</v>
      </c>
      <c r="H316" s="84">
        <v>0</v>
      </c>
      <c r="I316" s="85">
        <v>0</v>
      </c>
      <c r="J316" s="86">
        <v>0</v>
      </c>
      <c r="K316" s="82" t="s">
        <v>9</v>
      </c>
      <c r="L316" s="337">
        <f t="shared" si="19"/>
        <v>123477</v>
      </c>
      <c r="M316" s="78"/>
      <c r="N316" s="78"/>
      <c r="O316" s="78"/>
      <c r="P316" s="78"/>
      <c r="Q316" s="78"/>
      <c r="R316" s="36">
        <f t="shared" si="18"/>
        <v>22494.986873973878</v>
      </c>
      <c r="S316" s="37" t="str">
        <f t="shared" si="14"/>
        <v/>
      </c>
      <c r="T316" s="37"/>
      <c r="X316" s="39" t="str">
        <f t="shared" si="20"/>
        <v/>
      </c>
      <c r="Y316" s="42" t="str">
        <f t="shared" si="21"/>
        <v/>
      </c>
    </row>
    <row r="317" spans="1:25" ht="14.5">
      <c r="A317" s="79">
        <v>44118</v>
      </c>
      <c r="B317" s="336" t="s">
        <v>48</v>
      </c>
      <c r="C317" s="81" t="s">
        <v>69</v>
      </c>
      <c r="D317" s="83" t="s">
        <v>98</v>
      </c>
      <c r="E317" s="81" t="s">
        <v>71</v>
      </c>
      <c r="F317" s="83">
        <v>23700</v>
      </c>
      <c r="G317" s="84">
        <v>5.26</v>
      </c>
      <c r="H317" s="84">
        <v>5.21</v>
      </c>
      <c r="I317" s="85">
        <v>1326.1</v>
      </c>
      <c r="J317" s="86">
        <v>1.07</v>
      </c>
      <c r="K317" s="82" t="s">
        <v>9</v>
      </c>
      <c r="L317" s="337" t="str">
        <f t="shared" si="19"/>
        <v/>
      </c>
      <c r="M317" s="78"/>
      <c r="N317" s="78"/>
      <c r="O317" s="78"/>
      <c r="P317" s="78"/>
      <c r="Q317" s="78"/>
      <c r="R317" s="36">
        <f t="shared" si="18"/>
        <v>22735.683233525397</v>
      </c>
      <c r="S317" s="37">
        <f t="shared" si="14"/>
        <v>240.69635955151898</v>
      </c>
      <c r="T317" s="37"/>
      <c r="X317" s="39" t="str">
        <f t="shared" si="20"/>
        <v/>
      </c>
      <c r="Y317" s="42" t="str">
        <f t="shared" si="21"/>
        <v/>
      </c>
    </row>
    <row r="318" spans="1:25" ht="14.5">
      <c r="A318" s="165">
        <v>44118</v>
      </c>
      <c r="B318" s="246" t="s">
        <v>47</v>
      </c>
      <c r="C318" s="167" t="s">
        <v>69</v>
      </c>
      <c r="D318" s="169" t="s">
        <v>107</v>
      </c>
      <c r="E318" s="167" t="s">
        <v>71</v>
      </c>
      <c r="F318" s="169">
        <v>4800</v>
      </c>
      <c r="G318" s="170">
        <v>25.81</v>
      </c>
      <c r="H318" s="170">
        <v>0</v>
      </c>
      <c r="I318" s="171">
        <v>0</v>
      </c>
      <c r="J318" s="172">
        <v>0</v>
      </c>
      <c r="K318" s="168" t="s">
        <v>9</v>
      </c>
      <c r="L318" s="273">
        <f t="shared" si="19"/>
        <v>123888</v>
      </c>
      <c r="M318" s="78"/>
      <c r="N318" s="78"/>
      <c r="O318" s="78"/>
      <c r="P318" s="78"/>
      <c r="Q318" s="78"/>
      <c r="R318" s="36">
        <f t="shared" si="18"/>
        <v>22735.683233525397</v>
      </c>
      <c r="S318" s="37" t="str">
        <f t="shared" si="14"/>
        <v/>
      </c>
      <c r="T318" s="37"/>
      <c r="X318" s="39" t="str">
        <f t="shared" si="20"/>
        <v/>
      </c>
      <c r="Y318" s="42" t="str">
        <f t="shared" si="21"/>
        <v/>
      </c>
    </row>
    <row r="319" spans="1:25" ht="14.5">
      <c r="A319" s="165">
        <v>44119</v>
      </c>
      <c r="B319" s="246" t="s">
        <v>48</v>
      </c>
      <c r="C319" s="167" t="s">
        <v>69</v>
      </c>
      <c r="D319" s="169" t="s">
        <v>107</v>
      </c>
      <c r="E319" s="167" t="s">
        <v>71</v>
      </c>
      <c r="F319" s="169">
        <v>4800</v>
      </c>
      <c r="G319" s="170">
        <v>25.11</v>
      </c>
      <c r="H319" s="170">
        <v>25.82</v>
      </c>
      <c r="I319" s="171">
        <v>-3406.69</v>
      </c>
      <c r="J319" s="172">
        <v>-2.74</v>
      </c>
      <c r="K319" s="168" t="s">
        <v>9</v>
      </c>
      <c r="L319" s="273" t="str">
        <f t="shared" si="19"/>
        <v/>
      </c>
      <c r="M319" s="78"/>
      <c r="N319" s="78"/>
      <c r="O319" s="78"/>
      <c r="P319" s="78"/>
      <c r="Q319" s="78"/>
      <c r="R319" s="36">
        <f t="shared" si="18"/>
        <v>22112.725512926801</v>
      </c>
      <c r="S319" s="37">
        <f t="shared" si="14"/>
        <v>-622.95772059859519</v>
      </c>
      <c r="T319" s="37"/>
      <c r="X319" s="39" t="str">
        <f t="shared" si="20"/>
        <v/>
      </c>
      <c r="Y319" s="42" t="str">
        <f t="shared" si="21"/>
        <v/>
      </c>
    </row>
    <row r="320" spans="1:25" ht="14.5">
      <c r="A320" s="47">
        <v>44119</v>
      </c>
      <c r="B320" s="48" t="s">
        <v>47</v>
      </c>
      <c r="C320" s="49" t="s">
        <v>69</v>
      </c>
      <c r="D320" s="54" t="s">
        <v>110</v>
      </c>
      <c r="E320" s="49" t="s">
        <v>71</v>
      </c>
      <c r="F320" s="50">
        <v>4700</v>
      </c>
      <c r="G320" s="51">
        <v>25.41</v>
      </c>
      <c r="H320" s="51">
        <v>0</v>
      </c>
      <c r="I320" s="52">
        <v>0</v>
      </c>
      <c r="J320" s="53">
        <v>0</v>
      </c>
      <c r="K320" s="54" t="s">
        <v>9</v>
      </c>
      <c r="L320" s="55">
        <f t="shared" si="19"/>
        <v>119427</v>
      </c>
      <c r="M320" s="78"/>
      <c r="N320" s="78"/>
      <c r="O320" s="78"/>
      <c r="P320" s="78"/>
      <c r="Q320" s="78"/>
      <c r="R320" s="36">
        <f t="shared" si="18"/>
        <v>22112.725512926801</v>
      </c>
      <c r="S320" s="37" t="str">
        <f t="shared" si="14"/>
        <v/>
      </c>
      <c r="T320" s="37"/>
      <c r="X320" s="39" t="str">
        <f t="shared" si="20"/>
        <v/>
      </c>
      <c r="Y320" s="42" t="str">
        <f t="shared" si="21"/>
        <v/>
      </c>
    </row>
    <row r="321" spans="1:25" ht="14.5">
      <c r="A321" s="47">
        <v>44120</v>
      </c>
      <c r="B321" s="48" t="s">
        <v>48</v>
      </c>
      <c r="C321" s="49" t="s">
        <v>69</v>
      </c>
      <c r="D321" s="54" t="s">
        <v>110</v>
      </c>
      <c r="E321" s="49" t="s">
        <v>71</v>
      </c>
      <c r="F321" s="50">
        <v>4700</v>
      </c>
      <c r="G321" s="51">
        <v>25.39</v>
      </c>
      <c r="H321" s="51">
        <v>25.42</v>
      </c>
      <c r="I321" s="52">
        <v>-139.94999999999999</v>
      </c>
      <c r="J321" s="53">
        <v>-0.11000000000000001</v>
      </c>
      <c r="K321" s="54" t="s">
        <v>9</v>
      </c>
      <c r="L321" s="55" t="str">
        <f t="shared" si="19"/>
        <v/>
      </c>
      <c r="M321" s="78"/>
      <c r="N321" s="78"/>
      <c r="O321" s="78"/>
      <c r="P321" s="78"/>
      <c r="Q321" s="78"/>
      <c r="R321" s="36">
        <f t="shared" si="18"/>
        <v>22088.401514862584</v>
      </c>
      <c r="S321" s="37">
        <f t="shared" si="14"/>
        <v>-24.323998064217449</v>
      </c>
      <c r="T321" s="37"/>
      <c r="X321" s="39" t="str">
        <f t="shared" si="20"/>
        <v/>
      </c>
      <c r="Y321" s="42" t="str">
        <f t="shared" si="21"/>
        <v/>
      </c>
    </row>
    <row r="322" spans="1:25" ht="14.5">
      <c r="A322" s="201">
        <v>44123</v>
      </c>
      <c r="B322" s="283" t="s">
        <v>47</v>
      </c>
      <c r="C322" s="203" t="s">
        <v>69</v>
      </c>
      <c r="D322" s="205" t="s">
        <v>111</v>
      </c>
      <c r="E322" s="203" t="s">
        <v>71</v>
      </c>
      <c r="F322" s="205">
        <v>5200</v>
      </c>
      <c r="G322" s="206">
        <v>22.75</v>
      </c>
      <c r="H322" s="206">
        <v>0</v>
      </c>
      <c r="I322" s="207">
        <v>0</v>
      </c>
      <c r="J322" s="208">
        <v>0</v>
      </c>
      <c r="K322" s="204" t="s">
        <v>9</v>
      </c>
      <c r="L322" s="209">
        <f t="shared" si="19"/>
        <v>118300</v>
      </c>
      <c r="M322" s="78"/>
      <c r="N322" s="78"/>
      <c r="O322" s="78"/>
      <c r="P322" s="78"/>
      <c r="Q322" s="78"/>
      <c r="R322" s="36">
        <f t="shared" si="18"/>
        <v>22088.401514862584</v>
      </c>
      <c r="S322" s="37" t="str">
        <f t="shared" si="14"/>
        <v/>
      </c>
      <c r="T322" s="37"/>
      <c r="X322" s="39" t="str">
        <f t="shared" si="20"/>
        <v/>
      </c>
      <c r="Y322" s="42" t="str">
        <f t="shared" si="21"/>
        <v/>
      </c>
    </row>
    <row r="323" spans="1:25" ht="14.5">
      <c r="A323" s="201">
        <v>44124</v>
      </c>
      <c r="B323" s="283" t="s">
        <v>48</v>
      </c>
      <c r="C323" s="203" t="s">
        <v>69</v>
      </c>
      <c r="D323" s="205" t="s">
        <v>111</v>
      </c>
      <c r="E323" s="203" t="s">
        <v>71</v>
      </c>
      <c r="F323" s="205">
        <v>5200</v>
      </c>
      <c r="G323" s="206">
        <v>22.99</v>
      </c>
      <c r="H323" s="206">
        <v>22.76</v>
      </c>
      <c r="I323" s="207">
        <v>1207.31</v>
      </c>
      <c r="J323" s="208">
        <v>1.02</v>
      </c>
      <c r="K323" s="204" t="s">
        <v>9</v>
      </c>
      <c r="L323" s="209" t="str">
        <f t="shared" si="19"/>
        <v/>
      </c>
      <c r="M323" s="78"/>
      <c r="N323" s="78"/>
      <c r="O323" s="78"/>
      <c r="P323" s="78"/>
      <c r="Q323" s="78"/>
      <c r="R323" s="36">
        <f t="shared" si="18"/>
        <v>22313.703210314183</v>
      </c>
      <c r="S323" s="37">
        <f t="shared" si="14"/>
        <v>225.30169545159879</v>
      </c>
      <c r="T323" s="37"/>
      <c r="X323" s="39" t="str">
        <f t="shared" si="20"/>
        <v/>
      </c>
      <c r="Y323" s="42" t="str">
        <f t="shared" si="21"/>
        <v/>
      </c>
    </row>
    <row r="324" spans="1:25" ht="14.5">
      <c r="A324" s="47">
        <v>44124</v>
      </c>
      <c r="B324" s="48" t="s">
        <v>47</v>
      </c>
      <c r="C324" s="49" t="s">
        <v>69</v>
      </c>
      <c r="D324" s="54" t="s">
        <v>110</v>
      </c>
      <c r="E324" s="49" t="s">
        <v>71</v>
      </c>
      <c r="F324" s="50">
        <v>4600</v>
      </c>
      <c r="G324" s="51">
        <v>26.58</v>
      </c>
      <c r="H324" s="51">
        <v>0</v>
      </c>
      <c r="I324" s="52">
        <v>0</v>
      </c>
      <c r="J324" s="53">
        <v>0</v>
      </c>
      <c r="K324" s="54" t="s">
        <v>9</v>
      </c>
      <c r="L324" s="55">
        <f t="shared" si="19"/>
        <v>122267.99999999999</v>
      </c>
      <c r="M324" s="78"/>
      <c r="N324" s="78"/>
      <c r="O324" s="78"/>
      <c r="P324" s="78"/>
      <c r="Q324" s="78"/>
      <c r="R324" s="36">
        <f t="shared" si="18"/>
        <v>22313.703210314183</v>
      </c>
      <c r="S324" s="37" t="str">
        <f t="shared" si="14"/>
        <v/>
      </c>
      <c r="T324" s="37"/>
      <c r="X324" s="39" t="str">
        <f t="shared" si="20"/>
        <v/>
      </c>
      <c r="Y324" s="42" t="str">
        <f t="shared" si="21"/>
        <v/>
      </c>
    </row>
    <row r="325" spans="1:25" ht="14.5">
      <c r="A325" s="47">
        <v>44125</v>
      </c>
      <c r="B325" s="48" t="s">
        <v>48</v>
      </c>
      <c r="C325" s="49" t="s">
        <v>69</v>
      </c>
      <c r="D325" s="54" t="s">
        <v>110</v>
      </c>
      <c r="E325" s="49" t="s">
        <v>71</v>
      </c>
      <c r="F325" s="50">
        <v>4600</v>
      </c>
      <c r="G325" s="51">
        <v>26.84</v>
      </c>
      <c r="H325" s="51">
        <v>26.58</v>
      </c>
      <c r="I325" s="52">
        <v>1238.8900000000001</v>
      </c>
      <c r="J325" s="53">
        <v>1.01</v>
      </c>
      <c r="K325" s="54" t="s">
        <v>9</v>
      </c>
      <c r="L325" s="55" t="str">
        <f t="shared" si="19"/>
        <v/>
      </c>
      <c r="M325" s="78"/>
      <c r="N325" s="78"/>
      <c r="O325" s="78"/>
      <c r="P325" s="78"/>
      <c r="Q325" s="78"/>
      <c r="R325" s="36">
        <f t="shared" si="18"/>
        <v>22539.071612738357</v>
      </c>
      <c r="S325" s="37">
        <f t="shared" si="14"/>
        <v>225.36840242417384</v>
      </c>
      <c r="T325" s="37"/>
      <c r="X325" s="39" t="str">
        <f t="shared" si="20"/>
        <v/>
      </c>
      <c r="Y325" s="42" t="str">
        <f t="shared" si="21"/>
        <v/>
      </c>
    </row>
    <row r="326" spans="1:25" ht="14.5">
      <c r="A326" s="201">
        <v>44125</v>
      </c>
      <c r="B326" s="283" t="s">
        <v>47</v>
      </c>
      <c r="C326" s="203" t="s">
        <v>69</v>
      </c>
      <c r="D326" s="205" t="s">
        <v>111</v>
      </c>
      <c r="E326" s="203" t="s">
        <v>71</v>
      </c>
      <c r="F326" s="205">
        <v>5300</v>
      </c>
      <c r="G326" s="206">
        <v>23.06</v>
      </c>
      <c r="H326" s="206">
        <v>0</v>
      </c>
      <c r="I326" s="207">
        <v>0</v>
      </c>
      <c r="J326" s="208">
        <v>0</v>
      </c>
      <c r="K326" s="204" t="s">
        <v>9</v>
      </c>
      <c r="L326" s="209">
        <f t="shared" si="19"/>
        <v>122218</v>
      </c>
      <c r="M326" s="78"/>
      <c r="N326" s="78"/>
      <c r="O326" s="78"/>
      <c r="P326" s="78"/>
      <c r="Q326" s="78"/>
      <c r="R326" s="36">
        <f t="shared" si="18"/>
        <v>22539.071612738357</v>
      </c>
      <c r="S326" s="37" t="str">
        <f t="shared" si="14"/>
        <v/>
      </c>
      <c r="T326" s="37"/>
      <c r="X326" s="39" t="str">
        <f t="shared" si="20"/>
        <v/>
      </c>
      <c r="Y326" s="42" t="str">
        <f t="shared" si="21"/>
        <v/>
      </c>
    </row>
    <row r="327" spans="1:25" ht="14.5">
      <c r="A327" s="201">
        <v>44126</v>
      </c>
      <c r="B327" s="283" t="s">
        <v>48</v>
      </c>
      <c r="C327" s="203" t="s">
        <v>69</v>
      </c>
      <c r="D327" s="205" t="s">
        <v>111</v>
      </c>
      <c r="E327" s="203" t="s">
        <v>71</v>
      </c>
      <c r="F327" s="205">
        <v>5300</v>
      </c>
      <c r="G327" s="206">
        <v>23.3</v>
      </c>
      <c r="H327" s="206">
        <v>23.07</v>
      </c>
      <c r="I327" s="207">
        <v>1229.9000000000001</v>
      </c>
      <c r="J327" s="208">
        <v>1</v>
      </c>
      <c r="K327" s="204" t="s">
        <v>9</v>
      </c>
      <c r="L327" s="209" t="str">
        <f t="shared" si="19"/>
        <v/>
      </c>
      <c r="M327" s="78"/>
      <c r="N327" s="78"/>
      <c r="O327" s="78"/>
      <c r="P327" s="78"/>
      <c r="Q327" s="78"/>
      <c r="R327" s="36">
        <f t="shared" si="18"/>
        <v>22764.462328865742</v>
      </c>
      <c r="S327" s="37">
        <f t="shared" si="14"/>
        <v>225.39071612738553</v>
      </c>
      <c r="T327" s="37"/>
      <c r="X327" s="39" t="str">
        <f t="shared" si="20"/>
        <v/>
      </c>
      <c r="Y327" s="42" t="str">
        <f t="shared" si="21"/>
        <v/>
      </c>
    </row>
    <row r="328" spans="1:25" ht="14.5">
      <c r="A328" s="47">
        <v>44126</v>
      </c>
      <c r="B328" s="48" t="s">
        <v>47</v>
      </c>
      <c r="C328" s="49" t="s">
        <v>69</v>
      </c>
      <c r="D328" s="54" t="s">
        <v>110</v>
      </c>
      <c r="E328" s="49" t="s">
        <v>71</v>
      </c>
      <c r="F328" s="50">
        <v>4800</v>
      </c>
      <c r="G328" s="51">
        <v>26.19</v>
      </c>
      <c r="H328" s="51">
        <v>0</v>
      </c>
      <c r="I328" s="52">
        <v>0</v>
      </c>
      <c r="J328" s="53">
        <v>0</v>
      </c>
      <c r="K328" s="54" t="s">
        <v>9</v>
      </c>
      <c r="L328" s="55">
        <f t="shared" si="19"/>
        <v>125712</v>
      </c>
      <c r="M328" s="78"/>
      <c r="N328" s="78"/>
      <c r="O328" s="78"/>
      <c r="P328" s="78"/>
      <c r="Q328" s="78"/>
      <c r="R328" s="36">
        <f t="shared" si="18"/>
        <v>22764.462328865742</v>
      </c>
      <c r="S328" s="37" t="str">
        <f t="shared" si="14"/>
        <v/>
      </c>
      <c r="T328" s="37"/>
      <c r="X328" s="39" t="str">
        <f t="shared" si="20"/>
        <v/>
      </c>
      <c r="Y328" s="42" t="str">
        <f t="shared" si="21"/>
        <v/>
      </c>
    </row>
    <row r="329" spans="1:25" ht="14.5">
      <c r="A329" s="47">
        <v>44127</v>
      </c>
      <c r="B329" s="48" t="s">
        <v>48</v>
      </c>
      <c r="C329" s="49" t="s">
        <v>69</v>
      </c>
      <c r="D329" s="54" t="s">
        <v>110</v>
      </c>
      <c r="E329" s="49" t="s">
        <v>71</v>
      </c>
      <c r="F329" s="50">
        <v>4800</v>
      </c>
      <c r="G329" s="51">
        <v>25.86</v>
      </c>
      <c r="H329" s="51">
        <v>26.19</v>
      </c>
      <c r="I329" s="52">
        <v>-1584.34</v>
      </c>
      <c r="J329" s="53">
        <v>-1.26</v>
      </c>
      <c r="K329" s="54" t="s">
        <v>9</v>
      </c>
      <c r="L329" s="55" t="str">
        <f t="shared" si="19"/>
        <v/>
      </c>
      <c r="M329" s="388"/>
      <c r="N329" s="78"/>
      <c r="O329" s="78"/>
      <c r="P329" s="78"/>
      <c r="Q329" s="78"/>
      <c r="R329" s="36">
        <f t="shared" si="18"/>
        <v>22477.630103522035</v>
      </c>
      <c r="S329" s="37">
        <f t="shared" si="14"/>
        <v>-286.83222534370725</v>
      </c>
      <c r="T329" s="37"/>
      <c r="X329" s="39" t="str">
        <f t="shared" si="20"/>
        <v/>
      </c>
      <c r="Y329" s="42" t="str">
        <f t="shared" si="21"/>
        <v/>
      </c>
    </row>
    <row r="330" spans="1:25" ht="14.5">
      <c r="A330" s="201">
        <v>44127</v>
      </c>
      <c r="B330" s="283" t="s">
        <v>47</v>
      </c>
      <c r="C330" s="203" t="s">
        <v>69</v>
      </c>
      <c r="D330" s="205" t="s">
        <v>111</v>
      </c>
      <c r="E330" s="203" t="s">
        <v>71</v>
      </c>
      <c r="F330" s="205">
        <v>5200</v>
      </c>
      <c r="G330" s="206">
        <v>23.28</v>
      </c>
      <c r="H330" s="206">
        <v>0</v>
      </c>
      <c r="I330" s="207">
        <v>0</v>
      </c>
      <c r="J330" s="208">
        <v>0</v>
      </c>
      <c r="K330" s="204" t="s">
        <v>9</v>
      </c>
      <c r="L330" s="209">
        <f t="shared" si="19"/>
        <v>121056</v>
      </c>
      <c r="M330" s="78"/>
      <c r="N330" s="78"/>
      <c r="O330" s="78"/>
      <c r="P330" s="78"/>
      <c r="Q330" s="78"/>
      <c r="R330" s="36">
        <f t="shared" si="18"/>
        <v>22477.630103522035</v>
      </c>
      <c r="S330" s="37" t="str">
        <f t="shared" si="14"/>
        <v/>
      </c>
      <c r="T330" s="37"/>
      <c r="X330" s="39" t="str">
        <f t="shared" si="20"/>
        <v/>
      </c>
      <c r="Y330" s="42" t="str">
        <f t="shared" si="21"/>
        <v/>
      </c>
    </row>
    <row r="331" spans="1:25" ht="14.5">
      <c r="A331" s="201">
        <v>44130</v>
      </c>
      <c r="B331" s="283" t="s">
        <v>48</v>
      </c>
      <c r="C331" s="203" t="s">
        <v>69</v>
      </c>
      <c r="D331" s="205" t="s">
        <v>111</v>
      </c>
      <c r="E331" s="203" t="s">
        <v>71</v>
      </c>
      <c r="F331" s="205">
        <v>5200</v>
      </c>
      <c r="G331" s="206">
        <v>23.53</v>
      </c>
      <c r="H331" s="206">
        <v>23.29</v>
      </c>
      <c r="I331" s="207">
        <v>1257.6099999999999</v>
      </c>
      <c r="J331" s="208">
        <v>1.03</v>
      </c>
      <c r="K331" s="204" t="s">
        <v>9</v>
      </c>
      <c r="L331" s="209" t="str">
        <f t="shared" si="19"/>
        <v/>
      </c>
      <c r="M331" s="78"/>
      <c r="N331" s="78"/>
      <c r="O331" s="78"/>
      <c r="P331" s="78"/>
      <c r="Q331" s="78"/>
      <c r="R331" s="36">
        <f t="shared" si="18"/>
        <v>22709.149693588311</v>
      </c>
      <c r="S331" s="37">
        <f t="shared" si="14"/>
        <v>231.51959006627658</v>
      </c>
      <c r="T331" s="37"/>
      <c r="X331" s="39" t="str">
        <f t="shared" si="20"/>
        <v/>
      </c>
      <c r="Y331" s="42" t="str">
        <f t="shared" si="21"/>
        <v/>
      </c>
    </row>
    <row r="332" spans="1:25" ht="14.5">
      <c r="A332" s="47">
        <v>44130</v>
      </c>
      <c r="B332" s="48" t="s">
        <v>47</v>
      </c>
      <c r="C332" s="49" t="s">
        <v>69</v>
      </c>
      <c r="D332" s="54" t="s">
        <v>110</v>
      </c>
      <c r="E332" s="49" t="s">
        <v>71</v>
      </c>
      <c r="F332" s="50">
        <v>4700</v>
      </c>
      <c r="G332" s="51">
        <v>25.9</v>
      </c>
      <c r="H332" s="51">
        <v>0</v>
      </c>
      <c r="I332" s="52">
        <v>0</v>
      </c>
      <c r="J332" s="53">
        <v>0</v>
      </c>
      <c r="K332" s="54" t="s">
        <v>9</v>
      </c>
      <c r="L332" s="55">
        <f t="shared" si="19"/>
        <v>121730</v>
      </c>
      <c r="M332" s="78"/>
      <c r="N332" s="78"/>
      <c r="O332" s="78"/>
      <c r="P332" s="78"/>
      <c r="Q332" s="78"/>
      <c r="R332" s="36">
        <f t="shared" si="18"/>
        <v>22709.149693588311</v>
      </c>
      <c r="S332" s="37" t="str">
        <f t="shared" si="14"/>
        <v/>
      </c>
      <c r="T332" s="37"/>
      <c r="X332" s="39" t="str">
        <f t="shared" si="20"/>
        <v/>
      </c>
      <c r="Y332" s="42" t="str">
        <f t="shared" si="21"/>
        <v/>
      </c>
    </row>
    <row r="333" spans="1:25" ht="14.5">
      <c r="A333" s="47">
        <v>44131</v>
      </c>
      <c r="B333" s="48" t="s">
        <v>48</v>
      </c>
      <c r="C333" s="49" t="s">
        <v>69</v>
      </c>
      <c r="D333" s="54" t="s">
        <v>110</v>
      </c>
      <c r="E333" s="49" t="s">
        <v>71</v>
      </c>
      <c r="F333" s="50">
        <v>4700</v>
      </c>
      <c r="G333" s="51">
        <v>27.08</v>
      </c>
      <c r="H333" s="51">
        <v>25.9</v>
      </c>
      <c r="I333" s="52">
        <v>5590.89</v>
      </c>
      <c r="J333" s="53">
        <v>4.59</v>
      </c>
      <c r="K333" s="54" t="s">
        <v>9</v>
      </c>
      <c r="L333" s="55" t="str">
        <f t="shared" si="19"/>
        <v/>
      </c>
      <c r="M333" s="78"/>
      <c r="N333" s="78"/>
      <c r="O333" s="78"/>
      <c r="P333" s="78"/>
      <c r="Q333" s="78"/>
      <c r="R333" s="36">
        <f t="shared" si="18"/>
        <v>23751.499664524017</v>
      </c>
      <c r="S333" s="37">
        <f t="shared" si="14"/>
        <v>1042.3499709357056</v>
      </c>
      <c r="T333" s="37"/>
      <c r="X333" s="39" t="str">
        <f t="shared" si="20"/>
        <v/>
      </c>
      <c r="Y333" s="42" t="str">
        <f t="shared" si="21"/>
        <v/>
      </c>
    </row>
    <row r="334" spans="1:25" ht="14.5">
      <c r="A334" s="338">
        <v>44131</v>
      </c>
      <c r="B334" s="339" t="s">
        <v>47</v>
      </c>
      <c r="C334" s="340" t="s">
        <v>69</v>
      </c>
      <c r="D334" s="341" t="s">
        <v>112</v>
      </c>
      <c r="E334" s="340" t="s">
        <v>71</v>
      </c>
      <c r="F334" s="341">
        <v>1500</v>
      </c>
      <c r="G334" s="342">
        <v>83.269999999999982</v>
      </c>
      <c r="H334" s="342">
        <v>0</v>
      </c>
      <c r="I334" s="343">
        <v>0</v>
      </c>
      <c r="J334" s="344">
        <v>0</v>
      </c>
      <c r="K334" s="345" t="s">
        <v>9</v>
      </c>
      <c r="L334" s="346">
        <f t="shared" si="19"/>
        <v>124904.99999999997</v>
      </c>
      <c r="M334" s="78"/>
      <c r="N334" s="78"/>
      <c r="O334" s="78"/>
      <c r="P334" s="78"/>
      <c r="Q334" s="78"/>
      <c r="R334" s="36">
        <f t="shared" si="18"/>
        <v>23751.499664524017</v>
      </c>
      <c r="S334" s="37" t="str">
        <f t="shared" si="14"/>
        <v/>
      </c>
      <c r="T334" s="37"/>
      <c r="X334" s="39" t="str">
        <f t="shared" si="20"/>
        <v/>
      </c>
      <c r="Y334" s="42" t="str">
        <f t="shared" si="21"/>
        <v/>
      </c>
    </row>
    <row r="335" spans="1:25" ht="14.5">
      <c r="A335" s="338">
        <v>44132</v>
      </c>
      <c r="B335" s="339" t="s">
        <v>48</v>
      </c>
      <c r="C335" s="340" t="s">
        <v>69</v>
      </c>
      <c r="D335" s="341" t="s">
        <v>112</v>
      </c>
      <c r="E335" s="340" t="s">
        <v>71</v>
      </c>
      <c r="F335" s="341">
        <v>1500</v>
      </c>
      <c r="G335" s="342">
        <v>80.42</v>
      </c>
      <c r="H335" s="342">
        <v>83.269999999999982</v>
      </c>
      <c r="I335" s="343">
        <v>-4273.0200000000004</v>
      </c>
      <c r="J335" s="344">
        <v>-3.42</v>
      </c>
      <c r="K335" s="345" t="s">
        <v>9</v>
      </c>
      <c r="L335" s="346" t="str">
        <f t="shared" si="19"/>
        <v/>
      </c>
      <c r="M335" s="78"/>
      <c r="N335" s="78"/>
      <c r="O335" s="78"/>
      <c r="P335" s="78"/>
      <c r="Q335" s="78"/>
      <c r="R335" s="36">
        <f t="shared" si="18"/>
        <v>22939.198375997297</v>
      </c>
      <c r="S335" s="37">
        <f t="shared" si="14"/>
        <v>-812.30128852671987</v>
      </c>
      <c r="T335" s="37"/>
      <c r="X335" s="39" t="str">
        <f t="shared" si="20"/>
        <v/>
      </c>
      <c r="Y335" s="42" t="str">
        <f t="shared" si="21"/>
        <v/>
      </c>
    </row>
    <row r="336" spans="1:25" ht="14.5">
      <c r="A336" s="47">
        <v>44132</v>
      </c>
      <c r="B336" s="48" t="s">
        <v>47</v>
      </c>
      <c r="C336" s="49" t="s">
        <v>69</v>
      </c>
      <c r="D336" s="54" t="s">
        <v>110</v>
      </c>
      <c r="E336" s="49" t="s">
        <v>71</v>
      </c>
      <c r="F336" s="50">
        <v>4800</v>
      </c>
      <c r="G336" s="51">
        <v>26.02</v>
      </c>
      <c r="H336" s="51">
        <v>0</v>
      </c>
      <c r="I336" s="52">
        <v>0</v>
      </c>
      <c r="J336" s="53">
        <v>0</v>
      </c>
      <c r="K336" s="54" t="s">
        <v>9</v>
      </c>
      <c r="L336" s="55">
        <f t="shared" si="19"/>
        <v>124896</v>
      </c>
      <c r="M336" s="78"/>
      <c r="N336" s="78"/>
      <c r="O336" s="78"/>
      <c r="P336" s="78"/>
      <c r="Q336" s="78"/>
      <c r="R336" s="36">
        <f t="shared" si="18"/>
        <v>22939.198375997297</v>
      </c>
      <c r="S336" s="37" t="str">
        <f t="shared" si="14"/>
        <v/>
      </c>
      <c r="T336" s="37"/>
      <c r="X336" s="39" t="str">
        <f t="shared" si="20"/>
        <v/>
      </c>
      <c r="Y336" s="42" t="str">
        <f t="shared" si="21"/>
        <v/>
      </c>
    </row>
    <row r="337" spans="1:25" ht="14.5">
      <c r="A337" s="47">
        <v>44133</v>
      </c>
      <c r="B337" s="48" t="s">
        <v>48</v>
      </c>
      <c r="C337" s="49" t="s">
        <v>69</v>
      </c>
      <c r="D337" s="54" t="s">
        <v>110</v>
      </c>
      <c r="E337" s="49" t="s">
        <v>71</v>
      </c>
      <c r="F337" s="50">
        <v>4800</v>
      </c>
      <c r="G337" s="51">
        <v>26.27</v>
      </c>
      <c r="H337" s="51">
        <v>26.02</v>
      </c>
      <c r="I337" s="52">
        <v>1247.28</v>
      </c>
      <c r="J337" s="53">
        <v>0.99</v>
      </c>
      <c r="K337" s="54" t="s">
        <v>9</v>
      </c>
      <c r="L337" s="55" t="str">
        <f t="shared" si="19"/>
        <v/>
      </c>
      <c r="M337" s="78"/>
      <c r="N337" s="78"/>
      <c r="O337" s="78"/>
      <c r="P337" s="78"/>
      <c r="Q337" s="78"/>
      <c r="R337" s="36">
        <f t="shared" si="18"/>
        <v>23166.296439919672</v>
      </c>
      <c r="S337" s="37">
        <f t="shared" si="14"/>
        <v>227.09806392237442</v>
      </c>
      <c r="T337" s="37"/>
      <c r="X337" s="39" t="str">
        <f t="shared" si="20"/>
        <v/>
      </c>
      <c r="Y337" s="42" t="str">
        <f t="shared" si="21"/>
        <v/>
      </c>
    </row>
    <row r="338" spans="1:25" ht="14.5">
      <c r="A338" s="201">
        <v>44133</v>
      </c>
      <c r="B338" s="283" t="s">
        <v>47</v>
      </c>
      <c r="C338" s="203" t="s">
        <v>69</v>
      </c>
      <c r="D338" s="205" t="s">
        <v>111</v>
      </c>
      <c r="E338" s="203" t="s">
        <v>71</v>
      </c>
      <c r="F338" s="205">
        <v>5600</v>
      </c>
      <c r="G338" s="206">
        <v>22.5</v>
      </c>
      <c r="H338" s="206">
        <v>0</v>
      </c>
      <c r="I338" s="207">
        <v>0</v>
      </c>
      <c r="J338" s="208">
        <v>0</v>
      </c>
      <c r="K338" s="204" t="s">
        <v>9</v>
      </c>
      <c r="L338" s="209">
        <f t="shared" si="19"/>
        <v>126000</v>
      </c>
      <c r="M338" s="78"/>
      <c r="N338" s="78"/>
      <c r="O338" s="78"/>
      <c r="P338" s="78"/>
      <c r="Q338" s="78"/>
      <c r="R338" s="36">
        <f t="shared" si="18"/>
        <v>23166.296439919672</v>
      </c>
      <c r="S338" s="37" t="str">
        <f t="shared" si="14"/>
        <v/>
      </c>
      <c r="T338" s="37"/>
      <c r="X338" s="39" t="str">
        <f t="shared" si="20"/>
        <v/>
      </c>
      <c r="Y338" s="42" t="str">
        <f t="shared" si="21"/>
        <v/>
      </c>
    </row>
    <row r="339" spans="1:25" ht="14.5">
      <c r="A339" s="201">
        <v>44134</v>
      </c>
      <c r="B339" s="283" t="s">
        <v>48</v>
      </c>
      <c r="C339" s="203" t="s">
        <v>69</v>
      </c>
      <c r="D339" s="205" t="s">
        <v>111</v>
      </c>
      <c r="E339" s="203" t="s">
        <v>71</v>
      </c>
      <c r="F339" s="205">
        <v>5600</v>
      </c>
      <c r="G339" s="206">
        <v>22.23</v>
      </c>
      <c r="H339" s="206">
        <v>22.51</v>
      </c>
      <c r="I339" s="207">
        <v>-1531.57</v>
      </c>
      <c r="J339" s="208">
        <v>-1.21</v>
      </c>
      <c r="K339" s="204" t="s">
        <v>9</v>
      </c>
      <c r="L339" s="209" t="str">
        <f t="shared" si="19"/>
        <v/>
      </c>
      <c r="M339" s="78"/>
      <c r="N339" s="78"/>
      <c r="O339" s="78"/>
      <c r="P339" s="78"/>
      <c r="Q339" s="78"/>
      <c r="R339" s="36">
        <f t="shared" si="18"/>
        <v>22885.984252996644</v>
      </c>
      <c r="S339" s="37">
        <f t="shared" si="14"/>
        <v>-280.31218692302718</v>
      </c>
      <c r="T339" s="37"/>
      <c r="X339" s="39" t="str">
        <f t="shared" si="20"/>
        <v/>
      </c>
      <c r="Y339" s="42" t="str">
        <f t="shared" si="21"/>
        <v/>
      </c>
    </row>
    <row r="340" spans="1:25" ht="14.5">
      <c r="A340" s="347">
        <v>44134</v>
      </c>
      <c r="B340" s="348" t="s">
        <v>47</v>
      </c>
      <c r="C340" s="349" t="s">
        <v>69</v>
      </c>
      <c r="D340" s="350" t="s">
        <v>112</v>
      </c>
      <c r="E340" s="349" t="s">
        <v>71</v>
      </c>
      <c r="F340" s="350">
        <v>1600</v>
      </c>
      <c r="G340" s="351">
        <v>75.84999999999998</v>
      </c>
      <c r="H340" s="351">
        <v>0</v>
      </c>
      <c r="I340" s="352">
        <v>0</v>
      </c>
      <c r="J340" s="353">
        <v>0</v>
      </c>
      <c r="K340" s="354" t="s">
        <v>9</v>
      </c>
      <c r="L340" s="355">
        <f t="shared" si="19"/>
        <v>121359.99999999997</v>
      </c>
      <c r="M340" s="383"/>
      <c r="N340" s="78"/>
      <c r="O340" s="78"/>
      <c r="P340" s="78"/>
      <c r="Q340" s="78"/>
      <c r="R340" s="36">
        <f t="shared" si="18"/>
        <v>22885.984252996644</v>
      </c>
      <c r="S340" s="37" t="str">
        <f t="shared" si="14"/>
        <v/>
      </c>
      <c r="T340" s="37"/>
      <c r="X340" s="39" t="str">
        <f t="shared" si="20"/>
        <v/>
      </c>
      <c r="Y340" s="42" t="str">
        <f t="shared" si="21"/>
        <v/>
      </c>
    </row>
    <row r="341" spans="1:25" ht="14.5">
      <c r="A341" s="356">
        <v>44138</v>
      </c>
      <c r="B341" s="357" t="s">
        <v>48</v>
      </c>
      <c r="C341" s="358" t="s">
        <v>69</v>
      </c>
      <c r="D341" s="359" t="s">
        <v>112</v>
      </c>
      <c r="E341" s="358" t="s">
        <v>71</v>
      </c>
      <c r="F341" s="359">
        <v>1600</v>
      </c>
      <c r="G341" s="360">
        <v>77.95</v>
      </c>
      <c r="H341" s="360">
        <v>75.86</v>
      </c>
      <c r="I341" s="361">
        <v>3360.79</v>
      </c>
      <c r="J341" s="362">
        <v>2.76</v>
      </c>
      <c r="K341" s="363" t="s">
        <v>9</v>
      </c>
      <c r="L341" s="578" t="str">
        <f t="shared" si="19"/>
        <v/>
      </c>
      <c r="M341" s="364" t="s">
        <v>44</v>
      </c>
      <c r="N341" s="244"/>
      <c r="O341" s="78"/>
      <c r="P341" s="78"/>
      <c r="Q341" s="78"/>
      <c r="R341" s="36">
        <f t="shared" si="18"/>
        <v>23517.637418379352</v>
      </c>
      <c r="S341" s="37">
        <f t="shared" si="14"/>
        <v>631.65316538270781</v>
      </c>
      <c r="T341" s="37"/>
      <c r="X341" s="39" t="str">
        <f t="shared" si="20"/>
        <v/>
      </c>
      <c r="Y341" s="42" t="str">
        <f t="shared" si="21"/>
        <v/>
      </c>
    </row>
    <row r="342" spans="1:25" ht="14.5">
      <c r="A342" s="201">
        <v>44138</v>
      </c>
      <c r="B342" s="283" t="s">
        <v>47</v>
      </c>
      <c r="C342" s="203" t="s">
        <v>69</v>
      </c>
      <c r="D342" s="205" t="s">
        <v>111</v>
      </c>
      <c r="E342" s="203" t="s">
        <v>71</v>
      </c>
      <c r="F342" s="205">
        <v>5400</v>
      </c>
      <c r="G342" s="206">
        <v>23.18</v>
      </c>
      <c r="H342" s="206">
        <v>0</v>
      </c>
      <c r="I342" s="207">
        <v>0</v>
      </c>
      <c r="J342" s="208">
        <v>0</v>
      </c>
      <c r="K342" s="204" t="s">
        <v>9</v>
      </c>
      <c r="L342" s="209">
        <f t="shared" si="19"/>
        <v>125172</v>
      </c>
      <c r="M342" s="365" t="s">
        <v>21</v>
      </c>
      <c r="N342" s="244"/>
      <c r="O342" s="78"/>
      <c r="P342" s="78"/>
      <c r="Q342" s="78"/>
      <c r="R342" s="36">
        <f t="shared" si="18"/>
        <v>23517.637418379352</v>
      </c>
      <c r="S342" s="37" t="str">
        <f t="shared" si="14"/>
        <v/>
      </c>
      <c r="T342" s="37"/>
      <c r="X342" s="39" t="str">
        <f t="shared" si="20"/>
        <v/>
      </c>
      <c r="Y342" s="42" t="str">
        <f t="shared" si="21"/>
        <v/>
      </c>
    </row>
    <row r="343" spans="1:25" ht="14.5">
      <c r="A343" s="201">
        <v>44139</v>
      </c>
      <c r="B343" s="283" t="s">
        <v>48</v>
      </c>
      <c r="C343" s="203" t="s">
        <v>69</v>
      </c>
      <c r="D343" s="205" t="s">
        <v>111</v>
      </c>
      <c r="E343" s="203" t="s">
        <v>71</v>
      </c>
      <c r="F343" s="205">
        <v>5400</v>
      </c>
      <c r="G343" s="206">
        <v>23.42</v>
      </c>
      <c r="H343" s="206">
        <v>23.19</v>
      </c>
      <c r="I343" s="207">
        <v>1253.04</v>
      </c>
      <c r="J343" s="208">
        <v>1</v>
      </c>
      <c r="K343" s="204" t="s">
        <v>9</v>
      </c>
      <c r="L343" s="209" t="str">
        <f t="shared" si="19"/>
        <v/>
      </c>
      <c r="M343" s="366">
        <f>IFERROR(AVERAGE(L341:L377),0)</f>
        <v>128963.29411764706</v>
      </c>
      <c r="N343" s="244"/>
      <c r="O343" s="78"/>
      <c r="P343" s="78"/>
      <c r="Q343" s="78"/>
      <c r="R343" s="36">
        <f t="shared" si="18"/>
        <v>23752.813792563145</v>
      </c>
      <c r="S343" s="37">
        <f t="shared" si="14"/>
        <v>235.17637418379309</v>
      </c>
      <c r="T343" s="37"/>
      <c r="X343" s="39" t="str">
        <f t="shared" si="20"/>
        <v/>
      </c>
      <c r="Y343" s="42" t="str">
        <f t="shared" si="21"/>
        <v/>
      </c>
    </row>
    <row r="344" spans="1:25" ht="14.5">
      <c r="A344" s="338">
        <v>44139</v>
      </c>
      <c r="B344" s="339" t="s">
        <v>47</v>
      </c>
      <c r="C344" s="340" t="s">
        <v>69</v>
      </c>
      <c r="D344" s="341" t="s">
        <v>112</v>
      </c>
      <c r="E344" s="340" t="s">
        <v>71</v>
      </c>
      <c r="F344" s="341">
        <v>1500</v>
      </c>
      <c r="G344" s="342">
        <v>82.23</v>
      </c>
      <c r="H344" s="342">
        <v>0</v>
      </c>
      <c r="I344" s="343">
        <v>0</v>
      </c>
      <c r="J344" s="344">
        <v>0</v>
      </c>
      <c r="K344" s="345" t="s">
        <v>9</v>
      </c>
      <c r="L344" s="346">
        <f t="shared" si="19"/>
        <v>123345</v>
      </c>
      <c r="M344" s="365" t="s">
        <v>24</v>
      </c>
      <c r="N344" s="244"/>
      <c r="O344" s="78"/>
      <c r="P344" s="78"/>
      <c r="Q344" s="78"/>
      <c r="R344" s="36">
        <f t="shared" si="18"/>
        <v>23752.813792563145</v>
      </c>
      <c r="S344" s="37" t="str">
        <f t="shared" si="14"/>
        <v/>
      </c>
      <c r="T344" s="37"/>
      <c r="X344" s="39" t="str">
        <f t="shared" si="20"/>
        <v/>
      </c>
      <c r="Y344" s="42" t="str">
        <f t="shared" si="21"/>
        <v/>
      </c>
    </row>
    <row r="345" spans="1:25" ht="14.5">
      <c r="A345" s="338">
        <v>44140</v>
      </c>
      <c r="B345" s="339" t="s">
        <v>48</v>
      </c>
      <c r="C345" s="340" t="s">
        <v>69</v>
      </c>
      <c r="D345" s="341" t="s">
        <v>112</v>
      </c>
      <c r="E345" s="340" t="s">
        <v>71</v>
      </c>
      <c r="F345" s="341">
        <v>1500</v>
      </c>
      <c r="G345" s="342">
        <v>83.86</v>
      </c>
      <c r="H345" s="342">
        <v>82.23</v>
      </c>
      <c r="I345" s="343">
        <v>2453.79</v>
      </c>
      <c r="J345" s="344">
        <v>1.98</v>
      </c>
      <c r="K345" s="345" t="s">
        <v>9</v>
      </c>
      <c r="L345" s="346" t="str">
        <f t="shared" si="19"/>
        <v/>
      </c>
      <c r="M345" s="366">
        <f>SUM(I341:I377)</f>
        <v>8680.98</v>
      </c>
      <c r="N345" s="244"/>
      <c r="O345" s="78"/>
      <c r="P345" s="78"/>
      <c r="Q345" s="78"/>
      <c r="R345" s="36">
        <f t="shared" si="18"/>
        <v>24223.119505655897</v>
      </c>
      <c r="S345" s="37">
        <f t="shared" si="14"/>
        <v>470.30571309275183</v>
      </c>
      <c r="T345" s="37"/>
      <c r="X345" s="39" t="str">
        <f t="shared" si="20"/>
        <v/>
      </c>
      <c r="Y345" s="42" t="str">
        <f t="shared" si="21"/>
        <v/>
      </c>
    </row>
    <row r="346" spans="1:25" ht="14.5">
      <c r="A346" s="201">
        <v>44141</v>
      </c>
      <c r="B346" s="283" t="s">
        <v>47</v>
      </c>
      <c r="C346" s="203" t="s">
        <v>69</v>
      </c>
      <c r="D346" s="205" t="s">
        <v>111</v>
      </c>
      <c r="E346" s="203" t="s">
        <v>71</v>
      </c>
      <c r="F346" s="205">
        <v>5700</v>
      </c>
      <c r="G346" s="206">
        <v>22.51</v>
      </c>
      <c r="H346" s="206">
        <v>0</v>
      </c>
      <c r="I346" s="207">
        <v>0</v>
      </c>
      <c r="J346" s="208">
        <v>0</v>
      </c>
      <c r="K346" s="204" t="s">
        <v>9</v>
      </c>
      <c r="L346" s="209">
        <f t="shared" si="19"/>
        <v>128307.00000000001</v>
      </c>
      <c r="M346" s="365" t="s">
        <v>27</v>
      </c>
      <c r="N346" s="244"/>
      <c r="O346" s="78"/>
      <c r="P346" s="78"/>
      <c r="Q346" s="78"/>
      <c r="R346" s="36">
        <f t="shared" si="18"/>
        <v>24223.119505655897</v>
      </c>
      <c r="S346" s="37" t="str">
        <f t="shared" si="14"/>
        <v/>
      </c>
      <c r="T346" s="37"/>
      <c r="X346" s="39" t="str">
        <f t="shared" si="20"/>
        <v/>
      </c>
      <c r="Y346" s="42" t="str">
        <f t="shared" si="21"/>
        <v/>
      </c>
    </row>
    <row r="347" spans="1:25" ht="14.5">
      <c r="A347" s="201">
        <v>44144</v>
      </c>
      <c r="B347" s="283" t="s">
        <v>48</v>
      </c>
      <c r="C347" s="203" t="s">
        <v>69</v>
      </c>
      <c r="D347" s="205" t="s">
        <v>111</v>
      </c>
      <c r="E347" s="203" t="s">
        <v>71</v>
      </c>
      <c r="F347" s="205">
        <v>5700</v>
      </c>
      <c r="G347" s="206">
        <v>23.2</v>
      </c>
      <c r="H347" s="206">
        <v>22.52</v>
      </c>
      <c r="I347" s="207">
        <v>3890.27</v>
      </c>
      <c r="J347" s="208">
        <v>3.03</v>
      </c>
      <c r="K347" s="204" t="s">
        <v>9</v>
      </c>
      <c r="L347" s="209" t="str">
        <f t="shared" si="19"/>
        <v/>
      </c>
      <c r="M347" s="367">
        <f>SUM(J341:J377)/100</f>
        <v>7.580000000000002E-2</v>
      </c>
      <c r="N347" s="244"/>
      <c r="O347" s="78"/>
      <c r="P347" s="78"/>
      <c r="Q347" s="78"/>
      <c r="R347" s="36">
        <f t="shared" si="18"/>
        <v>24957.080026677271</v>
      </c>
      <c r="S347" s="37">
        <f t="shared" si="14"/>
        <v>733.96052102137401</v>
      </c>
      <c r="T347" s="37"/>
      <c r="X347" s="39" t="str">
        <f t="shared" si="20"/>
        <v/>
      </c>
      <c r="Y347" s="42" t="str">
        <f t="shared" si="21"/>
        <v/>
      </c>
    </row>
    <row r="348" spans="1:25" ht="14.5">
      <c r="A348" s="201">
        <v>44145</v>
      </c>
      <c r="B348" s="283" t="s">
        <v>47</v>
      </c>
      <c r="C348" s="203" t="s">
        <v>69</v>
      </c>
      <c r="D348" s="205" t="s">
        <v>111</v>
      </c>
      <c r="E348" s="203" t="s">
        <v>71</v>
      </c>
      <c r="F348" s="205">
        <v>6300</v>
      </c>
      <c r="G348" s="206">
        <v>20.83</v>
      </c>
      <c r="H348" s="206">
        <v>0</v>
      </c>
      <c r="I348" s="207">
        <v>0</v>
      </c>
      <c r="J348" s="208">
        <v>0</v>
      </c>
      <c r="K348" s="204" t="s">
        <v>9</v>
      </c>
      <c r="L348" s="209">
        <f t="shared" si="19"/>
        <v>131229</v>
      </c>
      <c r="M348" s="319"/>
      <c r="N348" s="78"/>
      <c r="O348" s="78"/>
      <c r="P348" s="78"/>
      <c r="Q348" s="78"/>
      <c r="R348" s="36">
        <f t="shared" si="18"/>
        <v>24957.080026677271</v>
      </c>
      <c r="S348" s="37" t="str">
        <f t="shared" si="14"/>
        <v/>
      </c>
      <c r="T348" s="37"/>
      <c r="X348" s="39" t="str">
        <f t="shared" si="20"/>
        <v/>
      </c>
      <c r="Y348" s="42" t="str">
        <f t="shared" si="21"/>
        <v/>
      </c>
    </row>
    <row r="349" spans="1:25" ht="14.5">
      <c r="A349" s="201">
        <v>44146</v>
      </c>
      <c r="B349" s="368" t="s">
        <v>48</v>
      </c>
      <c r="C349" s="203" t="s">
        <v>69</v>
      </c>
      <c r="D349" s="205" t="s">
        <v>111</v>
      </c>
      <c r="E349" s="203" t="s">
        <v>71</v>
      </c>
      <c r="F349" s="205">
        <v>6300</v>
      </c>
      <c r="G349" s="206">
        <v>21.05</v>
      </c>
      <c r="H349" s="206">
        <v>20.84</v>
      </c>
      <c r="I349" s="207">
        <v>1348.25</v>
      </c>
      <c r="J349" s="208">
        <v>1.02</v>
      </c>
      <c r="K349" s="204" t="s">
        <v>9</v>
      </c>
      <c r="L349" s="209" t="str">
        <f t="shared" si="19"/>
        <v/>
      </c>
      <c r="M349" s="388"/>
      <c r="N349" s="244"/>
      <c r="O349" s="78"/>
      <c r="P349" s="78"/>
      <c r="Q349" s="78"/>
      <c r="R349" s="36">
        <f t="shared" si="18"/>
        <v>25211.64224294938</v>
      </c>
      <c r="S349" s="37">
        <f t="shared" si="14"/>
        <v>254.56221627210834</v>
      </c>
      <c r="T349" s="37"/>
      <c r="X349" s="39" t="str">
        <f t="shared" si="20"/>
        <v/>
      </c>
      <c r="Y349" s="42" t="str">
        <f t="shared" si="21"/>
        <v/>
      </c>
    </row>
    <row r="350" spans="1:25" ht="14.5">
      <c r="A350" s="79">
        <v>44146</v>
      </c>
      <c r="B350" s="369" t="s">
        <v>47</v>
      </c>
      <c r="C350" s="81" t="s">
        <v>69</v>
      </c>
      <c r="D350" s="83" t="s">
        <v>113</v>
      </c>
      <c r="E350" s="81" t="s">
        <v>71</v>
      </c>
      <c r="F350" s="83">
        <v>5000</v>
      </c>
      <c r="G350" s="84">
        <v>26.05</v>
      </c>
      <c r="H350" s="84">
        <v>0</v>
      </c>
      <c r="I350" s="85">
        <v>0</v>
      </c>
      <c r="J350" s="86">
        <v>0</v>
      </c>
      <c r="K350" s="82" t="s">
        <v>9</v>
      </c>
      <c r="L350" s="337">
        <f t="shared" si="19"/>
        <v>130250</v>
      </c>
      <c r="M350" s="388"/>
      <c r="N350" s="244"/>
      <c r="O350" s="78"/>
      <c r="P350" s="78"/>
      <c r="Q350" s="78"/>
      <c r="R350" s="36">
        <f t="shared" si="18"/>
        <v>25211.64224294938</v>
      </c>
      <c r="S350" s="37" t="str">
        <f t="shared" si="14"/>
        <v/>
      </c>
      <c r="T350" s="37"/>
      <c r="X350" s="39" t="str">
        <f t="shared" si="20"/>
        <v/>
      </c>
      <c r="Y350" s="42" t="str">
        <f t="shared" si="21"/>
        <v/>
      </c>
    </row>
    <row r="351" spans="1:25" ht="14.5">
      <c r="A351" s="79">
        <v>44147</v>
      </c>
      <c r="B351" s="369" t="s">
        <v>48</v>
      </c>
      <c r="C351" s="81" t="s">
        <v>69</v>
      </c>
      <c r="D351" s="83" t="s">
        <v>113</v>
      </c>
      <c r="E351" s="81" t="s">
        <v>71</v>
      </c>
      <c r="F351" s="83">
        <v>5000</v>
      </c>
      <c r="G351" s="84">
        <v>26.05</v>
      </c>
      <c r="H351" s="84">
        <v>26.06</v>
      </c>
      <c r="I351" s="85">
        <v>-30.71</v>
      </c>
      <c r="J351" s="86">
        <v>-0.02</v>
      </c>
      <c r="K351" s="82" t="s">
        <v>9</v>
      </c>
      <c r="L351" s="337" t="str">
        <f t="shared" si="19"/>
        <v/>
      </c>
      <c r="M351" s="388"/>
      <c r="N351" s="244"/>
      <c r="O351" s="78"/>
      <c r="P351" s="78"/>
      <c r="Q351" s="78"/>
      <c r="R351" s="36">
        <f t="shared" si="18"/>
        <v>25206.599914500792</v>
      </c>
      <c r="S351" s="37">
        <f t="shared" si="14"/>
        <v>-5.0423284485877957</v>
      </c>
      <c r="T351" s="37"/>
      <c r="X351" s="39" t="str">
        <f t="shared" si="20"/>
        <v/>
      </c>
      <c r="Y351" s="42" t="str">
        <f t="shared" si="21"/>
        <v/>
      </c>
    </row>
    <row r="352" spans="1:25" ht="14.5">
      <c r="A352" s="201">
        <v>44147</v>
      </c>
      <c r="B352" s="368" t="s">
        <v>47</v>
      </c>
      <c r="C352" s="203" t="s">
        <v>69</v>
      </c>
      <c r="D352" s="205" t="s">
        <v>111</v>
      </c>
      <c r="E352" s="203" t="s">
        <v>71</v>
      </c>
      <c r="F352" s="205">
        <v>6400</v>
      </c>
      <c r="G352" s="206">
        <v>20.68</v>
      </c>
      <c r="H352" s="206">
        <v>0</v>
      </c>
      <c r="I352" s="207">
        <v>0</v>
      </c>
      <c r="J352" s="208">
        <v>0</v>
      </c>
      <c r="K352" s="204" t="s">
        <v>9</v>
      </c>
      <c r="L352" s="209">
        <f t="shared" si="19"/>
        <v>132352</v>
      </c>
      <c r="M352" s="388"/>
      <c r="N352" s="244"/>
      <c r="O352" s="78"/>
      <c r="P352" s="78"/>
      <c r="Q352" s="78"/>
      <c r="R352" s="36">
        <f t="shared" si="18"/>
        <v>25206.599914500792</v>
      </c>
      <c r="S352" s="37" t="str">
        <f t="shared" si="14"/>
        <v/>
      </c>
      <c r="T352" s="37"/>
      <c r="X352" s="39" t="str">
        <f t="shared" si="20"/>
        <v/>
      </c>
      <c r="Y352" s="42" t="str">
        <f t="shared" si="21"/>
        <v/>
      </c>
    </row>
    <row r="353" spans="1:25" ht="14.5">
      <c r="A353" s="201">
        <v>44148</v>
      </c>
      <c r="B353" s="368" t="s">
        <v>48</v>
      </c>
      <c r="C353" s="203" t="s">
        <v>69</v>
      </c>
      <c r="D353" s="205" t="s">
        <v>111</v>
      </c>
      <c r="E353" s="203" t="s">
        <v>71</v>
      </c>
      <c r="F353" s="205">
        <v>6400</v>
      </c>
      <c r="G353" s="206">
        <v>20.76</v>
      </c>
      <c r="H353" s="206">
        <v>20.69</v>
      </c>
      <c r="I353" s="207">
        <v>523.80999999999995</v>
      </c>
      <c r="J353" s="208">
        <v>0.39</v>
      </c>
      <c r="K353" s="204" t="s">
        <v>9</v>
      </c>
      <c r="L353" s="209" t="str">
        <f t="shared" si="19"/>
        <v/>
      </c>
      <c r="M353" s="388"/>
      <c r="N353" s="244"/>
      <c r="O353" s="78"/>
      <c r="P353" s="78"/>
      <c r="Q353" s="78"/>
      <c r="R353" s="36">
        <f t="shared" si="18"/>
        <v>25304.905654167345</v>
      </c>
      <c r="S353" s="37">
        <f t="shared" si="14"/>
        <v>98.305739666553563</v>
      </c>
      <c r="T353" s="37"/>
      <c r="X353" s="39" t="str">
        <f t="shared" si="20"/>
        <v/>
      </c>
      <c r="Y353" s="42" t="str">
        <f t="shared" si="21"/>
        <v/>
      </c>
    </row>
    <row r="354" spans="1:25" ht="14.5">
      <c r="A354" s="201">
        <v>44151</v>
      </c>
      <c r="B354" s="368" t="s">
        <v>47</v>
      </c>
      <c r="C354" s="203" t="s">
        <v>69</v>
      </c>
      <c r="D354" s="205" t="s">
        <v>111</v>
      </c>
      <c r="E354" s="203" t="s">
        <v>71</v>
      </c>
      <c r="F354" s="205">
        <v>6300</v>
      </c>
      <c r="G354" s="206">
        <v>20.99</v>
      </c>
      <c r="H354" s="206">
        <v>0</v>
      </c>
      <c r="I354" s="207">
        <v>0</v>
      </c>
      <c r="J354" s="208">
        <v>0</v>
      </c>
      <c r="K354" s="204" t="s">
        <v>9</v>
      </c>
      <c r="L354" s="209">
        <f t="shared" si="19"/>
        <v>132237</v>
      </c>
      <c r="M354" s="388"/>
      <c r="N354" s="244"/>
      <c r="O354" s="78"/>
      <c r="P354" s="78"/>
      <c r="Q354" s="78"/>
      <c r="R354" s="36">
        <f t="shared" ref="R354:R417" si="22">R353*((J354/100)+1)</f>
        <v>25304.905654167345</v>
      </c>
      <c r="S354" s="37" t="str">
        <f t="shared" si="14"/>
        <v/>
      </c>
      <c r="T354" s="37"/>
      <c r="X354" s="39" t="str">
        <f t="shared" si="20"/>
        <v/>
      </c>
      <c r="Y354" s="42" t="str">
        <f t="shared" si="21"/>
        <v/>
      </c>
    </row>
    <row r="355" spans="1:25" ht="14.5">
      <c r="A355" s="201">
        <v>44152</v>
      </c>
      <c r="B355" s="368" t="s">
        <v>48</v>
      </c>
      <c r="C355" s="203" t="s">
        <v>69</v>
      </c>
      <c r="D355" s="205" t="s">
        <v>111</v>
      </c>
      <c r="E355" s="203" t="s">
        <v>71</v>
      </c>
      <c r="F355" s="205">
        <v>6300</v>
      </c>
      <c r="G355" s="206">
        <v>20.91</v>
      </c>
      <c r="H355" s="206">
        <v>21</v>
      </c>
      <c r="I355" s="207">
        <v>-541.78</v>
      </c>
      <c r="J355" s="208">
        <v>-0.4</v>
      </c>
      <c r="K355" s="204" t="s">
        <v>9</v>
      </c>
      <c r="L355" s="209" t="str">
        <f t="shared" si="19"/>
        <v/>
      </c>
      <c r="M355" s="388"/>
      <c r="N355" s="244"/>
      <c r="O355" s="78"/>
      <c r="P355" s="78"/>
      <c r="Q355" s="78"/>
      <c r="R355" s="36">
        <f t="shared" si="22"/>
        <v>25203.686031550675</v>
      </c>
      <c r="S355" s="37">
        <f t="shared" si="14"/>
        <v>-101.21962261667068</v>
      </c>
      <c r="T355" s="37"/>
      <c r="X355" s="39" t="str">
        <f t="shared" si="20"/>
        <v/>
      </c>
      <c r="Y355" s="42" t="str">
        <f t="shared" si="21"/>
        <v/>
      </c>
    </row>
    <row r="356" spans="1:25" ht="14.5">
      <c r="A356" s="127">
        <v>44152</v>
      </c>
      <c r="B356" s="370" t="s">
        <v>47</v>
      </c>
      <c r="C356" s="129" t="s">
        <v>69</v>
      </c>
      <c r="D356" s="130" t="s">
        <v>114</v>
      </c>
      <c r="E356" s="129" t="s">
        <v>71</v>
      </c>
      <c r="F356" s="130">
        <v>7100</v>
      </c>
      <c r="G356" s="131">
        <v>18.47</v>
      </c>
      <c r="H356" s="131">
        <v>0</v>
      </c>
      <c r="I356" s="132">
        <v>0</v>
      </c>
      <c r="J356" s="133">
        <v>0</v>
      </c>
      <c r="K356" s="134" t="s">
        <v>9</v>
      </c>
      <c r="L356" s="135">
        <f t="shared" si="19"/>
        <v>131137</v>
      </c>
      <c r="M356" s="388"/>
      <c r="N356" s="78"/>
      <c r="O356" s="78"/>
      <c r="P356" s="78"/>
      <c r="Q356" s="78"/>
      <c r="R356" s="36">
        <f t="shared" si="22"/>
        <v>25203.686031550675</v>
      </c>
      <c r="S356" s="37" t="str">
        <f t="shared" si="14"/>
        <v/>
      </c>
      <c r="T356" s="37"/>
      <c r="X356" s="39" t="str">
        <f t="shared" si="20"/>
        <v/>
      </c>
      <c r="Y356" s="42" t="str">
        <f t="shared" si="21"/>
        <v/>
      </c>
    </row>
    <row r="357" spans="1:25" ht="14.5">
      <c r="A357" s="127">
        <v>44153</v>
      </c>
      <c r="B357" s="370" t="s">
        <v>48</v>
      </c>
      <c r="C357" s="129" t="s">
        <v>69</v>
      </c>
      <c r="D357" s="130" t="s">
        <v>114</v>
      </c>
      <c r="E357" s="129" t="s">
        <v>71</v>
      </c>
      <c r="F357" s="130">
        <v>5400</v>
      </c>
      <c r="G357" s="131">
        <v>18.66</v>
      </c>
      <c r="H357" s="131">
        <v>18.48</v>
      </c>
      <c r="I357" s="132">
        <v>1001.08</v>
      </c>
      <c r="J357" s="133">
        <v>1</v>
      </c>
      <c r="K357" s="134" t="s">
        <v>9</v>
      </c>
      <c r="L357" s="135" t="str">
        <f t="shared" si="19"/>
        <v/>
      </c>
      <c r="M357" s="78"/>
      <c r="N357" s="78"/>
      <c r="O357" s="78"/>
      <c r="P357" s="78"/>
      <c r="Q357" s="78"/>
      <c r="R357" s="36">
        <f t="shared" si="22"/>
        <v>25455.722891866182</v>
      </c>
      <c r="S357" s="37">
        <f t="shared" si="14"/>
        <v>252.03686031550751</v>
      </c>
      <c r="T357" s="37"/>
      <c r="X357" s="39" t="str">
        <f t="shared" si="20"/>
        <v/>
      </c>
      <c r="Y357" s="42" t="str">
        <f t="shared" si="21"/>
        <v/>
      </c>
    </row>
    <row r="358" spans="1:25" ht="14.5">
      <c r="A358" s="127">
        <v>44153</v>
      </c>
      <c r="B358" s="370" t="s">
        <v>48</v>
      </c>
      <c r="C358" s="129" t="s">
        <v>69</v>
      </c>
      <c r="D358" s="130" t="s">
        <v>114</v>
      </c>
      <c r="E358" s="129" t="s">
        <v>71</v>
      </c>
      <c r="F358" s="130">
        <v>1700</v>
      </c>
      <c r="G358" s="131">
        <v>18.05</v>
      </c>
      <c r="H358" s="131">
        <v>18.48</v>
      </c>
      <c r="I358" s="132">
        <v>-712.34</v>
      </c>
      <c r="J358" s="133">
        <v>-2.2599999999999998</v>
      </c>
      <c r="K358" s="134" t="s">
        <v>9</v>
      </c>
      <c r="L358" s="135" t="str">
        <f t="shared" si="19"/>
        <v/>
      </c>
      <c r="M358" s="78"/>
      <c r="N358" s="78"/>
      <c r="O358" s="78"/>
      <c r="P358" s="78"/>
      <c r="Q358" s="78"/>
      <c r="R358" s="36">
        <f t="shared" si="22"/>
        <v>24880.423554510009</v>
      </c>
      <c r="S358" s="37">
        <f t="shared" si="14"/>
        <v>-575.29933735617306</v>
      </c>
      <c r="T358" s="37"/>
      <c r="X358" s="39" t="str">
        <f t="shared" si="20"/>
        <v/>
      </c>
      <c r="Y358" s="42" t="str">
        <f t="shared" si="21"/>
        <v/>
      </c>
    </row>
    <row r="359" spans="1:25" ht="87">
      <c r="A359" s="579">
        <v>44153</v>
      </c>
      <c r="B359" s="580" t="s">
        <v>47</v>
      </c>
      <c r="C359" s="581" t="s">
        <v>69</v>
      </c>
      <c r="D359" s="582" t="s">
        <v>115</v>
      </c>
      <c r="E359" s="583" t="s">
        <v>71</v>
      </c>
      <c r="F359" s="582">
        <v>5900</v>
      </c>
      <c r="G359" s="584">
        <v>21.94</v>
      </c>
      <c r="H359" s="584">
        <v>0</v>
      </c>
      <c r="I359" s="585">
        <v>0</v>
      </c>
      <c r="J359" s="586">
        <v>0</v>
      </c>
      <c r="K359" s="581" t="s">
        <v>9</v>
      </c>
      <c r="L359" s="371">
        <f t="shared" si="19"/>
        <v>129446.00000000001</v>
      </c>
      <c r="M359" s="78"/>
      <c r="N359" s="78"/>
      <c r="O359" s="78"/>
      <c r="P359" s="78"/>
      <c r="Q359" s="78"/>
      <c r="R359" s="36">
        <f t="shared" si="22"/>
        <v>24880.423554510009</v>
      </c>
      <c r="S359" s="37" t="str">
        <f t="shared" si="14"/>
        <v/>
      </c>
      <c r="T359" s="37"/>
      <c r="X359" s="39" t="str">
        <f t="shared" si="20"/>
        <v/>
      </c>
      <c r="Y359" s="42" t="str">
        <f t="shared" si="21"/>
        <v/>
      </c>
    </row>
    <row r="360" spans="1:25" ht="87">
      <c r="A360" s="579">
        <v>44154</v>
      </c>
      <c r="B360" s="580" t="s">
        <v>48</v>
      </c>
      <c r="C360" s="581" t="s">
        <v>69</v>
      </c>
      <c r="D360" s="582" t="s">
        <v>115</v>
      </c>
      <c r="E360" s="587" t="s">
        <v>71</v>
      </c>
      <c r="F360" s="582">
        <v>5900</v>
      </c>
      <c r="G360" s="584">
        <v>22.17</v>
      </c>
      <c r="H360" s="584">
        <v>21.95</v>
      </c>
      <c r="I360" s="585">
        <v>1316.36</v>
      </c>
      <c r="J360" s="586">
        <v>1.01</v>
      </c>
      <c r="K360" s="581" t="s">
        <v>9</v>
      </c>
      <c r="L360" s="585" t="str">
        <f t="shared" si="19"/>
        <v/>
      </c>
      <c r="M360" s="78"/>
      <c r="N360" s="78"/>
      <c r="O360" s="78"/>
      <c r="P360" s="78"/>
      <c r="Q360" s="78"/>
      <c r="R360" s="36">
        <f t="shared" si="22"/>
        <v>25131.715832410559</v>
      </c>
      <c r="S360" s="37">
        <f t="shared" si="14"/>
        <v>251.29227790054938</v>
      </c>
      <c r="T360" s="37"/>
      <c r="X360" s="39" t="str">
        <f t="shared" si="20"/>
        <v/>
      </c>
      <c r="Y360" s="42" t="str">
        <f t="shared" si="21"/>
        <v/>
      </c>
    </row>
    <row r="361" spans="1:25" ht="14.5">
      <c r="A361" s="165">
        <v>44154</v>
      </c>
      <c r="B361" s="372" t="s">
        <v>47</v>
      </c>
      <c r="C361" s="167" t="s">
        <v>69</v>
      </c>
      <c r="D361" s="169" t="s">
        <v>116</v>
      </c>
      <c r="E361" s="167" t="s">
        <v>71</v>
      </c>
      <c r="F361" s="169">
        <v>8000</v>
      </c>
      <c r="G361" s="170">
        <v>16.399999999999999</v>
      </c>
      <c r="H361" s="170">
        <v>0</v>
      </c>
      <c r="I361" s="171">
        <v>0</v>
      </c>
      <c r="J361" s="172">
        <v>0</v>
      </c>
      <c r="K361" s="168" t="s">
        <v>9</v>
      </c>
      <c r="L361" s="273">
        <f t="shared" si="19"/>
        <v>131200</v>
      </c>
      <c r="M361" s="78"/>
      <c r="N361" s="78"/>
      <c r="O361" s="78"/>
      <c r="P361" s="78"/>
      <c r="Q361" s="78"/>
      <c r="R361" s="36">
        <f t="shared" si="22"/>
        <v>25131.715832410559</v>
      </c>
      <c r="S361" s="37" t="str">
        <f t="shared" si="14"/>
        <v/>
      </c>
      <c r="T361" s="37"/>
      <c r="X361" s="39" t="str">
        <f t="shared" si="20"/>
        <v/>
      </c>
      <c r="Y361" s="42" t="str">
        <f t="shared" si="21"/>
        <v/>
      </c>
    </row>
    <row r="362" spans="1:25" ht="14.5">
      <c r="A362" s="165">
        <v>44155</v>
      </c>
      <c r="B362" s="372" t="s">
        <v>48</v>
      </c>
      <c r="C362" s="167" t="s">
        <v>69</v>
      </c>
      <c r="D362" s="169" t="s">
        <v>116</v>
      </c>
      <c r="E362" s="167" t="s">
        <v>71</v>
      </c>
      <c r="F362" s="169">
        <v>8000</v>
      </c>
      <c r="G362" s="170">
        <v>16.649999999999999</v>
      </c>
      <c r="H362" s="170">
        <v>16.41</v>
      </c>
      <c r="I362" s="171">
        <v>1979.08</v>
      </c>
      <c r="J362" s="172">
        <v>1.5</v>
      </c>
      <c r="K362" s="168" t="s">
        <v>9</v>
      </c>
      <c r="L362" s="273" t="str">
        <f t="shared" si="19"/>
        <v/>
      </c>
      <c r="M362" s="78"/>
      <c r="N362" s="78"/>
      <c r="O362" s="78"/>
      <c r="P362" s="78"/>
      <c r="Q362" s="78"/>
      <c r="R362" s="36">
        <f t="shared" si="22"/>
        <v>25508.691569896713</v>
      </c>
      <c r="S362" s="37">
        <f t="shared" si="14"/>
        <v>376.97573748615469</v>
      </c>
      <c r="T362" s="37"/>
      <c r="X362" s="39" t="str">
        <f t="shared" si="20"/>
        <v/>
      </c>
      <c r="Y362" s="42" t="str">
        <f t="shared" si="21"/>
        <v/>
      </c>
    </row>
    <row r="363" spans="1:25" ht="14.5">
      <c r="A363" s="47">
        <v>44155</v>
      </c>
      <c r="B363" s="301" t="s">
        <v>47</v>
      </c>
      <c r="C363" s="49" t="s">
        <v>69</v>
      </c>
      <c r="D363" s="50" t="s">
        <v>101</v>
      </c>
      <c r="E363" s="49" t="s">
        <v>71</v>
      </c>
      <c r="F363" s="50">
        <v>1900</v>
      </c>
      <c r="G363" s="51">
        <v>69.42</v>
      </c>
      <c r="H363" s="51">
        <v>0</v>
      </c>
      <c r="I363" s="52">
        <v>0</v>
      </c>
      <c r="J363" s="53">
        <v>0</v>
      </c>
      <c r="K363" s="54" t="s">
        <v>9</v>
      </c>
      <c r="L363" s="55">
        <f t="shared" si="19"/>
        <v>131898</v>
      </c>
      <c r="M363" s="78"/>
      <c r="N363" s="78"/>
      <c r="O363" s="78"/>
      <c r="P363" s="78"/>
      <c r="Q363" s="78"/>
      <c r="R363" s="36">
        <f t="shared" si="22"/>
        <v>25508.691569896713</v>
      </c>
      <c r="S363" s="37" t="str">
        <f t="shared" si="14"/>
        <v/>
      </c>
      <c r="T363" s="37"/>
      <c r="X363" s="39" t="str">
        <f t="shared" si="20"/>
        <v/>
      </c>
      <c r="Y363" s="42" t="str">
        <f t="shared" si="21"/>
        <v/>
      </c>
    </row>
    <row r="364" spans="1:25" ht="14.5">
      <c r="A364" s="47">
        <v>44158</v>
      </c>
      <c r="B364" s="301" t="s">
        <v>48</v>
      </c>
      <c r="C364" s="49" t="s">
        <v>69</v>
      </c>
      <c r="D364" s="50" t="s">
        <v>101</v>
      </c>
      <c r="E364" s="49" t="s">
        <v>71</v>
      </c>
      <c r="F364" s="50">
        <v>1900</v>
      </c>
      <c r="G364" s="51">
        <v>68.3</v>
      </c>
      <c r="H364" s="51">
        <v>69.430000000000007</v>
      </c>
      <c r="I364" s="52">
        <v>-2129.06</v>
      </c>
      <c r="J364" s="53">
        <v>-1.61</v>
      </c>
      <c r="K364" s="54" t="s">
        <v>9</v>
      </c>
      <c r="L364" s="55" t="str">
        <f t="shared" si="19"/>
        <v/>
      </c>
      <c r="M364" s="78"/>
      <c r="N364" s="78"/>
      <c r="O364" s="78"/>
      <c r="P364" s="78"/>
      <c r="Q364" s="78"/>
      <c r="R364" s="36">
        <f t="shared" si="22"/>
        <v>25098.001635621375</v>
      </c>
      <c r="S364" s="37">
        <f t="shared" si="14"/>
        <v>-410.6899342753386</v>
      </c>
      <c r="T364" s="37"/>
      <c r="X364" s="39" t="str">
        <f t="shared" si="20"/>
        <v/>
      </c>
      <c r="Y364" s="42" t="str">
        <f t="shared" si="21"/>
        <v/>
      </c>
    </row>
    <row r="365" spans="1:25" ht="14.5">
      <c r="A365" s="165">
        <v>44158</v>
      </c>
      <c r="B365" s="372" t="s">
        <v>47</v>
      </c>
      <c r="C365" s="167" t="s">
        <v>69</v>
      </c>
      <c r="D365" s="169" t="s">
        <v>116</v>
      </c>
      <c r="E365" s="167" t="s">
        <v>71</v>
      </c>
      <c r="F365" s="169">
        <v>8000</v>
      </c>
      <c r="G365" s="170">
        <v>16.329999999999998</v>
      </c>
      <c r="H365" s="170">
        <v>0</v>
      </c>
      <c r="I365" s="171">
        <v>0</v>
      </c>
      <c r="J365" s="172">
        <v>0</v>
      </c>
      <c r="K365" s="168" t="s">
        <v>9</v>
      </c>
      <c r="L365" s="273">
        <f t="shared" ref="L365:L428" si="23">IF(B365="Compra",F365*G365,"")</f>
        <v>130639.99999999999</v>
      </c>
      <c r="M365" s="78"/>
      <c r="N365" s="78"/>
      <c r="O365" s="78"/>
      <c r="P365" s="78"/>
      <c r="Q365" s="78"/>
      <c r="R365" s="36">
        <f t="shared" si="22"/>
        <v>25098.001635621375</v>
      </c>
      <c r="S365" s="37" t="str">
        <f t="shared" si="14"/>
        <v/>
      </c>
      <c r="T365" s="37"/>
      <c r="X365" s="39" t="str">
        <f t="shared" si="20"/>
        <v/>
      </c>
      <c r="Y365" s="42" t="str">
        <f t="shared" si="21"/>
        <v/>
      </c>
    </row>
    <row r="366" spans="1:25" ht="14.5">
      <c r="A366" s="165">
        <v>44159</v>
      </c>
      <c r="B366" s="372" t="s">
        <v>48</v>
      </c>
      <c r="C366" s="167" t="s">
        <v>69</v>
      </c>
      <c r="D366" s="169" t="s">
        <v>116</v>
      </c>
      <c r="E366" s="167" t="s">
        <v>71</v>
      </c>
      <c r="F366" s="169">
        <v>100</v>
      </c>
      <c r="G366" s="170">
        <v>16.53</v>
      </c>
      <c r="H366" s="170">
        <v>16.34</v>
      </c>
      <c r="I366" s="171">
        <v>19.96</v>
      </c>
      <c r="J366" s="172">
        <v>1.22</v>
      </c>
      <c r="K366" s="168" t="s">
        <v>9</v>
      </c>
      <c r="L366" s="273" t="str">
        <f t="shared" si="23"/>
        <v/>
      </c>
      <c r="M366" s="78"/>
      <c r="N366" s="78"/>
      <c r="O366" s="78"/>
      <c r="P366" s="78"/>
      <c r="Q366" s="78"/>
      <c r="R366" s="36">
        <f t="shared" si="22"/>
        <v>25404.197255575957</v>
      </c>
      <c r="S366" s="37">
        <f t="shared" si="14"/>
        <v>306.19561995458207</v>
      </c>
      <c r="T366" s="37"/>
      <c r="X366" s="39" t="str">
        <f t="shared" si="20"/>
        <v/>
      </c>
      <c r="Y366" s="42" t="str">
        <f t="shared" si="21"/>
        <v/>
      </c>
    </row>
    <row r="367" spans="1:25" ht="14.5">
      <c r="A367" s="165">
        <v>44159</v>
      </c>
      <c r="B367" s="372" t="s">
        <v>48</v>
      </c>
      <c r="C367" s="167" t="s">
        <v>69</v>
      </c>
      <c r="D367" s="169" t="s">
        <v>116</v>
      </c>
      <c r="E367" s="167" t="s">
        <v>71</v>
      </c>
      <c r="F367" s="169">
        <v>7900</v>
      </c>
      <c r="G367" s="170">
        <v>16.079999999999998</v>
      </c>
      <c r="H367" s="170">
        <v>16.34</v>
      </c>
      <c r="I367" s="171">
        <v>-1959.23</v>
      </c>
      <c r="J367" s="172">
        <v>-1.51</v>
      </c>
      <c r="K367" s="168" t="s">
        <v>9</v>
      </c>
      <c r="L367" s="273" t="str">
        <f t="shared" si="23"/>
        <v/>
      </c>
      <c r="M367" s="78"/>
      <c r="N367" s="78"/>
      <c r="O367" s="78"/>
      <c r="P367" s="78"/>
      <c r="Q367" s="78"/>
      <c r="R367" s="36">
        <f t="shared" si="22"/>
        <v>25020.59387701676</v>
      </c>
      <c r="S367" s="37">
        <f t="shared" si="14"/>
        <v>-383.60337855919715</v>
      </c>
      <c r="T367" s="37"/>
      <c r="X367" s="39" t="str">
        <f t="shared" si="20"/>
        <v/>
      </c>
      <c r="Y367" s="42" t="str">
        <f t="shared" si="21"/>
        <v/>
      </c>
    </row>
    <row r="368" spans="1:25" ht="87">
      <c r="A368" s="579">
        <v>44159</v>
      </c>
      <c r="B368" s="580" t="s">
        <v>47</v>
      </c>
      <c r="C368" s="581" t="s">
        <v>69</v>
      </c>
      <c r="D368" s="582" t="s">
        <v>115</v>
      </c>
      <c r="E368" s="583" t="s">
        <v>71</v>
      </c>
      <c r="F368" s="582">
        <v>5500</v>
      </c>
      <c r="G368" s="584">
        <v>23.47</v>
      </c>
      <c r="H368" s="584">
        <v>0</v>
      </c>
      <c r="I368" s="585">
        <v>0</v>
      </c>
      <c r="J368" s="586">
        <v>0</v>
      </c>
      <c r="K368" s="581" t="s">
        <v>9</v>
      </c>
      <c r="L368" s="371">
        <f t="shared" si="23"/>
        <v>129085</v>
      </c>
      <c r="M368" s="78"/>
      <c r="N368" s="78"/>
      <c r="O368" s="78"/>
      <c r="P368" s="78"/>
      <c r="Q368" s="78"/>
      <c r="R368" s="36">
        <f t="shared" si="22"/>
        <v>25020.59387701676</v>
      </c>
      <c r="S368" s="37" t="str">
        <f t="shared" si="14"/>
        <v/>
      </c>
      <c r="T368" s="37"/>
      <c r="X368" s="39" t="str">
        <f t="shared" si="20"/>
        <v/>
      </c>
      <c r="Y368" s="42" t="str">
        <f t="shared" si="21"/>
        <v/>
      </c>
    </row>
    <row r="369" spans="1:25" ht="87">
      <c r="A369" s="579">
        <v>44160</v>
      </c>
      <c r="B369" s="580" t="s">
        <v>48</v>
      </c>
      <c r="C369" s="581" t="s">
        <v>69</v>
      </c>
      <c r="D369" s="582" t="s">
        <v>115</v>
      </c>
      <c r="E369" s="587" t="s">
        <v>71</v>
      </c>
      <c r="F369" s="582">
        <v>2200</v>
      </c>
      <c r="G369" s="584">
        <v>23.72</v>
      </c>
      <c r="H369" s="584">
        <v>23.48</v>
      </c>
      <c r="I369" s="585">
        <v>531.25</v>
      </c>
      <c r="J369" s="586">
        <v>1.02</v>
      </c>
      <c r="K369" s="581" t="s">
        <v>9</v>
      </c>
      <c r="L369" s="585" t="str">
        <f t="shared" si="23"/>
        <v/>
      </c>
      <c r="M369" s="78"/>
      <c r="N369" s="78"/>
      <c r="O369" s="78"/>
      <c r="P369" s="78"/>
      <c r="Q369" s="78"/>
      <c r="R369" s="36">
        <f t="shared" si="22"/>
        <v>25275.803934562329</v>
      </c>
      <c r="S369" s="37">
        <f t="shared" si="14"/>
        <v>255.21005754556973</v>
      </c>
      <c r="T369" s="37"/>
      <c r="X369" s="39" t="str">
        <f t="shared" si="20"/>
        <v/>
      </c>
      <c r="Y369" s="42" t="str">
        <f t="shared" si="21"/>
        <v/>
      </c>
    </row>
    <row r="370" spans="1:25" ht="87">
      <c r="A370" s="579">
        <v>44160</v>
      </c>
      <c r="B370" s="580" t="s">
        <v>48</v>
      </c>
      <c r="C370" s="581" t="s">
        <v>69</v>
      </c>
      <c r="D370" s="582" t="s">
        <v>115</v>
      </c>
      <c r="E370" s="587" t="s">
        <v>71</v>
      </c>
      <c r="F370" s="582">
        <v>3300</v>
      </c>
      <c r="G370" s="584">
        <v>23.61</v>
      </c>
      <c r="H370" s="584">
        <v>23.48</v>
      </c>
      <c r="I370" s="585">
        <v>438.43</v>
      </c>
      <c r="J370" s="586">
        <v>0.56000000000000005</v>
      </c>
      <c r="K370" s="581" t="s">
        <v>9</v>
      </c>
      <c r="L370" s="585" t="str">
        <f t="shared" si="23"/>
        <v/>
      </c>
      <c r="M370" s="78"/>
      <c r="N370" s="78"/>
      <c r="O370" s="78"/>
      <c r="P370" s="78"/>
      <c r="Q370" s="78"/>
      <c r="R370" s="36">
        <f t="shared" si="22"/>
        <v>25417.348436595879</v>
      </c>
      <c r="S370" s="37">
        <f t="shared" si="14"/>
        <v>141.54450203355009</v>
      </c>
      <c r="T370" s="37"/>
      <c r="X370" s="39" t="str">
        <f t="shared" si="20"/>
        <v/>
      </c>
      <c r="Y370" s="42" t="str">
        <f t="shared" si="21"/>
        <v/>
      </c>
    </row>
    <row r="371" spans="1:25" ht="14.5">
      <c r="A371" s="165">
        <v>44160</v>
      </c>
      <c r="B371" s="372" t="s">
        <v>47</v>
      </c>
      <c r="C371" s="167" t="s">
        <v>69</v>
      </c>
      <c r="D371" s="169" t="s">
        <v>116</v>
      </c>
      <c r="E371" s="167" t="s">
        <v>71</v>
      </c>
      <c r="F371" s="169">
        <v>7300</v>
      </c>
      <c r="G371" s="170">
        <v>17.95</v>
      </c>
      <c r="H371" s="170">
        <v>0</v>
      </c>
      <c r="I371" s="171">
        <v>0</v>
      </c>
      <c r="J371" s="172">
        <v>0</v>
      </c>
      <c r="K371" s="168" t="s">
        <v>9</v>
      </c>
      <c r="L371" s="273">
        <f t="shared" si="23"/>
        <v>131035</v>
      </c>
      <c r="M371" s="78"/>
      <c r="N371" s="78"/>
      <c r="O371" s="78"/>
      <c r="P371" s="78"/>
      <c r="Q371" s="78"/>
      <c r="R371" s="36">
        <f t="shared" si="22"/>
        <v>25417.348436595879</v>
      </c>
      <c r="S371" s="37" t="str">
        <f t="shared" si="14"/>
        <v/>
      </c>
      <c r="T371" s="37"/>
      <c r="X371" s="39" t="str">
        <f t="shared" si="20"/>
        <v/>
      </c>
      <c r="Y371" s="42" t="str">
        <f t="shared" si="21"/>
        <v/>
      </c>
    </row>
    <row r="372" spans="1:25" ht="14.5">
      <c r="A372" s="165">
        <v>44161</v>
      </c>
      <c r="B372" s="372" t="s">
        <v>48</v>
      </c>
      <c r="C372" s="167" t="s">
        <v>69</v>
      </c>
      <c r="D372" s="169" t="s">
        <v>116</v>
      </c>
      <c r="E372" s="167" t="s">
        <v>71</v>
      </c>
      <c r="F372" s="169">
        <v>7300</v>
      </c>
      <c r="G372" s="170">
        <v>17.45</v>
      </c>
      <c r="H372" s="170">
        <v>17.96</v>
      </c>
      <c r="I372" s="171">
        <v>-3650.08</v>
      </c>
      <c r="J372" s="172">
        <v>-2.78</v>
      </c>
      <c r="K372" s="168" t="s">
        <v>9</v>
      </c>
      <c r="L372" s="273" t="str">
        <f t="shared" si="23"/>
        <v/>
      </c>
      <c r="M372" s="78"/>
      <c r="N372" s="78"/>
      <c r="O372" s="78"/>
      <c r="P372" s="78"/>
      <c r="Q372" s="78"/>
      <c r="R372" s="36">
        <f t="shared" si="22"/>
        <v>24710.746150058512</v>
      </c>
      <c r="S372" s="37">
        <f t="shared" si="14"/>
        <v>-706.60228653736704</v>
      </c>
      <c r="T372" s="37"/>
      <c r="X372" s="39" t="str">
        <f t="shared" si="20"/>
        <v/>
      </c>
      <c r="Y372" s="42" t="str">
        <f t="shared" si="21"/>
        <v/>
      </c>
    </row>
    <row r="373" spans="1:25" ht="14.5">
      <c r="A373" s="192">
        <v>44161</v>
      </c>
      <c r="B373" s="373" t="s">
        <v>47</v>
      </c>
      <c r="C373" s="194" t="s">
        <v>69</v>
      </c>
      <c r="D373" s="196" t="s">
        <v>108</v>
      </c>
      <c r="E373" s="194" t="s">
        <v>71</v>
      </c>
      <c r="F373" s="196">
        <v>8200</v>
      </c>
      <c r="G373" s="197">
        <v>15.24</v>
      </c>
      <c r="H373" s="197">
        <v>0</v>
      </c>
      <c r="I373" s="198">
        <v>0</v>
      </c>
      <c r="J373" s="199">
        <v>0</v>
      </c>
      <c r="K373" s="195" t="s">
        <v>9</v>
      </c>
      <c r="L373" s="200">
        <f t="shared" si="23"/>
        <v>124968</v>
      </c>
      <c r="M373" s="78"/>
      <c r="N373" s="78"/>
      <c r="O373" s="78"/>
      <c r="P373" s="78"/>
      <c r="Q373" s="78"/>
      <c r="R373" s="36">
        <f t="shared" si="22"/>
        <v>24710.746150058512</v>
      </c>
      <c r="S373" s="37" t="str">
        <f t="shared" si="14"/>
        <v/>
      </c>
      <c r="T373" s="37"/>
      <c r="X373" s="39" t="str">
        <f t="shared" si="20"/>
        <v/>
      </c>
      <c r="Y373" s="42" t="str">
        <f t="shared" si="21"/>
        <v/>
      </c>
    </row>
    <row r="374" spans="1:25" ht="14.5">
      <c r="A374" s="192">
        <v>44162</v>
      </c>
      <c r="B374" s="373" t="s">
        <v>48</v>
      </c>
      <c r="C374" s="194" t="s">
        <v>69</v>
      </c>
      <c r="D374" s="196" t="s">
        <v>108</v>
      </c>
      <c r="E374" s="194" t="s">
        <v>71</v>
      </c>
      <c r="F374" s="196">
        <v>8200</v>
      </c>
      <c r="G374" s="197">
        <v>15.04</v>
      </c>
      <c r="H374" s="197">
        <v>15.25</v>
      </c>
      <c r="I374" s="198">
        <v>-1679.96</v>
      </c>
      <c r="J374" s="199">
        <v>-1.34</v>
      </c>
      <c r="K374" s="195" t="s">
        <v>9</v>
      </c>
      <c r="L374" s="200" t="str">
        <f t="shared" si="23"/>
        <v/>
      </c>
      <c r="M374" s="78"/>
      <c r="N374" s="78"/>
      <c r="O374" s="78"/>
      <c r="P374" s="78"/>
      <c r="Q374" s="78"/>
      <c r="R374" s="36">
        <f t="shared" si="22"/>
        <v>24379.622151647731</v>
      </c>
      <c r="S374" s="37">
        <f t="shared" si="14"/>
        <v>-331.1239984107815</v>
      </c>
      <c r="T374" s="37"/>
      <c r="X374" s="39" t="str">
        <f t="shared" ref="X374:X437" si="24">IF(I489&lt;&gt;0,I489,"")</f>
        <v/>
      </c>
      <c r="Y374" s="42" t="str">
        <f t="shared" ref="Y374:Y437" si="25">IF(I489&lt;&gt;0,A489,"")</f>
        <v/>
      </c>
    </row>
    <row r="375" spans="1:25" ht="14.5">
      <c r="A375" s="127">
        <v>44162</v>
      </c>
      <c r="B375" s="370" t="s">
        <v>47</v>
      </c>
      <c r="C375" s="129" t="s">
        <v>69</v>
      </c>
      <c r="D375" s="130" t="s">
        <v>114</v>
      </c>
      <c r="E375" s="129" t="s">
        <v>71</v>
      </c>
      <c r="F375" s="130">
        <v>6500</v>
      </c>
      <c r="G375" s="131">
        <v>19.25</v>
      </c>
      <c r="H375" s="131">
        <v>0</v>
      </c>
      <c r="I375" s="132">
        <v>0</v>
      </c>
      <c r="J375" s="133">
        <v>0</v>
      </c>
      <c r="K375" s="134" t="s">
        <v>9</v>
      </c>
      <c r="L375" s="135">
        <f t="shared" si="23"/>
        <v>125125</v>
      </c>
      <c r="M375" s="78"/>
      <c r="N375" s="78"/>
      <c r="O375" s="78"/>
      <c r="P375" s="78"/>
      <c r="Q375" s="78"/>
      <c r="R375" s="36">
        <f t="shared" si="22"/>
        <v>24379.622151647731</v>
      </c>
      <c r="S375" s="37" t="str">
        <f t="shared" si="14"/>
        <v/>
      </c>
      <c r="T375" s="37"/>
      <c r="X375" s="39" t="str">
        <f t="shared" si="24"/>
        <v/>
      </c>
      <c r="Y375" s="42" t="str">
        <f t="shared" si="25"/>
        <v/>
      </c>
    </row>
    <row r="376" spans="1:25" ht="14.5">
      <c r="A376" s="127">
        <v>44165</v>
      </c>
      <c r="B376" s="370" t="s">
        <v>48</v>
      </c>
      <c r="C376" s="129" t="s">
        <v>69</v>
      </c>
      <c r="D376" s="130" t="s">
        <v>114</v>
      </c>
      <c r="E376" s="129" t="s">
        <v>71</v>
      </c>
      <c r="F376" s="130">
        <v>6500</v>
      </c>
      <c r="G376" s="131">
        <v>19.45</v>
      </c>
      <c r="H376" s="131">
        <v>19.260000000000002</v>
      </c>
      <c r="I376" s="132">
        <v>1268.03</v>
      </c>
      <c r="J376" s="133">
        <v>1.01</v>
      </c>
      <c r="K376" s="134" t="s">
        <v>9</v>
      </c>
      <c r="L376" s="135" t="str">
        <f t="shared" si="23"/>
        <v/>
      </c>
      <c r="M376" s="78"/>
      <c r="N376" s="78"/>
      <c r="O376" s="78"/>
      <c r="P376" s="78"/>
      <c r="Q376" s="78"/>
      <c r="R376" s="36">
        <f t="shared" si="22"/>
        <v>24625.856335379372</v>
      </c>
      <c r="S376" s="37">
        <f t="shared" si="14"/>
        <v>246.23418373164168</v>
      </c>
      <c r="T376" s="37"/>
      <c r="X376" s="39" t="str">
        <f t="shared" si="24"/>
        <v/>
      </c>
      <c r="Y376" s="42" t="str">
        <f t="shared" si="25"/>
        <v/>
      </c>
    </row>
    <row r="377" spans="1:25" ht="14.5">
      <c r="A377" s="374">
        <v>44165</v>
      </c>
      <c r="B377" s="375" t="s">
        <v>47</v>
      </c>
      <c r="C377" s="376" t="s">
        <v>69</v>
      </c>
      <c r="D377" s="377" t="s">
        <v>108</v>
      </c>
      <c r="E377" s="376" t="s">
        <v>71</v>
      </c>
      <c r="F377" s="377">
        <v>8500</v>
      </c>
      <c r="G377" s="378">
        <v>14.7</v>
      </c>
      <c r="H377" s="378">
        <v>0</v>
      </c>
      <c r="I377" s="379">
        <v>0</v>
      </c>
      <c r="J377" s="380">
        <v>0</v>
      </c>
      <c r="K377" s="381" t="s">
        <v>9</v>
      </c>
      <c r="L377" s="382">
        <f t="shared" si="23"/>
        <v>124950</v>
      </c>
      <c r="M377" s="383"/>
      <c r="N377" s="78"/>
      <c r="O377" s="78"/>
      <c r="P377" s="78"/>
      <c r="Q377" s="78"/>
      <c r="R377" s="36">
        <f t="shared" si="22"/>
        <v>24625.856335379372</v>
      </c>
      <c r="S377" s="37" t="str">
        <f t="shared" si="14"/>
        <v/>
      </c>
      <c r="T377" s="37"/>
      <c r="X377" s="39" t="str">
        <f t="shared" si="24"/>
        <v/>
      </c>
      <c r="Y377" s="42" t="str">
        <f t="shared" si="25"/>
        <v/>
      </c>
    </row>
    <row r="378" spans="1:25" ht="14.5">
      <c r="A378" s="265">
        <v>44166</v>
      </c>
      <c r="B378" s="384" t="s">
        <v>48</v>
      </c>
      <c r="C378" s="267" t="s">
        <v>69</v>
      </c>
      <c r="D378" s="268" t="s">
        <v>108</v>
      </c>
      <c r="E378" s="267" t="s">
        <v>71</v>
      </c>
      <c r="F378" s="268">
        <v>8500</v>
      </c>
      <c r="G378" s="269">
        <v>14.84</v>
      </c>
      <c r="H378" s="269">
        <v>14.71</v>
      </c>
      <c r="I378" s="270">
        <v>1178.17</v>
      </c>
      <c r="J378" s="271">
        <v>0.94</v>
      </c>
      <c r="K378" s="272" t="s">
        <v>9</v>
      </c>
      <c r="L378" s="385" t="str">
        <f t="shared" si="23"/>
        <v/>
      </c>
      <c r="M378" s="364" t="s">
        <v>45</v>
      </c>
      <c r="N378" s="244"/>
      <c r="O378" s="78"/>
      <c r="P378" s="78"/>
      <c r="Q378" s="78"/>
      <c r="R378" s="36">
        <f t="shared" si="22"/>
        <v>24857.33938493194</v>
      </c>
      <c r="S378" s="37">
        <f t="shared" si="14"/>
        <v>231.48304955256754</v>
      </c>
      <c r="T378" s="37"/>
      <c r="X378" s="39" t="str">
        <f t="shared" si="24"/>
        <v/>
      </c>
      <c r="Y378" s="42" t="str">
        <f t="shared" si="25"/>
        <v/>
      </c>
    </row>
    <row r="379" spans="1:25" ht="14.5">
      <c r="A379" s="127">
        <v>44166</v>
      </c>
      <c r="B379" s="370" t="s">
        <v>47</v>
      </c>
      <c r="C379" s="129" t="s">
        <v>69</v>
      </c>
      <c r="D379" s="130" t="s">
        <v>114</v>
      </c>
      <c r="E379" s="129" t="s">
        <v>71</v>
      </c>
      <c r="F379" s="130">
        <v>6900</v>
      </c>
      <c r="G379" s="131">
        <v>18.170000000000002</v>
      </c>
      <c r="H379" s="131">
        <v>0</v>
      </c>
      <c r="I379" s="132">
        <v>0</v>
      </c>
      <c r="J379" s="133">
        <v>0</v>
      </c>
      <c r="K379" s="134" t="s">
        <v>9</v>
      </c>
      <c r="L379" s="135">
        <f t="shared" si="23"/>
        <v>125373.00000000001</v>
      </c>
      <c r="M379" s="365" t="s">
        <v>21</v>
      </c>
      <c r="N379" s="244"/>
      <c r="O379" s="78"/>
      <c r="P379" s="78"/>
      <c r="Q379" s="78"/>
      <c r="R379" s="36">
        <f t="shared" si="22"/>
        <v>24857.33938493194</v>
      </c>
      <c r="S379" s="37" t="str">
        <f t="shared" si="14"/>
        <v/>
      </c>
      <c r="T379" s="37"/>
      <c r="X379" s="39" t="str">
        <f t="shared" si="24"/>
        <v/>
      </c>
      <c r="Y379" s="42" t="str">
        <f t="shared" si="25"/>
        <v/>
      </c>
    </row>
    <row r="380" spans="1:25" ht="14.5">
      <c r="A380" s="127">
        <v>44167</v>
      </c>
      <c r="B380" s="370" t="s">
        <v>48</v>
      </c>
      <c r="C380" s="129" t="s">
        <v>69</v>
      </c>
      <c r="D380" s="130" t="s">
        <v>114</v>
      </c>
      <c r="E380" s="129" t="s">
        <v>71</v>
      </c>
      <c r="F380" s="130">
        <v>6900</v>
      </c>
      <c r="G380" s="131">
        <v>18.36</v>
      </c>
      <c r="H380" s="131">
        <v>18.18</v>
      </c>
      <c r="I380" s="132">
        <v>1283.1600000000001</v>
      </c>
      <c r="J380" s="133">
        <v>1.02</v>
      </c>
      <c r="K380" s="134" t="s">
        <v>9</v>
      </c>
      <c r="L380" s="135" t="str">
        <f t="shared" si="23"/>
        <v/>
      </c>
      <c r="M380" s="366">
        <f>IFERROR(AVERAGE(L378:L3238),0)</f>
        <v>125306.9375</v>
      </c>
      <c r="N380" s="244"/>
      <c r="O380" s="78"/>
      <c r="P380" s="78"/>
      <c r="Q380" s="78"/>
      <c r="R380" s="36">
        <f t="shared" si="22"/>
        <v>25110.884246658246</v>
      </c>
      <c r="S380" s="37">
        <f t="shared" si="14"/>
        <v>253.54486172630641</v>
      </c>
      <c r="T380" s="37"/>
      <c r="X380" s="39" t="str">
        <f t="shared" si="24"/>
        <v/>
      </c>
      <c r="Y380" s="42" t="str">
        <f t="shared" si="25"/>
        <v/>
      </c>
    </row>
    <row r="381" spans="1:25" ht="14.5">
      <c r="A381" s="165">
        <v>44167</v>
      </c>
      <c r="B381" s="372" t="s">
        <v>47</v>
      </c>
      <c r="C381" s="167" t="s">
        <v>69</v>
      </c>
      <c r="D381" s="169" t="s">
        <v>116</v>
      </c>
      <c r="E381" s="167" t="s">
        <v>71</v>
      </c>
      <c r="F381" s="169">
        <v>6500</v>
      </c>
      <c r="G381" s="170">
        <v>19.34</v>
      </c>
      <c r="H381" s="170">
        <v>0</v>
      </c>
      <c r="I381" s="171">
        <v>0</v>
      </c>
      <c r="J381" s="172">
        <v>0</v>
      </c>
      <c r="K381" s="168" t="s">
        <v>9</v>
      </c>
      <c r="L381" s="273">
        <f t="shared" si="23"/>
        <v>125710</v>
      </c>
      <c r="M381" s="365" t="s">
        <v>24</v>
      </c>
      <c r="N381" s="244"/>
      <c r="O381" s="78"/>
      <c r="P381" s="78"/>
      <c r="Q381" s="78"/>
      <c r="R381" s="36">
        <f t="shared" si="22"/>
        <v>25110.884246658246</v>
      </c>
      <c r="S381" s="37" t="str">
        <f t="shared" si="14"/>
        <v/>
      </c>
      <c r="T381" s="37"/>
      <c r="X381" s="39" t="str">
        <f t="shared" si="24"/>
        <v/>
      </c>
      <c r="Y381" s="42" t="str">
        <f t="shared" si="25"/>
        <v/>
      </c>
    </row>
    <row r="382" spans="1:25" ht="14.5">
      <c r="A382" s="165">
        <v>44168</v>
      </c>
      <c r="B382" s="372" t="s">
        <v>48</v>
      </c>
      <c r="C382" s="167" t="s">
        <v>69</v>
      </c>
      <c r="D382" s="169" t="s">
        <v>116</v>
      </c>
      <c r="E382" s="167" t="s">
        <v>71</v>
      </c>
      <c r="F382" s="169">
        <v>6500</v>
      </c>
      <c r="G382" s="170">
        <v>19.54</v>
      </c>
      <c r="H382" s="170">
        <v>19.350000000000001</v>
      </c>
      <c r="I382" s="171">
        <v>1268.24</v>
      </c>
      <c r="J382" s="172">
        <v>1</v>
      </c>
      <c r="K382" s="168" t="s">
        <v>9</v>
      </c>
      <c r="L382" s="273" t="str">
        <f t="shared" si="23"/>
        <v/>
      </c>
      <c r="M382" s="366">
        <f>SUM(I378:I3148)</f>
        <v>17823.95</v>
      </c>
      <c r="N382" s="244"/>
      <c r="O382" s="78"/>
      <c r="P382" s="78"/>
      <c r="Q382" s="78"/>
      <c r="R382" s="36">
        <f t="shared" si="22"/>
        <v>25361.99308912483</v>
      </c>
      <c r="S382" s="386"/>
      <c r="T382" s="37"/>
      <c r="X382" s="39" t="str">
        <f t="shared" si="24"/>
        <v/>
      </c>
      <c r="Y382" s="42" t="str">
        <f t="shared" si="25"/>
        <v/>
      </c>
    </row>
    <row r="383" spans="1:25" ht="14.5">
      <c r="A383" s="323">
        <v>44168</v>
      </c>
      <c r="B383" s="324" t="s">
        <v>47</v>
      </c>
      <c r="C383" s="325" t="s">
        <v>69</v>
      </c>
      <c r="D383" s="326" t="s">
        <v>73</v>
      </c>
      <c r="E383" s="325" t="s">
        <v>71</v>
      </c>
      <c r="F383" s="326">
        <v>7800</v>
      </c>
      <c r="G383" s="327">
        <v>16.12</v>
      </c>
      <c r="H383" s="327">
        <v>0</v>
      </c>
      <c r="I383" s="328">
        <v>0</v>
      </c>
      <c r="J383" s="329">
        <v>0</v>
      </c>
      <c r="K383" s="330" t="s">
        <v>9</v>
      </c>
      <c r="L383" s="331">
        <f t="shared" si="23"/>
        <v>125736.00000000001</v>
      </c>
      <c r="M383" s="365" t="s">
        <v>27</v>
      </c>
      <c r="N383" s="244"/>
      <c r="O383" s="78"/>
      <c r="P383" s="78"/>
      <c r="Q383" s="78"/>
      <c r="R383" s="36">
        <f t="shared" si="22"/>
        <v>25361.99308912483</v>
      </c>
      <c r="S383" s="386"/>
      <c r="T383" s="37"/>
      <c r="X383" s="39" t="str">
        <f t="shared" si="24"/>
        <v/>
      </c>
      <c r="Y383" s="42" t="str">
        <f t="shared" si="25"/>
        <v/>
      </c>
    </row>
    <row r="384" spans="1:25" ht="14.5">
      <c r="A384" s="323">
        <v>44169</v>
      </c>
      <c r="B384" s="387" t="s">
        <v>48</v>
      </c>
      <c r="C384" s="325" t="s">
        <v>69</v>
      </c>
      <c r="D384" s="326" t="s">
        <v>73</v>
      </c>
      <c r="E384" s="325" t="s">
        <v>71</v>
      </c>
      <c r="F384" s="326">
        <v>7800</v>
      </c>
      <c r="G384" s="327">
        <v>16.440000000000001</v>
      </c>
      <c r="H384" s="327">
        <v>16.13</v>
      </c>
      <c r="I384" s="328">
        <v>2476.86</v>
      </c>
      <c r="J384" s="329">
        <v>1.96</v>
      </c>
      <c r="K384" s="330" t="s">
        <v>9</v>
      </c>
      <c r="L384" s="331" t="str">
        <f t="shared" si="23"/>
        <v/>
      </c>
      <c r="M384" s="367">
        <f>SUM(J378:J3238)/100</f>
        <v>0.14229999999999998</v>
      </c>
      <c r="N384" s="244"/>
      <c r="O384" s="78"/>
      <c r="P384" s="78"/>
      <c r="Q384" s="78"/>
      <c r="R384" s="36">
        <f t="shared" si="22"/>
        <v>25859.088153671677</v>
      </c>
      <c r="S384" s="386"/>
      <c r="T384" s="37"/>
      <c r="X384" s="39" t="str">
        <f t="shared" si="24"/>
        <v/>
      </c>
      <c r="Y384" s="42" t="str">
        <f t="shared" si="25"/>
        <v/>
      </c>
    </row>
    <row r="385" spans="1:25" ht="14.5">
      <c r="A385" s="165">
        <v>44169</v>
      </c>
      <c r="B385" s="372" t="s">
        <v>47</v>
      </c>
      <c r="C385" s="167" t="s">
        <v>69</v>
      </c>
      <c r="D385" s="169" t="s">
        <v>116</v>
      </c>
      <c r="E385" s="167" t="s">
        <v>71</v>
      </c>
      <c r="F385" s="169">
        <v>6200</v>
      </c>
      <c r="G385" s="170">
        <v>20.54</v>
      </c>
      <c r="H385" s="170">
        <v>0</v>
      </c>
      <c r="I385" s="171">
        <v>0</v>
      </c>
      <c r="J385" s="172">
        <v>0</v>
      </c>
      <c r="K385" s="168" t="s">
        <v>9</v>
      </c>
      <c r="L385" s="273">
        <f t="shared" si="23"/>
        <v>127348</v>
      </c>
      <c r="M385" s="388"/>
      <c r="N385" s="78"/>
      <c r="O385" s="78"/>
      <c r="P385" s="78"/>
      <c r="Q385" s="78"/>
      <c r="R385" s="36">
        <f t="shared" si="22"/>
        <v>25859.088153671677</v>
      </c>
      <c r="S385" s="386"/>
      <c r="T385" s="37"/>
      <c r="X385" s="39" t="str">
        <f t="shared" si="24"/>
        <v/>
      </c>
      <c r="Y385" s="42" t="str">
        <f t="shared" si="25"/>
        <v/>
      </c>
    </row>
    <row r="386" spans="1:25" ht="14.5">
      <c r="A386" s="165">
        <v>44172</v>
      </c>
      <c r="B386" s="372" t="s">
        <v>48</v>
      </c>
      <c r="C386" s="167" t="s">
        <v>69</v>
      </c>
      <c r="D386" s="169" t="s">
        <v>116</v>
      </c>
      <c r="E386" s="167" t="s">
        <v>71</v>
      </c>
      <c r="F386" s="169">
        <v>6200</v>
      </c>
      <c r="G386" s="170">
        <v>20.76</v>
      </c>
      <c r="H386" s="170">
        <v>20.55</v>
      </c>
      <c r="I386" s="171">
        <v>1328.23</v>
      </c>
      <c r="J386" s="172">
        <v>1.04</v>
      </c>
      <c r="K386" s="168" t="s">
        <v>9</v>
      </c>
      <c r="L386" s="273" t="str">
        <f t="shared" si="23"/>
        <v/>
      </c>
      <c r="M386" s="78"/>
      <c r="N386" s="78"/>
      <c r="O386" s="78"/>
      <c r="P386" s="78"/>
      <c r="Q386" s="78"/>
      <c r="R386" s="36">
        <f t="shared" si="22"/>
        <v>26128.022670469862</v>
      </c>
      <c r="S386" s="386"/>
      <c r="T386" s="37"/>
      <c r="X386" s="39" t="str">
        <f t="shared" si="24"/>
        <v/>
      </c>
      <c r="Y386" s="42" t="str">
        <f t="shared" si="25"/>
        <v/>
      </c>
    </row>
    <row r="387" spans="1:25" ht="14.5">
      <c r="A387" s="192">
        <v>44172</v>
      </c>
      <c r="B387" s="373" t="s">
        <v>47</v>
      </c>
      <c r="C387" s="194" t="s">
        <v>69</v>
      </c>
      <c r="D387" s="196" t="s">
        <v>108</v>
      </c>
      <c r="E387" s="194" t="s">
        <v>71</v>
      </c>
      <c r="F387" s="196">
        <v>8300</v>
      </c>
      <c r="G387" s="197">
        <v>15.59</v>
      </c>
      <c r="H387" s="197">
        <v>0</v>
      </c>
      <c r="I387" s="198">
        <v>0</v>
      </c>
      <c r="J387" s="199">
        <v>0</v>
      </c>
      <c r="K387" s="195" t="s">
        <v>9</v>
      </c>
      <c r="L387" s="200">
        <f t="shared" si="23"/>
        <v>129397</v>
      </c>
      <c r="M387" s="78"/>
      <c r="N387" s="78"/>
      <c r="O387" s="78"/>
      <c r="P387" s="78"/>
      <c r="Q387" s="78"/>
      <c r="R387" s="36">
        <f t="shared" si="22"/>
        <v>26128.022670469862</v>
      </c>
      <c r="S387" s="386"/>
      <c r="T387" s="37"/>
      <c r="X387" s="39" t="str">
        <f t="shared" si="24"/>
        <v/>
      </c>
      <c r="Y387" s="42" t="str">
        <f t="shared" si="25"/>
        <v/>
      </c>
    </row>
    <row r="388" spans="1:25" ht="14.5">
      <c r="A388" s="192">
        <v>44173</v>
      </c>
      <c r="B388" s="373" t="s">
        <v>48</v>
      </c>
      <c r="C388" s="194" t="s">
        <v>69</v>
      </c>
      <c r="D388" s="196" t="s">
        <v>108</v>
      </c>
      <c r="E388" s="194" t="s">
        <v>71</v>
      </c>
      <c r="F388" s="196">
        <v>8300</v>
      </c>
      <c r="G388" s="197">
        <v>15.75</v>
      </c>
      <c r="H388" s="197">
        <v>15.6</v>
      </c>
      <c r="I388" s="198">
        <v>1311.98</v>
      </c>
      <c r="J388" s="199">
        <v>1.01</v>
      </c>
      <c r="K388" s="195" t="s">
        <v>9</v>
      </c>
      <c r="L388" s="200" t="str">
        <f t="shared" si="23"/>
        <v/>
      </c>
      <c r="M388" s="78"/>
      <c r="N388" s="78"/>
      <c r="O388" s="78"/>
      <c r="P388" s="78"/>
      <c r="Q388" s="78"/>
      <c r="R388" s="36">
        <f t="shared" si="22"/>
        <v>26391.915699441608</v>
      </c>
      <c r="S388" s="386"/>
      <c r="T388" s="37"/>
      <c r="X388" s="39" t="str">
        <f t="shared" si="24"/>
        <v/>
      </c>
      <c r="Y388" s="42" t="str">
        <f t="shared" si="25"/>
        <v/>
      </c>
    </row>
    <row r="389" spans="1:25" ht="14.5">
      <c r="A389" s="165">
        <v>44173</v>
      </c>
      <c r="B389" s="372" t="s">
        <v>47</v>
      </c>
      <c r="C389" s="167" t="s">
        <v>69</v>
      </c>
      <c r="D389" s="169" t="s">
        <v>116</v>
      </c>
      <c r="E389" s="167" t="s">
        <v>71</v>
      </c>
      <c r="F389" s="169">
        <v>6100</v>
      </c>
      <c r="G389" s="170">
        <v>21</v>
      </c>
      <c r="H389" s="170">
        <v>0</v>
      </c>
      <c r="I389" s="171">
        <v>0</v>
      </c>
      <c r="J389" s="172">
        <v>0</v>
      </c>
      <c r="K389" s="168" t="s">
        <v>9</v>
      </c>
      <c r="L389" s="273">
        <f t="shared" si="23"/>
        <v>128100</v>
      </c>
      <c r="M389" s="78"/>
      <c r="N389" s="78"/>
      <c r="O389" s="78"/>
      <c r="P389" s="78"/>
      <c r="Q389" s="78"/>
      <c r="R389" s="36">
        <f t="shared" si="22"/>
        <v>26391.915699441608</v>
      </c>
      <c r="S389" s="386"/>
      <c r="T389" s="37"/>
      <c r="X389" s="39" t="str">
        <f t="shared" si="24"/>
        <v/>
      </c>
      <c r="Y389" s="42" t="str">
        <f t="shared" si="25"/>
        <v/>
      </c>
    </row>
    <row r="390" spans="1:25" ht="14.5">
      <c r="A390" s="165">
        <v>44174</v>
      </c>
      <c r="B390" s="372" t="s">
        <v>48</v>
      </c>
      <c r="C390" s="167" t="s">
        <v>69</v>
      </c>
      <c r="D390" s="169" t="s">
        <v>116</v>
      </c>
      <c r="E390" s="167" t="s">
        <v>71</v>
      </c>
      <c r="F390" s="169">
        <v>6100</v>
      </c>
      <c r="G390" s="170">
        <v>21.22</v>
      </c>
      <c r="H390" s="170">
        <v>21.01</v>
      </c>
      <c r="I390" s="171">
        <v>1304.77</v>
      </c>
      <c r="J390" s="172">
        <v>1.01</v>
      </c>
      <c r="K390" s="168" t="s">
        <v>9</v>
      </c>
      <c r="L390" s="273" t="str">
        <f t="shared" si="23"/>
        <v/>
      </c>
      <c r="M390" s="78"/>
      <c r="N390" s="78"/>
      <c r="O390" s="78"/>
      <c r="P390" s="78"/>
      <c r="Q390" s="78"/>
      <c r="R390" s="36">
        <f t="shared" si="22"/>
        <v>26658.47404800597</v>
      </c>
      <c r="S390" s="386"/>
      <c r="T390" s="37"/>
      <c r="X390" s="39" t="str">
        <f t="shared" si="24"/>
        <v/>
      </c>
      <c r="Y390" s="42" t="str">
        <f t="shared" si="25"/>
        <v/>
      </c>
    </row>
    <row r="391" spans="1:25" ht="14.5">
      <c r="A391" s="192">
        <v>44174</v>
      </c>
      <c r="B391" s="373" t="s">
        <v>47</v>
      </c>
      <c r="C391" s="194" t="s">
        <v>69</v>
      </c>
      <c r="D391" s="196" t="s">
        <v>108</v>
      </c>
      <c r="E391" s="194" t="s">
        <v>71</v>
      </c>
      <c r="F391" s="196">
        <v>8500</v>
      </c>
      <c r="G391" s="197">
        <v>15.2</v>
      </c>
      <c r="H391" s="197">
        <v>0</v>
      </c>
      <c r="I391" s="198">
        <v>0</v>
      </c>
      <c r="J391" s="199">
        <v>0</v>
      </c>
      <c r="K391" s="195" t="s">
        <v>9</v>
      </c>
      <c r="L391" s="200">
        <f t="shared" si="23"/>
        <v>129200</v>
      </c>
      <c r="M391" s="78"/>
      <c r="N391" s="78"/>
      <c r="O391" s="78"/>
      <c r="P391" s="78"/>
      <c r="Q391" s="78"/>
      <c r="R391" s="36">
        <f t="shared" si="22"/>
        <v>26658.47404800597</v>
      </c>
      <c r="S391" s="386"/>
      <c r="T391" s="37"/>
      <c r="X391" s="39" t="str">
        <f t="shared" si="24"/>
        <v/>
      </c>
      <c r="Y391" s="42" t="str">
        <f t="shared" si="25"/>
        <v/>
      </c>
    </row>
    <row r="392" spans="1:25" ht="14.5">
      <c r="A392" s="192">
        <v>44175</v>
      </c>
      <c r="B392" s="373" t="s">
        <v>48</v>
      </c>
      <c r="C392" s="194" t="s">
        <v>69</v>
      </c>
      <c r="D392" s="196" t="s">
        <v>108</v>
      </c>
      <c r="E392" s="194" t="s">
        <v>71</v>
      </c>
      <c r="F392" s="196">
        <v>8500</v>
      </c>
      <c r="G392" s="197">
        <v>15.17</v>
      </c>
      <c r="H392" s="197">
        <v>15.21</v>
      </c>
      <c r="I392" s="198">
        <v>-300.39999999999998</v>
      </c>
      <c r="J392" s="199">
        <v>-0.23</v>
      </c>
      <c r="K392" s="195" t="s">
        <v>9</v>
      </c>
      <c r="L392" s="200" t="str">
        <f t="shared" si="23"/>
        <v/>
      </c>
      <c r="M392" s="78"/>
      <c r="N392" s="78"/>
      <c r="O392" s="78"/>
      <c r="P392" s="78"/>
      <c r="Q392" s="78"/>
      <c r="R392" s="36">
        <f t="shared" si="22"/>
        <v>26597.159557695559</v>
      </c>
      <c r="S392" s="386"/>
      <c r="T392" s="37"/>
      <c r="X392" s="39" t="str">
        <f t="shared" si="24"/>
        <v/>
      </c>
      <c r="Y392" s="42" t="str">
        <f t="shared" si="25"/>
        <v/>
      </c>
    </row>
    <row r="393" spans="1:25" ht="14.5">
      <c r="A393" s="165">
        <v>44175</v>
      </c>
      <c r="B393" s="372" t="s">
        <v>47</v>
      </c>
      <c r="C393" s="167" t="s">
        <v>69</v>
      </c>
      <c r="D393" s="169" t="s">
        <v>116</v>
      </c>
      <c r="E393" s="167" t="s">
        <v>71</v>
      </c>
      <c r="F393" s="169">
        <v>6000</v>
      </c>
      <c r="G393" s="170">
        <v>21</v>
      </c>
      <c r="H393" s="170">
        <v>0</v>
      </c>
      <c r="I393" s="171">
        <v>0</v>
      </c>
      <c r="J393" s="172">
        <v>0</v>
      </c>
      <c r="K393" s="168" t="s">
        <v>9</v>
      </c>
      <c r="L393" s="273">
        <f t="shared" si="23"/>
        <v>126000</v>
      </c>
      <c r="M393" s="78"/>
      <c r="N393" s="78"/>
      <c r="O393" s="78"/>
      <c r="P393" s="78"/>
      <c r="Q393" s="78"/>
      <c r="R393" s="36">
        <f t="shared" si="22"/>
        <v>26597.159557695559</v>
      </c>
      <c r="S393" s="386"/>
      <c r="T393" s="37"/>
      <c r="X393" s="39" t="str">
        <f t="shared" si="24"/>
        <v/>
      </c>
      <c r="Y393" s="42" t="str">
        <f t="shared" si="25"/>
        <v/>
      </c>
    </row>
    <row r="394" spans="1:25" ht="14.5">
      <c r="A394" s="165">
        <v>44176</v>
      </c>
      <c r="B394" s="372" t="s">
        <v>48</v>
      </c>
      <c r="C394" s="167" t="s">
        <v>69</v>
      </c>
      <c r="D394" s="169" t="s">
        <v>116</v>
      </c>
      <c r="E394" s="167" t="s">
        <v>71</v>
      </c>
      <c r="F394" s="169">
        <v>6000</v>
      </c>
      <c r="G394" s="170">
        <v>20.61</v>
      </c>
      <c r="H394" s="170">
        <v>21.01</v>
      </c>
      <c r="I394" s="171">
        <v>-2335.8200000000002</v>
      </c>
      <c r="J394" s="172">
        <v>-1.85</v>
      </c>
      <c r="K394" s="168" t="s">
        <v>9</v>
      </c>
      <c r="L394" s="273" t="str">
        <f t="shared" si="23"/>
        <v/>
      </c>
      <c r="M394" s="78"/>
      <c r="N394" s="78"/>
      <c r="O394" s="78"/>
      <c r="P394" s="78"/>
      <c r="Q394" s="78"/>
      <c r="R394" s="36">
        <f t="shared" si="22"/>
        <v>26105.112105878194</v>
      </c>
      <c r="S394" s="386"/>
      <c r="T394" s="37"/>
      <c r="X394" s="39" t="str">
        <f t="shared" si="24"/>
        <v/>
      </c>
      <c r="Y394" s="42" t="str">
        <f t="shared" si="25"/>
        <v/>
      </c>
    </row>
    <row r="395" spans="1:25" ht="14.5">
      <c r="A395" s="389">
        <v>44176</v>
      </c>
      <c r="B395" s="390" t="s">
        <v>47</v>
      </c>
      <c r="C395" s="391" t="s">
        <v>69</v>
      </c>
      <c r="D395" s="392" t="s">
        <v>107</v>
      </c>
      <c r="E395" s="391" t="s">
        <v>71</v>
      </c>
      <c r="F395" s="392">
        <v>3000</v>
      </c>
      <c r="G395" s="393">
        <v>40.729999999999997</v>
      </c>
      <c r="H395" s="393">
        <v>0</v>
      </c>
      <c r="I395" s="394">
        <v>0</v>
      </c>
      <c r="J395" s="395">
        <v>0</v>
      </c>
      <c r="K395" s="396" t="s">
        <v>9</v>
      </c>
      <c r="L395" s="397">
        <f t="shared" si="23"/>
        <v>122189.99999999999</v>
      </c>
      <c r="M395" s="78"/>
      <c r="N395" s="78"/>
      <c r="O395" s="78"/>
      <c r="P395" s="78"/>
      <c r="Q395" s="78"/>
      <c r="R395" s="36">
        <f t="shared" si="22"/>
        <v>26105.112105878194</v>
      </c>
      <c r="S395" s="386"/>
      <c r="T395" s="37"/>
      <c r="X395" s="39" t="str">
        <f t="shared" si="24"/>
        <v/>
      </c>
      <c r="Y395" s="42" t="str">
        <f t="shared" si="25"/>
        <v/>
      </c>
    </row>
    <row r="396" spans="1:25" ht="14.5">
      <c r="A396" s="389">
        <v>44179</v>
      </c>
      <c r="B396" s="390" t="s">
        <v>48</v>
      </c>
      <c r="C396" s="391" t="s">
        <v>69</v>
      </c>
      <c r="D396" s="392" t="s">
        <v>107</v>
      </c>
      <c r="E396" s="391" t="s">
        <v>71</v>
      </c>
      <c r="F396" s="392">
        <v>3000</v>
      </c>
      <c r="G396" s="393">
        <v>41.28</v>
      </c>
      <c r="H396" s="393">
        <v>40.74</v>
      </c>
      <c r="I396" s="394">
        <v>1645.3</v>
      </c>
      <c r="J396" s="395">
        <v>1.34</v>
      </c>
      <c r="K396" s="396" t="s">
        <v>9</v>
      </c>
      <c r="L396" s="397" t="str">
        <f t="shared" si="23"/>
        <v/>
      </c>
      <c r="M396" s="78"/>
      <c r="N396" s="78"/>
      <c r="O396" s="78"/>
      <c r="P396" s="78"/>
      <c r="Q396" s="78"/>
      <c r="R396" s="36">
        <f t="shared" si="22"/>
        <v>26454.920608096963</v>
      </c>
      <c r="S396" s="386"/>
      <c r="T396" s="37"/>
      <c r="X396" s="39" t="str">
        <f t="shared" si="24"/>
        <v/>
      </c>
      <c r="Y396" s="42" t="str">
        <f t="shared" si="25"/>
        <v/>
      </c>
    </row>
    <row r="397" spans="1:25" ht="14.5">
      <c r="A397" s="165">
        <v>44179</v>
      </c>
      <c r="B397" s="372" t="s">
        <v>47</v>
      </c>
      <c r="C397" s="167" t="s">
        <v>69</v>
      </c>
      <c r="D397" s="169" t="s">
        <v>116</v>
      </c>
      <c r="E397" s="167" t="s">
        <v>71</v>
      </c>
      <c r="F397" s="169">
        <v>5700</v>
      </c>
      <c r="G397" s="170">
        <v>21.86</v>
      </c>
      <c r="H397" s="170">
        <v>0</v>
      </c>
      <c r="I397" s="171">
        <v>0</v>
      </c>
      <c r="J397" s="172">
        <v>0</v>
      </c>
      <c r="K397" s="168" t="s">
        <v>9</v>
      </c>
      <c r="L397" s="273">
        <f t="shared" si="23"/>
        <v>124602</v>
      </c>
      <c r="M397" s="78"/>
      <c r="N397" s="78"/>
      <c r="O397" s="78"/>
      <c r="P397" s="78"/>
      <c r="Q397" s="78"/>
      <c r="R397" s="36">
        <f t="shared" si="22"/>
        <v>26454.920608096963</v>
      </c>
      <c r="S397" s="386"/>
      <c r="T397" s="37"/>
      <c r="X397" s="39" t="str">
        <f t="shared" si="24"/>
        <v/>
      </c>
      <c r="Y397" s="42" t="str">
        <f t="shared" si="25"/>
        <v/>
      </c>
    </row>
    <row r="398" spans="1:25" ht="14.5">
      <c r="A398" s="165">
        <v>44180</v>
      </c>
      <c r="B398" s="372" t="s">
        <v>48</v>
      </c>
      <c r="C398" s="167" t="s">
        <v>69</v>
      </c>
      <c r="D398" s="169" t="s">
        <v>116</v>
      </c>
      <c r="E398" s="167" t="s">
        <v>117</v>
      </c>
      <c r="F398" s="169">
        <v>5700</v>
      </c>
      <c r="G398" s="170">
        <v>22.17</v>
      </c>
      <c r="H398" s="170">
        <v>21.87</v>
      </c>
      <c r="I398" s="171">
        <v>1727.78</v>
      </c>
      <c r="J398" s="172">
        <v>1.38</v>
      </c>
      <c r="K398" s="168" t="s">
        <v>9</v>
      </c>
      <c r="L398" s="273" t="str">
        <f t="shared" si="23"/>
        <v/>
      </c>
      <c r="M398" s="78"/>
      <c r="N398" s="78"/>
      <c r="O398" s="78"/>
      <c r="P398" s="78"/>
      <c r="Q398" s="78"/>
      <c r="R398" s="36">
        <f t="shared" si="22"/>
        <v>26819.998512488703</v>
      </c>
      <c r="S398" s="386"/>
      <c r="T398" s="37"/>
      <c r="X398" s="39" t="str">
        <f t="shared" si="24"/>
        <v/>
      </c>
      <c r="Y398" s="42" t="str">
        <f t="shared" si="25"/>
        <v/>
      </c>
    </row>
    <row r="399" spans="1:25" ht="14.5">
      <c r="A399" s="389">
        <v>44180</v>
      </c>
      <c r="B399" s="390" t="s">
        <v>47</v>
      </c>
      <c r="C399" s="391" t="s">
        <v>69</v>
      </c>
      <c r="D399" s="392" t="s">
        <v>107</v>
      </c>
      <c r="E399" s="391" t="s">
        <v>118</v>
      </c>
      <c r="F399" s="392">
        <v>3100</v>
      </c>
      <c r="G399" s="393">
        <v>39.92</v>
      </c>
      <c r="H399" s="393">
        <v>0</v>
      </c>
      <c r="I399" s="394">
        <v>0</v>
      </c>
      <c r="J399" s="395">
        <v>0</v>
      </c>
      <c r="K399" s="396" t="s">
        <v>9</v>
      </c>
      <c r="L399" s="397">
        <f t="shared" si="23"/>
        <v>123752</v>
      </c>
      <c r="M399" s="78"/>
      <c r="N399" s="78"/>
      <c r="O399" s="78"/>
      <c r="P399" s="78"/>
      <c r="Q399" s="78"/>
      <c r="R399" s="36">
        <f t="shared" si="22"/>
        <v>26819.998512488703</v>
      </c>
      <c r="S399" s="386"/>
      <c r="T399" s="37"/>
      <c r="X399" s="39" t="str">
        <f t="shared" si="24"/>
        <v/>
      </c>
      <c r="Y399" s="42" t="str">
        <f t="shared" si="25"/>
        <v/>
      </c>
    </row>
    <row r="400" spans="1:25" ht="14.5">
      <c r="A400" s="389">
        <v>44181</v>
      </c>
      <c r="B400" s="390" t="s">
        <v>48</v>
      </c>
      <c r="C400" s="391" t="s">
        <v>69</v>
      </c>
      <c r="D400" s="392" t="s">
        <v>107</v>
      </c>
      <c r="E400" s="391" t="s">
        <v>118</v>
      </c>
      <c r="F400" s="392">
        <v>3100</v>
      </c>
      <c r="G400" s="393">
        <v>40.32</v>
      </c>
      <c r="H400" s="393">
        <v>39.93</v>
      </c>
      <c r="I400" s="394">
        <v>1237.47</v>
      </c>
      <c r="J400" s="395">
        <v>0.99</v>
      </c>
      <c r="K400" s="396" t="s">
        <v>9</v>
      </c>
      <c r="L400" s="397" t="str">
        <f t="shared" si="23"/>
        <v/>
      </c>
      <c r="M400" s="78"/>
      <c r="N400" s="78"/>
      <c r="O400" s="78"/>
      <c r="P400" s="78"/>
      <c r="Q400" s="78"/>
      <c r="R400" s="36">
        <f t="shared" si="22"/>
        <v>27085.516497762343</v>
      </c>
      <c r="S400" s="386"/>
      <c r="T400" s="37"/>
      <c r="X400" s="39" t="str">
        <f t="shared" si="24"/>
        <v/>
      </c>
      <c r="Y400" s="42" t="str">
        <f t="shared" si="25"/>
        <v/>
      </c>
    </row>
    <row r="401" spans="1:25" ht="14.5">
      <c r="A401" s="323">
        <v>44181</v>
      </c>
      <c r="B401" s="324" t="s">
        <v>47</v>
      </c>
      <c r="C401" s="325" t="s">
        <v>69</v>
      </c>
      <c r="D401" s="326" t="s">
        <v>73</v>
      </c>
      <c r="E401" s="325" t="s">
        <v>118</v>
      </c>
      <c r="F401" s="326">
        <v>8300</v>
      </c>
      <c r="G401" s="327">
        <v>15.12</v>
      </c>
      <c r="H401" s="327">
        <v>0</v>
      </c>
      <c r="I401" s="328">
        <v>0</v>
      </c>
      <c r="J401" s="329">
        <v>0</v>
      </c>
      <c r="K401" s="330" t="s">
        <v>9</v>
      </c>
      <c r="L401" s="331">
        <f t="shared" si="23"/>
        <v>125496</v>
      </c>
      <c r="M401" s="78"/>
      <c r="N401" s="78"/>
      <c r="O401" s="78"/>
      <c r="P401" s="78"/>
      <c r="Q401" s="78"/>
      <c r="R401" s="36">
        <f t="shared" si="22"/>
        <v>27085.516497762343</v>
      </c>
      <c r="S401" s="386"/>
      <c r="T401" s="37"/>
      <c r="X401" s="39" t="str">
        <f t="shared" si="24"/>
        <v/>
      </c>
      <c r="Y401" s="42" t="str">
        <f t="shared" si="25"/>
        <v/>
      </c>
    </row>
    <row r="402" spans="1:25" ht="14.5">
      <c r="A402" s="323">
        <v>44182</v>
      </c>
      <c r="B402" s="387" t="s">
        <v>48</v>
      </c>
      <c r="C402" s="325" t="s">
        <v>69</v>
      </c>
      <c r="D402" s="326" t="s">
        <v>73</v>
      </c>
      <c r="E402" s="325" t="s">
        <v>71</v>
      </c>
      <c r="F402" s="326">
        <v>8300</v>
      </c>
      <c r="G402" s="327">
        <v>15.43</v>
      </c>
      <c r="H402" s="327">
        <v>15.13</v>
      </c>
      <c r="I402" s="328">
        <v>2558.98</v>
      </c>
      <c r="J402" s="329">
        <v>2.0299999999999998</v>
      </c>
      <c r="K402" s="330" t="s">
        <v>9</v>
      </c>
      <c r="L402" s="331" t="str">
        <f t="shared" si="23"/>
        <v/>
      </c>
      <c r="M402" s="78"/>
      <c r="N402" s="78"/>
      <c r="O402" s="78"/>
      <c r="P402" s="78"/>
      <c r="Q402" s="78"/>
      <c r="R402" s="36">
        <f t="shared" si="22"/>
        <v>27635.352482666916</v>
      </c>
      <c r="S402" s="386"/>
      <c r="T402" s="37"/>
      <c r="X402" s="39" t="str">
        <f t="shared" si="24"/>
        <v/>
      </c>
      <c r="Y402" s="42" t="str">
        <f t="shared" si="25"/>
        <v/>
      </c>
    </row>
    <row r="403" spans="1:25" ht="14.5">
      <c r="A403" s="165">
        <v>44182</v>
      </c>
      <c r="B403" s="372" t="s">
        <v>47</v>
      </c>
      <c r="C403" s="167" t="s">
        <v>69</v>
      </c>
      <c r="D403" s="169" t="s">
        <v>116</v>
      </c>
      <c r="E403" s="167" t="s">
        <v>71</v>
      </c>
      <c r="F403" s="169">
        <v>5900</v>
      </c>
      <c r="G403" s="170">
        <v>21.14</v>
      </c>
      <c r="H403" s="170">
        <v>0</v>
      </c>
      <c r="I403" s="171">
        <v>0</v>
      </c>
      <c r="J403" s="172">
        <v>0</v>
      </c>
      <c r="K403" s="168" t="s">
        <v>9</v>
      </c>
      <c r="L403" s="273">
        <f t="shared" si="23"/>
        <v>124726</v>
      </c>
      <c r="M403" s="78"/>
      <c r="N403" s="78"/>
      <c r="O403" s="78"/>
      <c r="P403" s="78"/>
      <c r="Q403" s="78"/>
      <c r="R403" s="36">
        <f t="shared" si="22"/>
        <v>27635.352482666916</v>
      </c>
      <c r="S403" s="386"/>
      <c r="T403" s="37"/>
      <c r="X403" s="39" t="str">
        <f t="shared" si="24"/>
        <v/>
      </c>
      <c r="Y403" s="42" t="str">
        <f t="shared" si="25"/>
        <v/>
      </c>
    </row>
    <row r="404" spans="1:25" ht="14.5">
      <c r="A404" s="165">
        <v>44183</v>
      </c>
      <c r="B404" s="372" t="s">
        <v>48</v>
      </c>
      <c r="C404" s="167" t="s">
        <v>69</v>
      </c>
      <c r="D404" s="169" t="s">
        <v>116</v>
      </c>
      <c r="E404" s="167" t="s">
        <v>71</v>
      </c>
      <c r="F404" s="169">
        <v>5900</v>
      </c>
      <c r="G404" s="170">
        <v>20.83</v>
      </c>
      <c r="H404" s="170">
        <v>21.15</v>
      </c>
      <c r="I404" s="171">
        <v>-1867.19</v>
      </c>
      <c r="J404" s="172">
        <v>-1.49</v>
      </c>
      <c r="K404" s="168" t="s">
        <v>9</v>
      </c>
      <c r="L404" s="273" t="str">
        <f t="shared" si="23"/>
        <v/>
      </c>
      <c r="M404" s="78"/>
      <c r="N404" s="78"/>
      <c r="O404" s="78"/>
      <c r="P404" s="78"/>
      <c r="Q404" s="78"/>
      <c r="R404" s="36">
        <f t="shared" si="22"/>
        <v>27223.585730675179</v>
      </c>
      <c r="S404" s="386"/>
      <c r="T404" s="37"/>
      <c r="X404" s="39" t="str">
        <f t="shared" si="24"/>
        <v/>
      </c>
      <c r="Y404" s="42" t="str">
        <f t="shared" si="25"/>
        <v/>
      </c>
    </row>
    <row r="405" spans="1:25" ht="14.5">
      <c r="A405" s="47">
        <v>44187</v>
      </c>
      <c r="B405" s="301" t="s">
        <v>47</v>
      </c>
      <c r="C405" s="49" t="s">
        <v>69</v>
      </c>
      <c r="D405" s="50" t="s">
        <v>101</v>
      </c>
      <c r="E405" s="49" t="s">
        <v>71</v>
      </c>
      <c r="F405" s="50">
        <v>1200</v>
      </c>
      <c r="G405" s="51">
        <v>100.9</v>
      </c>
      <c r="H405" s="51">
        <v>0</v>
      </c>
      <c r="I405" s="52">
        <v>0</v>
      </c>
      <c r="J405" s="53">
        <v>0</v>
      </c>
      <c r="K405" s="54" t="s">
        <v>9</v>
      </c>
      <c r="L405" s="55">
        <f t="shared" si="23"/>
        <v>121080</v>
      </c>
      <c r="M405" s="78"/>
      <c r="N405" s="78"/>
      <c r="O405" s="78"/>
      <c r="P405" s="78"/>
      <c r="Q405" s="78"/>
      <c r="R405" s="36">
        <f t="shared" si="22"/>
        <v>27223.585730675179</v>
      </c>
      <c r="S405" s="386"/>
      <c r="T405" s="37"/>
      <c r="X405" s="39" t="str">
        <f t="shared" si="24"/>
        <v/>
      </c>
      <c r="Y405" s="42" t="str">
        <f t="shared" si="25"/>
        <v/>
      </c>
    </row>
    <row r="406" spans="1:25" ht="14.5">
      <c r="A406" s="47">
        <v>44188</v>
      </c>
      <c r="B406" s="398" t="s">
        <v>48</v>
      </c>
      <c r="C406" s="49" t="s">
        <v>69</v>
      </c>
      <c r="D406" s="50" t="s">
        <v>101</v>
      </c>
      <c r="E406" s="49" t="s">
        <v>71</v>
      </c>
      <c r="F406" s="50">
        <v>1200</v>
      </c>
      <c r="G406" s="51">
        <v>102.93</v>
      </c>
      <c r="H406" s="51">
        <v>100.91</v>
      </c>
      <c r="I406" s="52">
        <v>2425.7399999999998</v>
      </c>
      <c r="J406" s="53">
        <v>2</v>
      </c>
      <c r="K406" s="54" t="s">
        <v>9</v>
      </c>
      <c r="L406" s="55" t="str">
        <f t="shared" si="23"/>
        <v/>
      </c>
      <c r="M406" s="78"/>
      <c r="N406" s="78"/>
      <c r="O406" s="78"/>
      <c r="P406" s="78"/>
      <c r="Q406" s="78"/>
      <c r="R406" s="36">
        <f t="shared" si="22"/>
        <v>27768.057445288683</v>
      </c>
      <c r="S406" s="386"/>
      <c r="T406" s="37"/>
      <c r="X406" s="39" t="str">
        <f t="shared" si="24"/>
        <v/>
      </c>
      <c r="Y406" s="42" t="str">
        <f t="shared" si="25"/>
        <v/>
      </c>
    </row>
    <row r="407" spans="1:25" ht="14.5">
      <c r="A407" s="323">
        <v>44188</v>
      </c>
      <c r="B407" s="324" t="s">
        <v>47</v>
      </c>
      <c r="C407" s="325" t="s">
        <v>69</v>
      </c>
      <c r="D407" s="326" t="s">
        <v>73</v>
      </c>
      <c r="E407" s="325" t="s">
        <v>71</v>
      </c>
      <c r="F407" s="326">
        <v>8100</v>
      </c>
      <c r="G407" s="327">
        <v>15.25</v>
      </c>
      <c r="H407" s="327">
        <v>0</v>
      </c>
      <c r="I407" s="328">
        <v>0</v>
      </c>
      <c r="J407" s="329">
        <v>0</v>
      </c>
      <c r="K407" s="330" t="s">
        <v>9</v>
      </c>
      <c r="L407" s="331">
        <f t="shared" si="23"/>
        <v>123525</v>
      </c>
      <c r="M407" s="78"/>
      <c r="N407" s="78"/>
      <c r="O407" s="78"/>
      <c r="P407" s="78"/>
      <c r="Q407" s="78"/>
      <c r="R407" s="36">
        <f t="shared" si="22"/>
        <v>27768.057445288683</v>
      </c>
      <c r="S407" s="386"/>
      <c r="T407" s="37"/>
      <c r="X407" s="39" t="str">
        <f t="shared" si="24"/>
        <v/>
      </c>
      <c r="Y407" s="42" t="str">
        <f t="shared" si="25"/>
        <v/>
      </c>
    </row>
    <row r="408" spans="1:25" ht="14.5">
      <c r="A408" s="323">
        <v>44193</v>
      </c>
      <c r="B408" s="387" t="s">
        <v>48</v>
      </c>
      <c r="C408" s="325" t="s">
        <v>69</v>
      </c>
      <c r="D408" s="326" t="s">
        <v>73</v>
      </c>
      <c r="E408" s="325" t="s">
        <v>71</v>
      </c>
      <c r="F408" s="326">
        <v>8100</v>
      </c>
      <c r="G408" s="327">
        <v>15.41</v>
      </c>
      <c r="H408" s="327">
        <v>15.26</v>
      </c>
      <c r="I408" s="328">
        <v>1281.57</v>
      </c>
      <c r="J408" s="329">
        <v>1.03</v>
      </c>
      <c r="K408" s="330" t="s">
        <v>9</v>
      </c>
      <c r="L408" s="331" t="str">
        <f t="shared" si="23"/>
        <v/>
      </c>
      <c r="M408" s="78"/>
      <c r="N408" s="78"/>
      <c r="O408" s="78"/>
      <c r="P408" s="78"/>
      <c r="Q408" s="78"/>
      <c r="R408" s="36">
        <f t="shared" si="22"/>
        <v>28054.068436975154</v>
      </c>
      <c r="S408" s="386"/>
      <c r="T408" s="37"/>
      <c r="X408" s="39" t="str">
        <f t="shared" si="24"/>
        <v/>
      </c>
      <c r="Y408" s="42" t="str">
        <f t="shared" si="25"/>
        <v/>
      </c>
    </row>
    <row r="409" spans="1:25" ht="14.5">
      <c r="A409" s="47">
        <v>44193</v>
      </c>
      <c r="B409" s="301" t="s">
        <v>47</v>
      </c>
      <c r="C409" s="49" t="s">
        <v>69</v>
      </c>
      <c r="D409" s="50" t="s">
        <v>101</v>
      </c>
      <c r="E409" s="49" t="s">
        <v>71</v>
      </c>
      <c r="F409" s="50">
        <v>1200</v>
      </c>
      <c r="G409" s="51">
        <v>102.23</v>
      </c>
      <c r="H409" s="51">
        <v>0</v>
      </c>
      <c r="I409" s="52">
        <v>0</v>
      </c>
      <c r="J409" s="53">
        <v>0</v>
      </c>
      <c r="K409" s="54" t="s">
        <v>9</v>
      </c>
      <c r="L409" s="55">
        <f t="shared" si="23"/>
        <v>122676</v>
      </c>
      <c r="M409" s="78"/>
      <c r="N409" s="78"/>
      <c r="O409" s="78"/>
      <c r="P409" s="78"/>
      <c r="Q409" s="78"/>
      <c r="R409" s="36">
        <f t="shared" si="22"/>
        <v>28054.068436975154</v>
      </c>
      <c r="S409" s="386"/>
      <c r="T409" s="37"/>
      <c r="X409" s="39" t="str">
        <f t="shared" si="24"/>
        <v/>
      </c>
      <c r="Y409" s="42" t="str">
        <f t="shared" si="25"/>
        <v/>
      </c>
    </row>
    <row r="410" spans="1:25" ht="14.5">
      <c r="A410" s="450">
        <v>44194</v>
      </c>
      <c r="B410" s="451" t="s">
        <v>48</v>
      </c>
      <c r="C410" s="452" t="s">
        <v>69</v>
      </c>
      <c r="D410" s="453" t="s">
        <v>101</v>
      </c>
      <c r="E410" s="452" t="s">
        <v>71</v>
      </c>
      <c r="F410" s="453">
        <v>1200</v>
      </c>
      <c r="G410" s="454">
        <v>103.32</v>
      </c>
      <c r="H410" s="454">
        <v>102.24</v>
      </c>
      <c r="I410" s="455">
        <v>1299.1099999999999</v>
      </c>
      <c r="J410" s="456">
        <v>1.05</v>
      </c>
      <c r="K410" s="457" t="s">
        <v>9</v>
      </c>
      <c r="L410" s="458" t="str">
        <f t="shared" si="23"/>
        <v/>
      </c>
      <c r="M410" s="78"/>
      <c r="N410" s="78"/>
      <c r="O410" s="78"/>
      <c r="P410" s="78"/>
      <c r="Q410" s="78"/>
      <c r="R410" s="36">
        <f t="shared" si="22"/>
        <v>28348.636155563392</v>
      </c>
      <c r="S410" s="386"/>
      <c r="T410" s="37"/>
      <c r="X410" s="39" t="str">
        <f t="shared" si="24"/>
        <v/>
      </c>
      <c r="Y410" s="42" t="str">
        <f t="shared" si="25"/>
        <v/>
      </c>
    </row>
    <row r="411" spans="1:25" ht="14.5">
      <c r="A411" s="311"/>
      <c r="B411" s="459"/>
      <c r="C411" s="313"/>
      <c r="D411" s="315"/>
      <c r="E411" s="313"/>
      <c r="F411" s="315"/>
      <c r="G411" s="316"/>
      <c r="H411" s="316"/>
      <c r="I411" s="317"/>
      <c r="J411" s="318"/>
      <c r="K411" s="314"/>
      <c r="L411" s="597" t="str">
        <f t="shared" si="23"/>
        <v/>
      </c>
      <c r="M411" s="78"/>
      <c r="N411" s="78"/>
      <c r="O411" s="78"/>
      <c r="P411" s="78"/>
      <c r="Q411" s="78"/>
      <c r="R411" s="36">
        <f t="shared" si="22"/>
        <v>28348.636155563392</v>
      </c>
      <c r="S411" s="386"/>
      <c r="T411" s="37"/>
      <c r="X411" s="39" t="str">
        <f t="shared" si="24"/>
        <v/>
      </c>
      <c r="Y411" s="42" t="str">
        <f t="shared" si="25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3"/>
        <v/>
      </c>
      <c r="M412" s="78"/>
      <c r="N412" s="78"/>
      <c r="O412" s="78"/>
      <c r="P412" s="78"/>
      <c r="Q412" s="78"/>
      <c r="R412" s="36">
        <f t="shared" si="22"/>
        <v>28348.636155563392</v>
      </c>
      <c r="S412" s="386"/>
      <c r="T412" s="37"/>
      <c r="X412" s="39" t="str">
        <f t="shared" si="24"/>
        <v/>
      </c>
      <c r="Y412" s="42" t="str">
        <f t="shared" si="25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3"/>
        <v/>
      </c>
      <c r="M413" s="78"/>
      <c r="N413" s="78"/>
      <c r="O413" s="78"/>
      <c r="P413" s="78"/>
      <c r="Q413" s="78"/>
      <c r="R413" s="36">
        <f t="shared" si="22"/>
        <v>28348.636155563392</v>
      </c>
      <c r="S413" s="386"/>
      <c r="T413" s="37"/>
      <c r="X413" s="39" t="str">
        <f t="shared" si="24"/>
        <v/>
      </c>
      <c r="Y413" s="42" t="str">
        <f t="shared" si="25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3"/>
        <v/>
      </c>
      <c r="M414" s="78"/>
      <c r="N414" s="78"/>
      <c r="O414" s="78"/>
      <c r="P414" s="78"/>
      <c r="Q414" s="78"/>
      <c r="R414" s="36">
        <f t="shared" si="22"/>
        <v>28348.636155563392</v>
      </c>
      <c r="S414" s="386"/>
      <c r="T414" s="37"/>
      <c r="X414" s="39" t="str">
        <f t="shared" si="24"/>
        <v/>
      </c>
      <c r="Y414" s="42" t="str">
        <f t="shared" si="25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3"/>
        <v/>
      </c>
      <c r="M415" s="78"/>
      <c r="N415" s="78"/>
      <c r="O415" s="78"/>
      <c r="P415" s="78"/>
      <c r="Q415" s="78"/>
      <c r="R415" s="36">
        <f t="shared" si="22"/>
        <v>28348.636155563392</v>
      </c>
      <c r="S415" s="386"/>
      <c r="T415" s="37"/>
      <c r="X415" s="39" t="str">
        <f t="shared" si="24"/>
        <v/>
      </c>
      <c r="Y415" s="42" t="str">
        <f t="shared" si="25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3"/>
        <v/>
      </c>
      <c r="M416" s="78"/>
      <c r="N416" s="78"/>
      <c r="O416" s="78"/>
      <c r="P416" s="78"/>
      <c r="Q416" s="78"/>
      <c r="R416" s="36">
        <f t="shared" si="22"/>
        <v>28348.636155563392</v>
      </c>
      <c r="S416" s="386"/>
      <c r="T416" s="37"/>
      <c r="X416" s="39" t="str">
        <f t="shared" si="24"/>
        <v/>
      </c>
      <c r="Y416" s="42" t="str">
        <f t="shared" si="25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3"/>
        <v/>
      </c>
      <c r="M417" s="78"/>
      <c r="N417" s="78"/>
      <c r="O417" s="78"/>
      <c r="P417" s="78"/>
      <c r="Q417" s="78"/>
      <c r="R417" s="36">
        <f t="shared" si="22"/>
        <v>28348.636155563392</v>
      </c>
      <c r="S417" s="386"/>
      <c r="T417" s="37"/>
      <c r="X417" s="39" t="str">
        <f t="shared" si="24"/>
        <v/>
      </c>
      <c r="Y417" s="42" t="str">
        <f t="shared" si="25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3"/>
        <v/>
      </c>
      <c r="M418" s="78"/>
      <c r="N418" s="78"/>
      <c r="O418" s="78"/>
      <c r="P418" s="78"/>
      <c r="Q418" s="78"/>
      <c r="R418" s="36">
        <f t="shared" ref="R418:R481" si="26">R417*((J418/100)+1)</f>
        <v>28348.636155563392</v>
      </c>
      <c r="S418" s="386"/>
      <c r="T418" s="37"/>
      <c r="X418" s="39" t="str">
        <f t="shared" si="24"/>
        <v/>
      </c>
      <c r="Y418" s="42" t="str">
        <f t="shared" si="25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3"/>
        <v/>
      </c>
      <c r="M419" s="78"/>
      <c r="N419" s="78"/>
      <c r="O419" s="78"/>
      <c r="P419" s="78"/>
      <c r="Q419" s="78"/>
      <c r="R419" s="36">
        <f t="shared" si="26"/>
        <v>28348.636155563392</v>
      </c>
      <c r="S419" s="386"/>
      <c r="T419" s="37"/>
      <c r="X419" s="39" t="str">
        <f t="shared" si="24"/>
        <v/>
      </c>
      <c r="Y419" s="42" t="str">
        <f t="shared" si="25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3"/>
        <v/>
      </c>
      <c r="M420" s="78"/>
      <c r="N420" s="78"/>
      <c r="O420" s="78"/>
      <c r="P420" s="78"/>
      <c r="Q420" s="78"/>
      <c r="R420" s="36">
        <f t="shared" si="26"/>
        <v>28348.636155563392</v>
      </c>
      <c r="S420" s="386"/>
      <c r="T420" s="37"/>
      <c r="X420" s="39" t="str">
        <f t="shared" si="24"/>
        <v/>
      </c>
      <c r="Y420" s="42" t="str">
        <f t="shared" si="25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3"/>
        <v/>
      </c>
      <c r="M421" s="78"/>
      <c r="N421" s="78"/>
      <c r="O421" s="78"/>
      <c r="P421" s="78"/>
      <c r="Q421" s="78"/>
      <c r="R421" s="36">
        <f t="shared" si="26"/>
        <v>28348.636155563392</v>
      </c>
      <c r="S421" s="386"/>
      <c r="T421" s="37"/>
      <c r="X421" s="39" t="str">
        <f t="shared" si="24"/>
        <v/>
      </c>
      <c r="Y421" s="42" t="str">
        <f t="shared" si="25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3"/>
        <v/>
      </c>
      <c r="M422" s="78"/>
      <c r="N422" s="78"/>
      <c r="O422" s="78"/>
      <c r="P422" s="78"/>
      <c r="Q422" s="78"/>
      <c r="R422" s="36">
        <f t="shared" si="26"/>
        <v>28348.636155563392</v>
      </c>
      <c r="S422" s="386"/>
      <c r="T422" s="37"/>
      <c r="X422" s="39" t="str">
        <f t="shared" si="24"/>
        <v/>
      </c>
      <c r="Y422" s="42" t="str">
        <f t="shared" si="25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3"/>
        <v/>
      </c>
      <c r="M423" s="78"/>
      <c r="N423" s="78"/>
      <c r="O423" s="78"/>
      <c r="P423" s="78"/>
      <c r="Q423" s="78"/>
      <c r="R423" s="36">
        <f t="shared" si="26"/>
        <v>28348.636155563392</v>
      </c>
      <c r="S423" s="386"/>
      <c r="T423" s="37"/>
      <c r="X423" s="39" t="str">
        <f t="shared" si="24"/>
        <v/>
      </c>
      <c r="Y423" s="42" t="str">
        <f t="shared" si="25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3"/>
        <v/>
      </c>
      <c r="M424" s="78"/>
      <c r="N424" s="78"/>
      <c r="O424" s="78"/>
      <c r="P424" s="78"/>
      <c r="Q424" s="78"/>
      <c r="R424" s="36">
        <f t="shared" si="26"/>
        <v>28348.636155563392</v>
      </c>
      <c r="S424" s="386"/>
      <c r="T424" s="37"/>
      <c r="X424" s="39" t="str">
        <f t="shared" si="24"/>
        <v/>
      </c>
      <c r="Y424" s="42" t="str">
        <f t="shared" si="25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3"/>
        <v/>
      </c>
      <c r="M425" s="78"/>
      <c r="N425" s="78"/>
      <c r="O425" s="78"/>
      <c r="P425" s="78"/>
      <c r="Q425" s="78"/>
      <c r="R425" s="36">
        <f t="shared" si="26"/>
        <v>28348.636155563392</v>
      </c>
      <c r="S425" s="386"/>
      <c r="T425" s="37"/>
      <c r="X425" s="39" t="str">
        <f t="shared" si="24"/>
        <v/>
      </c>
      <c r="Y425" s="42" t="str">
        <f t="shared" si="25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3"/>
        <v/>
      </c>
      <c r="M426" s="78"/>
      <c r="N426" s="78"/>
      <c r="O426" s="78"/>
      <c r="P426" s="78"/>
      <c r="Q426" s="78"/>
      <c r="R426" s="36">
        <f t="shared" si="26"/>
        <v>28348.636155563392</v>
      </c>
      <c r="S426" s="386"/>
      <c r="T426" s="37"/>
      <c r="X426" s="39" t="str">
        <f t="shared" si="24"/>
        <v/>
      </c>
      <c r="Y426" s="42" t="str">
        <f t="shared" si="25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3"/>
        <v/>
      </c>
      <c r="M427" s="78"/>
      <c r="N427" s="78"/>
      <c r="O427" s="78"/>
      <c r="P427" s="78"/>
      <c r="Q427" s="78"/>
      <c r="R427" s="36">
        <f t="shared" si="26"/>
        <v>28348.636155563392</v>
      </c>
      <c r="S427" s="386"/>
      <c r="T427" s="37"/>
      <c r="X427" s="39" t="str">
        <f t="shared" si="24"/>
        <v/>
      </c>
      <c r="Y427" s="42" t="str">
        <f t="shared" si="25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3"/>
        <v/>
      </c>
      <c r="M428" s="78"/>
      <c r="N428" s="78"/>
      <c r="O428" s="78"/>
      <c r="P428" s="78"/>
      <c r="Q428" s="78"/>
      <c r="R428" s="36">
        <f t="shared" si="26"/>
        <v>28348.636155563392</v>
      </c>
      <c r="S428" s="386"/>
      <c r="T428" s="37"/>
      <c r="X428" s="39" t="str">
        <f t="shared" si="24"/>
        <v/>
      </c>
      <c r="Y428" s="42" t="str">
        <f t="shared" si="25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7">IF(B429="Compra",F429*G429,"")</f>
        <v/>
      </c>
      <c r="M429" s="78"/>
      <c r="N429" s="78"/>
      <c r="O429" s="78"/>
      <c r="P429" s="78"/>
      <c r="Q429" s="78"/>
      <c r="R429" s="36">
        <f t="shared" si="26"/>
        <v>28348.636155563392</v>
      </c>
      <c r="S429" s="386"/>
      <c r="T429" s="37"/>
      <c r="X429" s="39" t="str">
        <f t="shared" si="24"/>
        <v/>
      </c>
      <c r="Y429" s="42" t="str">
        <f t="shared" si="25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7"/>
        <v/>
      </c>
      <c r="M430" s="78"/>
      <c r="N430" s="78"/>
      <c r="O430" s="78"/>
      <c r="P430" s="78"/>
      <c r="Q430" s="78"/>
      <c r="R430" s="36">
        <f t="shared" si="26"/>
        <v>28348.636155563392</v>
      </c>
      <c r="S430" s="386"/>
      <c r="T430" s="37"/>
      <c r="X430" s="39" t="str">
        <f t="shared" si="24"/>
        <v/>
      </c>
      <c r="Y430" s="42" t="str">
        <f t="shared" si="25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7"/>
        <v/>
      </c>
      <c r="M431" s="78"/>
      <c r="N431" s="78"/>
      <c r="O431" s="78"/>
      <c r="P431" s="78"/>
      <c r="Q431" s="78"/>
      <c r="R431" s="36">
        <f t="shared" si="26"/>
        <v>28348.636155563392</v>
      </c>
      <c r="S431" s="386"/>
      <c r="T431" s="37"/>
      <c r="X431" s="39" t="str">
        <f t="shared" si="24"/>
        <v/>
      </c>
      <c r="Y431" s="42" t="str">
        <f t="shared" si="25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7"/>
        <v/>
      </c>
      <c r="M432" s="78"/>
      <c r="N432" s="78"/>
      <c r="O432" s="78"/>
      <c r="P432" s="78"/>
      <c r="Q432" s="78"/>
      <c r="R432" s="36">
        <f t="shared" si="26"/>
        <v>28348.636155563392</v>
      </c>
      <c r="S432" s="386"/>
      <c r="T432" s="37"/>
      <c r="X432" s="39" t="str">
        <f t="shared" si="24"/>
        <v/>
      </c>
      <c r="Y432" s="42" t="str">
        <f t="shared" si="25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7"/>
        <v/>
      </c>
      <c r="M433" s="78"/>
      <c r="N433" s="78"/>
      <c r="O433" s="78"/>
      <c r="P433" s="78"/>
      <c r="Q433" s="78"/>
      <c r="R433" s="36">
        <f t="shared" si="26"/>
        <v>28348.636155563392</v>
      </c>
      <c r="S433" s="386"/>
      <c r="T433" s="37"/>
      <c r="X433" s="39" t="str">
        <f t="shared" si="24"/>
        <v/>
      </c>
      <c r="Y433" s="42" t="str">
        <f t="shared" si="25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7"/>
        <v/>
      </c>
      <c r="M434" s="78"/>
      <c r="N434" s="78"/>
      <c r="O434" s="78"/>
      <c r="P434" s="78"/>
      <c r="Q434" s="78"/>
      <c r="R434" s="36">
        <f t="shared" si="26"/>
        <v>28348.636155563392</v>
      </c>
      <c r="S434" s="386"/>
      <c r="T434" s="37"/>
      <c r="X434" s="39" t="str">
        <f t="shared" si="24"/>
        <v/>
      </c>
      <c r="Y434" s="42" t="str">
        <f t="shared" si="25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7"/>
        <v/>
      </c>
      <c r="M435" s="78"/>
      <c r="N435" s="78"/>
      <c r="O435" s="78"/>
      <c r="P435" s="78"/>
      <c r="Q435" s="78"/>
      <c r="R435" s="36">
        <f t="shared" si="26"/>
        <v>28348.636155563392</v>
      </c>
      <c r="S435" s="386"/>
      <c r="T435" s="37"/>
      <c r="X435" s="39" t="str">
        <f t="shared" si="24"/>
        <v/>
      </c>
      <c r="Y435" s="42" t="str">
        <f t="shared" si="25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7"/>
        <v/>
      </c>
      <c r="M436" s="78"/>
      <c r="N436" s="78"/>
      <c r="O436" s="78"/>
      <c r="P436" s="78"/>
      <c r="Q436" s="78"/>
      <c r="R436" s="36">
        <f t="shared" si="26"/>
        <v>28348.636155563392</v>
      </c>
      <c r="S436" s="386"/>
      <c r="T436" s="37"/>
      <c r="X436" s="39" t="str">
        <f t="shared" si="24"/>
        <v/>
      </c>
      <c r="Y436" s="42" t="str">
        <f t="shared" si="25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7"/>
        <v/>
      </c>
      <c r="M437" s="78"/>
      <c r="N437" s="78"/>
      <c r="O437" s="78"/>
      <c r="P437" s="78"/>
      <c r="Q437" s="78"/>
      <c r="R437" s="36">
        <f t="shared" si="26"/>
        <v>28348.636155563392</v>
      </c>
      <c r="S437" s="386"/>
      <c r="T437" s="37"/>
      <c r="X437" s="39" t="str">
        <f t="shared" si="24"/>
        <v/>
      </c>
      <c r="Y437" s="42" t="str">
        <f t="shared" si="25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7"/>
        <v/>
      </c>
      <c r="M438" s="78"/>
      <c r="N438" s="78"/>
      <c r="O438" s="78"/>
      <c r="P438" s="78"/>
      <c r="Q438" s="78"/>
      <c r="R438" s="36">
        <f t="shared" si="26"/>
        <v>28348.636155563392</v>
      </c>
      <c r="S438" s="386"/>
      <c r="T438" s="37"/>
      <c r="X438" s="39" t="str">
        <f t="shared" ref="X438:X501" si="28">IF(I553&lt;&gt;0,I553,"")</f>
        <v/>
      </c>
      <c r="Y438" s="42" t="str">
        <f t="shared" ref="Y438:Y501" si="29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7"/>
        <v/>
      </c>
      <c r="M439" s="78"/>
      <c r="N439" s="78"/>
      <c r="O439" s="78"/>
      <c r="P439" s="78"/>
      <c r="Q439" s="78"/>
      <c r="R439" s="36">
        <f t="shared" si="26"/>
        <v>28348.636155563392</v>
      </c>
      <c r="S439" s="386"/>
      <c r="T439" s="37"/>
      <c r="X439" s="39" t="str">
        <f t="shared" si="28"/>
        <v/>
      </c>
      <c r="Y439" s="42" t="str">
        <f t="shared" si="29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7"/>
        <v/>
      </c>
      <c r="M440" s="78"/>
      <c r="N440" s="78"/>
      <c r="O440" s="78"/>
      <c r="P440" s="78"/>
      <c r="Q440" s="78"/>
      <c r="R440" s="36">
        <f t="shared" si="26"/>
        <v>28348.636155563392</v>
      </c>
      <c r="S440" s="386"/>
      <c r="T440" s="37"/>
      <c r="X440" s="39" t="str">
        <f t="shared" si="28"/>
        <v/>
      </c>
      <c r="Y440" s="42" t="str">
        <f t="shared" si="29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7"/>
        <v/>
      </c>
      <c r="M441" s="78"/>
      <c r="N441" s="78"/>
      <c r="O441" s="78"/>
      <c r="P441" s="78"/>
      <c r="Q441" s="78"/>
      <c r="R441" s="36">
        <f t="shared" si="26"/>
        <v>28348.636155563392</v>
      </c>
      <c r="S441" s="386"/>
      <c r="T441" s="37"/>
      <c r="X441" s="39" t="str">
        <f t="shared" si="28"/>
        <v/>
      </c>
      <c r="Y441" s="42" t="str">
        <f t="shared" si="29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7"/>
        <v/>
      </c>
      <c r="M442" s="78"/>
      <c r="N442" s="78"/>
      <c r="O442" s="78"/>
      <c r="P442" s="78"/>
      <c r="Q442" s="78"/>
      <c r="R442" s="36">
        <f t="shared" si="26"/>
        <v>28348.636155563392</v>
      </c>
      <c r="S442" s="386"/>
      <c r="T442" s="37"/>
      <c r="X442" s="39" t="str">
        <f t="shared" si="28"/>
        <v/>
      </c>
      <c r="Y442" s="42" t="str">
        <f t="shared" si="29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7"/>
        <v/>
      </c>
      <c r="M443" s="78"/>
      <c r="N443" s="78"/>
      <c r="O443" s="78"/>
      <c r="P443" s="78"/>
      <c r="Q443" s="78"/>
      <c r="R443" s="36">
        <f t="shared" si="26"/>
        <v>28348.636155563392</v>
      </c>
      <c r="S443" s="386"/>
      <c r="T443" s="37"/>
      <c r="X443" s="39" t="str">
        <f t="shared" si="28"/>
        <v/>
      </c>
      <c r="Y443" s="42" t="str">
        <f t="shared" si="29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7"/>
        <v/>
      </c>
      <c r="M444" s="78"/>
      <c r="N444" s="78"/>
      <c r="O444" s="78"/>
      <c r="P444" s="78"/>
      <c r="Q444" s="78"/>
      <c r="R444" s="36">
        <f t="shared" si="26"/>
        <v>28348.636155563392</v>
      </c>
      <c r="S444" s="386"/>
      <c r="T444" s="37"/>
      <c r="X444" s="39" t="str">
        <f t="shared" si="28"/>
        <v/>
      </c>
      <c r="Y444" s="42" t="str">
        <f t="shared" si="29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7"/>
        <v/>
      </c>
      <c r="M445" s="78"/>
      <c r="N445" s="78"/>
      <c r="O445" s="78"/>
      <c r="P445" s="78"/>
      <c r="Q445" s="78"/>
      <c r="R445" s="36">
        <f t="shared" si="26"/>
        <v>28348.636155563392</v>
      </c>
      <c r="S445" s="386"/>
      <c r="T445" s="37"/>
      <c r="X445" s="39" t="str">
        <f t="shared" si="28"/>
        <v/>
      </c>
      <c r="Y445" s="42" t="str">
        <f t="shared" si="29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7"/>
        <v/>
      </c>
      <c r="M446" s="78"/>
      <c r="N446" s="78"/>
      <c r="O446" s="78"/>
      <c r="P446" s="78"/>
      <c r="Q446" s="78"/>
      <c r="R446" s="36">
        <f t="shared" si="26"/>
        <v>28348.636155563392</v>
      </c>
      <c r="S446" s="386"/>
      <c r="T446" s="37"/>
      <c r="X446" s="39" t="str">
        <f t="shared" si="28"/>
        <v/>
      </c>
      <c r="Y446" s="42" t="str">
        <f t="shared" si="29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7"/>
        <v/>
      </c>
      <c r="M447" s="78"/>
      <c r="N447" s="78"/>
      <c r="O447" s="78"/>
      <c r="P447" s="78"/>
      <c r="Q447" s="78"/>
      <c r="R447" s="36">
        <f t="shared" si="26"/>
        <v>28348.636155563392</v>
      </c>
      <c r="S447" s="386"/>
      <c r="T447" s="37"/>
      <c r="X447" s="39" t="str">
        <f t="shared" si="28"/>
        <v/>
      </c>
      <c r="Y447" s="42" t="str">
        <f t="shared" si="29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7"/>
        <v/>
      </c>
      <c r="M448" s="78"/>
      <c r="N448" s="78"/>
      <c r="O448" s="78"/>
      <c r="P448" s="78"/>
      <c r="Q448" s="78"/>
      <c r="R448" s="36">
        <f t="shared" si="26"/>
        <v>28348.636155563392</v>
      </c>
      <c r="S448" s="386"/>
      <c r="T448" s="37"/>
      <c r="X448" s="39" t="str">
        <f t="shared" si="28"/>
        <v/>
      </c>
      <c r="Y448" s="42" t="str">
        <f t="shared" si="29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7"/>
        <v/>
      </c>
      <c r="M449" s="78"/>
      <c r="N449" s="78"/>
      <c r="O449" s="78"/>
      <c r="P449" s="78"/>
      <c r="Q449" s="78"/>
      <c r="R449" s="36">
        <f t="shared" si="26"/>
        <v>28348.636155563392</v>
      </c>
      <c r="S449" s="386"/>
      <c r="T449" s="37"/>
      <c r="X449" s="39" t="str">
        <f t="shared" si="28"/>
        <v/>
      </c>
      <c r="Y449" s="42" t="str">
        <f t="shared" si="29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7"/>
        <v/>
      </c>
      <c r="M450" s="78"/>
      <c r="N450" s="78"/>
      <c r="O450" s="78"/>
      <c r="P450" s="78"/>
      <c r="Q450" s="78"/>
      <c r="R450" s="36">
        <f t="shared" si="26"/>
        <v>28348.636155563392</v>
      </c>
      <c r="S450" s="386"/>
      <c r="T450" s="37"/>
      <c r="X450" s="39" t="str">
        <f t="shared" si="28"/>
        <v/>
      </c>
      <c r="Y450" s="42" t="str">
        <f t="shared" si="29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7"/>
        <v/>
      </c>
      <c r="M451" s="78"/>
      <c r="N451" s="78"/>
      <c r="O451" s="78"/>
      <c r="P451" s="78"/>
      <c r="Q451" s="78"/>
      <c r="R451" s="36">
        <f t="shared" si="26"/>
        <v>28348.636155563392</v>
      </c>
      <c r="S451" s="386"/>
      <c r="T451" s="37"/>
      <c r="X451" s="39" t="str">
        <f t="shared" si="28"/>
        <v/>
      </c>
      <c r="Y451" s="42" t="str">
        <f t="shared" si="29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7"/>
        <v/>
      </c>
      <c r="M452" s="78"/>
      <c r="N452" s="78"/>
      <c r="O452" s="78"/>
      <c r="P452" s="78"/>
      <c r="Q452" s="78"/>
      <c r="R452" s="36">
        <f t="shared" si="26"/>
        <v>28348.636155563392</v>
      </c>
      <c r="S452" s="386"/>
      <c r="T452" s="37"/>
      <c r="X452" s="39" t="str">
        <f t="shared" si="28"/>
        <v/>
      </c>
      <c r="Y452" s="42" t="str">
        <f t="shared" si="29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7"/>
        <v/>
      </c>
      <c r="M453" s="78"/>
      <c r="N453" s="78"/>
      <c r="O453" s="78"/>
      <c r="P453" s="78"/>
      <c r="Q453" s="78"/>
      <c r="R453" s="36">
        <f t="shared" si="26"/>
        <v>28348.636155563392</v>
      </c>
      <c r="S453" s="386"/>
      <c r="T453" s="37"/>
      <c r="X453" s="39" t="str">
        <f t="shared" si="28"/>
        <v/>
      </c>
      <c r="Y453" s="42" t="str">
        <f t="shared" si="29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7"/>
        <v/>
      </c>
      <c r="M454" s="78"/>
      <c r="N454" s="78"/>
      <c r="O454" s="78"/>
      <c r="P454" s="78"/>
      <c r="Q454" s="78"/>
      <c r="R454" s="36">
        <f t="shared" si="26"/>
        <v>28348.636155563392</v>
      </c>
      <c r="S454" s="386"/>
      <c r="T454" s="37"/>
      <c r="X454" s="39" t="str">
        <f t="shared" si="28"/>
        <v/>
      </c>
      <c r="Y454" s="42" t="str">
        <f t="shared" si="29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7"/>
        <v/>
      </c>
      <c r="M455" s="78"/>
      <c r="N455" s="78"/>
      <c r="O455" s="78"/>
      <c r="P455" s="78"/>
      <c r="Q455" s="78"/>
      <c r="R455" s="36">
        <f t="shared" si="26"/>
        <v>28348.636155563392</v>
      </c>
      <c r="S455" s="386"/>
      <c r="T455" s="37"/>
      <c r="X455" s="39" t="str">
        <f t="shared" si="28"/>
        <v/>
      </c>
      <c r="Y455" s="42" t="str">
        <f t="shared" si="29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7"/>
        <v/>
      </c>
      <c r="M456" s="78"/>
      <c r="N456" s="78"/>
      <c r="O456" s="78"/>
      <c r="P456" s="78"/>
      <c r="Q456" s="78"/>
      <c r="R456" s="36">
        <f t="shared" si="26"/>
        <v>28348.636155563392</v>
      </c>
      <c r="S456" s="386"/>
      <c r="T456" s="37"/>
      <c r="X456" s="39" t="str">
        <f t="shared" si="28"/>
        <v/>
      </c>
      <c r="Y456" s="42" t="str">
        <f t="shared" si="29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7"/>
        <v/>
      </c>
      <c r="M457" s="78"/>
      <c r="N457" s="78"/>
      <c r="O457" s="78"/>
      <c r="P457" s="78"/>
      <c r="Q457" s="78"/>
      <c r="R457" s="36">
        <f t="shared" si="26"/>
        <v>28348.636155563392</v>
      </c>
      <c r="S457" s="386"/>
      <c r="T457" s="37"/>
      <c r="X457" s="39" t="str">
        <f t="shared" si="28"/>
        <v/>
      </c>
      <c r="Y457" s="42" t="str">
        <f t="shared" si="29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7"/>
        <v/>
      </c>
      <c r="M458" s="78"/>
      <c r="N458" s="78"/>
      <c r="O458" s="78"/>
      <c r="P458" s="78"/>
      <c r="Q458" s="78"/>
      <c r="R458" s="36">
        <f t="shared" si="26"/>
        <v>28348.636155563392</v>
      </c>
      <c r="S458" s="386"/>
      <c r="T458" s="37"/>
      <c r="X458" s="39" t="str">
        <f t="shared" si="28"/>
        <v/>
      </c>
      <c r="Y458" s="42" t="str">
        <f t="shared" si="29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7"/>
        <v/>
      </c>
      <c r="M459" s="78"/>
      <c r="N459" s="78"/>
      <c r="O459" s="78"/>
      <c r="P459" s="78"/>
      <c r="Q459" s="78"/>
      <c r="R459" s="36">
        <f t="shared" si="26"/>
        <v>28348.636155563392</v>
      </c>
      <c r="S459" s="386"/>
      <c r="T459" s="37"/>
      <c r="X459" s="39" t="str">
        <f t="shared" si="28"/>
        <v/>
      </c>
      <c r="Y459" s="42" t="str">
        <f t="shared" si="29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7"/>
        <v/>
      </c>
      <c r="M460" s="78"/>
      <c r="N460" s="78"/>
      <c r="O460" s="78"/>
      <c r="P460" s="78"/>
      <c r="Q460" s="78"/>
      <c r="R460" s="36">
        <f t="shared" si="26"/>
        <v>28348.636155563392</v>
      </c>
      <c r="S460" s="386"/>
      <c r="T460" s="37"/>
      <c r="X460" s="39" t="str">
        <f t="shared" si="28"/>
        <v/>
      </c>
      <c r="Y460" s="42" t="str">
        <f t="shared" si="29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7"/>
        <v/>
      </c>
      <c r="M461" s="78"/>
      <c r="N461" s="78"/>
      <c r="O461" s="78"/>
      <c r="P461" s="78"/>
      <c r="Q461" s="78"/>
      <c r="R461" s="36">
        <f t="shared" si="26"/>
        <v>28348.636155563392</v>
      </c>
      <c r="S461" s="386"/>
      <c r="T461" s="37"/>
      <c r="X461" s="39" t="str">
        <f t="shared" si="28"/>
        <v/>
      </c>
      <c r="Y461" s="42" t="str">
        <f t="shared" si="29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7"/>
        <v/>
      </c>
      <c r="M462" s="78"/>
      <c r="N462" s="78"/>
      <c r="O462" s="78"/>
      <c r="P462" s="78"/>
      <c r="Q462" s="78"/>
      <c r="R462" s="36">
        <f t="shared" si="26"/>
        <v>28348.636155563392</v>
      </c>
      <c r="S462" s="386"/>
      <c r="T462" s="37"/>
      <c r="X462" s="39" t="str">
        <f t="shared" si="28"/>
        <v/>
      </c>
      <c r="Y462" s="42" t="str">
        <f t="shared" si="29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7"/>
        <v/>
      </c>
      <c r="M463" s="78"/>
      <c r="N463" s="78"/>
      <c r="O463" s="78"/>
      <c r="P463" s="78"/>
      <c r="Q463" s="78"/>
      <c r="R463" s="36">
        <f t="shared" si="26"/>
        <v>28348.636155563392</v>
      </c>
      <c r="S463" s="386"/>
      <c r="T463" s="37"/>
      <c r="X463" s="39" t="str">
        <f t="shared" si="28"/>
        <v/>
      </c>
      <c r="Y463" s="42" t="str">
        <f t="shared" si="29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7"/>
        <v/>
      </c>
      <c r="M464" s="78"/>
      <c r="N464" s="78"/>
      <c r="O464" s="78"/>
      <c r="P464" s="78"/>
      <c r="Q464" s="78"/>
      <c r="R464" s="36">
        <f t="shared" si="26"/>
        <v>28348.636155563392</v>
      </c>
      <c r="S464" s="386"/>
      <c r="T464" s="37"/>
      <c r="X464" s="39" t="str">
        <f t="shared" si="28"/>
        <v/>
      </c>
      <c r="Y464" s="42" t="str">
        <f t="shared" si="29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7"/>
        <v/>
      </c>
      <c r="M465" s="78"/>
      <c r="N465" s="78"/>
      <c r="O465" s="78"/>
      <c r="P465" s="78"/>
      <c r="Q465" s="78"/>
      <c r="R465" s="36">
        <f t="shared" si="26"/>
        <v>28348.636155563392</v>
      </c>
      <c r="S465" s="386"/>
      <c r="T465" s="37"/>
      <c r="X465" s="39" t="str">
        <f t="shared" si="28"/>
        <v/>
      </c>
      <c r="Y465" s="42" t="str">
        <f t="shared" si="29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7"/>
        <v/>
      </c>
      <c r="M466" s="78"/>
      <c r="N466" s="78"/>
      <c r="O466" s="78"/>
      <c r="P466" s="78"/>
      <c r="Q466" s="78"/>
      <c r="R466" s="36">
        <f t="shared" si="26"/>
        <v>28348.636155563392</v>
      </c>
      <c r="S466" s="386"/>
      <c r="T466" s="37"/>
      <c r="X466" s="39" t="str">
        <f t="shared" si="28"/>
        <v/>
      </c>
      <c r="Y466" s="42" t="str">
        <f t="shared" si="29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7"/>
        <v/>
      </c>
      <c r="M467" s="78"/>
      <c r="N467" s="78"/>
      <c r="O467" s="78"/>
      <c r="P467" s="78"/>
      <c r="Q467" s="78"/>
      <c r="R467" s="36">
        <f t="shared" si="26"/>
        <v>28348.636155563392</v>
      </c>
      <c r="S467" s="386"/>
      <c r="T467" s="37"/>
      <c r="X467" s="39" t="str">
        <f t="shared" si="28"/>
        <v/>
      </c>
      <c r="Y467" s="42" t="str">
        <f t="shared" si="29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7"/>
        <v/>
      </c>
      <c r="M468" s="78"/>
      <c r="N468" s="78"/>
      <c r="O468" s="78"/>
      <c r="P468" s="78"/>
      <c r="Q468" s="78"/>
      <c r="R468" s="36">
        <f t="shared" si="26"/>
        <v>28348.636155563392</v>
      </c>
      <c r="S468" s="386"/>
      <c r="T468" s="37"/>
      <c r="X468" s="39" t="str">
        <f t="shared" si="28"/>
        <v/>
      </c>
      <c r="Y468" s="42" t="str">
        <f t="shared" si="29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7"/>
        <v/>
      </c>
      <c r="M469" s="78"/>
      <c r="N469" s="78"/>
      <c r="O469" s="78"/>
      <c r="P469" s="78"/>
      <c r="Q469" s="78"/>
      <c r="R469" s="36">
        <f t="shared" si="26"/>
        <v>28348.636155563392</v>
      </c>
      <c r="S469" s="386"/>
      <c r="T469" s="37"/>
      <c r="X469" s="39" t="str">
        <f t="shared" si="28"/>
        <v/>
      </c>
      <c r="Y469" s="42" t="str">
        <f t="shared" si="29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7"/>
        <v/>
      </c>
      <c r="M470" s="78"/>
      <c r="N470" s="78"/>
      <c r="O470" s="78"/>
      <c r="P470" s="78"/>
      <c r="Q470" s="78"/>
      <c r="R470" s="36">
        <f t="shared" si="26"/>
        <v>28348.636155563392</v>
      </c>
      <c r="S470" s="386"/>
      <c r="T470" s="37"/>
      <c r="X470" s="39" t="str">
        <f t="shared" si="28"/>
        <v/>
      </c>
      <c r="Y470" s="42" t="str">
        <f t="shared" si="29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7"/>
        <v/>
      </c>
      <c r="M471" s="78"/>
      <c r="N471" s="78"/>
      <c r="O471" s="78"/>
      <c r="P471" s="78"/>
      <c r="Q471" s="78"/>
      <c r="R471" s="36">
        <f t="shared" si="26"/>
        <v>28348.636155563392</v>
      </c>
      <c r="S471" s="386"/>
      <c r="T471" s="37"/>
      <c r="X471" s="39" t="str">
        <f t="shared" si="28"/>
        <v/>
      </c>
      <c r="Y471" s="42" t="str">
        <f t="shared" si="29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7"/>
        <v/>
      </c>
      <c r="M472" s="78"/>
      <c r="N472" s="78"/>
      <c r="O472" s="78"/>
      <c r="P472" s="78"/>
      <c r="Q472" s="78"/>
      <c r="R472" s="36">
        <f t="shared" si="26"/>
        <v>28348.636155563392</v>
      </c>
      <c r="S472" s="386"/>
      <c r="T472" s="37"/>
      <c r="X472" s="39" t="str">
        <f t="shared" si="28"/>
        <v/>
      </c>
      <c r="Y472" s="42" t="str">
        <f t="shared" si="29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7"/>
        <v/>
      </c>
      <c r="M473" s="78"/>
      <c r="N473" s="78"/>
      <c r="O473" s="78"/>
      <c r="P473" s="78"/>
      <c r="Q473" s="78"/>
      <c r="R473" s="36">
        <f t="shared" si="26"/>
        <v>28348.636155563392</v>
      </c>
      <c r="S473" s="386"/>
      <c r="T473" s="37"/>
      <c r="X473" s="39" t="str">
        <f t="shared" si="28"/>
        <v/>
      </c>
      <c r="Y473" s="42" t="str">
        <f t="shared" si="29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7"/>
        <v/>
      </c>
      <c r="M474" s="78"/>
      <c r="N474" s="78"/>
      <c r="O474" s="78"/>
      <c r="P474" s="78"/>
      <c r="Q474" s="78"/>
      <c r="R474" s="36">
        <f t="shared" si="26"/>
        <v>28348.636155563392</v>
      </c>
      <c r="S474" s="386"/>
      <c r="T474" s="37"/>
      <c r="X474" s="39" t="str">
        <f t="shared" si="28"/>
        <v/>
      </c>
      <c r="Y474" s="42" t="str">
        <f t="shared" si="29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7"/>
        <v/>
      </c>
      <c r="M475" s="78"/>
      <c r="N475" s="78"/>
      <c r="O475" s="78"/>
      <c r="P475" s="78"/>
      <c r="Q475" s="78"/>
      <c r="R475" s="36">
        <f t="shared" si="26"/>
        <v>28348.636155563392</v>
      </c>
      <c r="S475" s="386"/>
      <c r="T475" s="37"/>
      <c r="X475" s="39" t="str">
        <f t="shared" si="28"/>
        <v/>
      </c>
      <c r="Y475" s="42" t="str">
        <f t="shared" si="29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7"/>
        <v/>
      </c>
      <c r="M476" s="78"/>
      <c r="N476" s="78"/>
      <c r="O476" s="78"/>
      <c r="P476" s="78"/>
      <c r="Q476" s="78"/>
      <c r="R476" s="36">
        <f t="shared" si="26"/>
        <v>28348.636155563392</v>
      </c>
      <c r="S476" s="386"/>
      <c r="T476" s="37"/>
      <c r="X476" s="39" t="str">
        <f t="shared" si="28"/>
        <v/>
      </c>
      <c r="Y476" s="42" t="str">
        <f t="shared" si="29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7"/>
        <v/>
      </c>
      <c r="M477" s="78"/>
      <c r="N477" s="78"/>
      <c r="O477" s="78"/>
      <c r="P477" s="78"/>
      <c r="Q477" s="78"/>
      <c r="R477" s="36">
        <f t="shared" si="26"/>
        <v>28348.636155563392</v>
      </c>
      <c r="S477" s="386"/>
      <c r="T477" s="37"/>
      <c r="X477" s="39" t="str">
        <f t="shared" si="28"/>
        <v/>
      </c>
      <c r="Y477" s="42" t="str">
        <f t="shared" si="29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7"/>
        <v/>
      </c>
      <c r="M478" s="78"/>
      <c r="N478" s="78"/>
      <c r="O478" s="78"/>
      <c r="P478" s="78"/>
      <c r="Q478" s="78"/>
      <c r="R478" s="36">
        <f t="shared" si="26"/>
        <v>28348.636155563392</v>
      </c>
      <c r="S478" s="386"/>
      <c r="T478" s="37"/>
      <c r="X478" s="39" t="str">
        <f t="shared" si="28"/>
        <v/>
      </c>
      <c r="Y478" s="42" t="str">
        <f t="shared" si="29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7"/>
        <v/>
      </c>
      <c r="M479" s="78"/>
      <c r="N479" s="78"/>
      <c r="O479" s="78"/>
      <c r="P479" s="78"/>
      <c r="Q479" s="78"/>
      <c r="R479" s="36">
        <f t="shared" si="26"/>
        <v>28348.636155563392</v>
      </c>
      <c r="S479" s="386"/>
      <c r="T479" s="37"/>
      <c r="X479" s="39" t="str">
        <f t="shared" si="28"/>
        <v/>
      </c>
      <c r="Y479" s="42" t="str">
        <f t="shared" si="29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7"/>
        <v/>
      </c>
      <c r="M480" s="78"/>
      <c r="N480" s="78"/>
      <c r="O480" s="78"/>
      <c r="P480" s="78"/>
      <c r="Q480" s="78"/>
      <c r="R480" s="36">
        <f t="shared" si="26"/>
        <v>28348.636155563392</v>
      </c>
      <c r="S480" s="386"/>
      <c r="T480" s="37"/>
      <c r="X480" s="39" t="str">
        <f t="shared" si="28"/>
        <v/>
      </c>
      <c r="Y480" s="42" t="str">
        <f t="shared" si="29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7"/>
        <v/>
      </c>
      <c r="M481" s="78"/>
      <c r="N481" s="78"/>
      <c r="O481" s="78"/>
      <c r="P481" s="78"/>
      <c r="Q481" s="78"/>
      <c r="R481" s="36">
        <f t="shared" si="26"/>
        <v>28348.636155563392</v>
      </c>
      <c r="S481" s="386"/>
      <c r="T481" s="37"/>
      <c r="X481" s="39" t="str">
        <f t="shared" si="28"/>
        <v/>
      </c>
      <c r="Y481" s="42" t="str">
        <f t="shared" si="29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7"/>
        <v/>
      </c>
      <c r="M482" s="78"/>
      <c r="N482" s="78"/>
      <c r="O482" s="78"/>
      <c r="P482" s="78"/>
      <c r="Q482" s="78"/>
      <c r="R482" s="36">
        <f t="shared" ref="R482:R545" si="30">R481*((J482/100)+1)</f>
        <v>28348.636155563392</v>
      </c>
      <c r="S482" s="386"/>
      <c r="T482" s="37"/>
      <c r="X482" s="39" t="str">
        <f t="shared" si="28"/>
        <v/>
      </c>
      <c r="Y482" s="42" t="str">
        <f t="shared" si="29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7"/>
        <v/>
      </c>
      <c r="M483" s="78"/>
      <c r="N483" s="78"/>
      <c r="O483" s="78"/>
      <c r="P483" s="78"/>
      <c r="Q483" s="78"/>
      <c r="R483" s="36">
        <f t="shared" si="30"/>
        <v>28348.636155563392</v>
      </c>
      <c r="S483" s="386"/>
      <c r="T483" s="37"/>
      <c r="X483" s="39" t="str">
        <f t="shared" si="28"/>
        <v/>
      </c>
      <c r="Y483" s="42" t="str">
        <f t="shared" si="29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7"/>
        <v/>
      </c>
      <c r="M484" s="78"/>
      <c r="N484" s="78"/>
      <c r="O484" s="78"/>
      <c r="P484" s="78"/>
      <c r="Q484" s="78"/>
      <c r="R484" s="36">
        <f t="shared" si="30"/>
        <v>28348.636155563392</v>
      </c>
      <c r="S484" s="386"/>
      <c r="T484" s="37"/>
      <c r="X484" s="39" t="str">
        <f t="shared" si="28"/>
        <v/>
      </c>
      <c r="Y484" s="42" t="str">
        <f t="shared" si="29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7"/>
        <v/>
      </c>
      <c r="M485" s="78"/>
      <c r="N485" s="78"/>
      <c r="O485" s="78"/>
      <c r="P485" s="78"/>
      <c r="Q485" s="78"/>
      <c r="R485" s="36">
        <f t="shared" si="30"/>
        <v>28348.636155563392</v>
      </c>
      <c r="S485" s="386"/>
      <c r="T485" s="37"/>
      <c r="X485" s="39" t="str">
        <f t="shared" si="28"/>
        <v/>
      </c>
      <c r="Y485" s="42" t="str">
        <f t="shared" si="29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7"/>
        <v/>
      </c>
      <c r="M486" s="78"/>
      <c r="N486" s="78"/>
      <c r="O486" s="78"/>
      <c r="P486" s="78"/>
      <c r="Q486" s="78"/>
      <c r="R486" s="36">
        <f t="shared" si="30"/>
        <v>28348.636155563392</v>
      </c>
      <c r="S486" s="386"/>
      <c r="T486" s="37"/>
      <c r="X486" s="39" t="str">
        <f t="shared" si="28"/>
        <v/>
      </c>
      <c r="Y486" s="42" t="str">
        <f t="shared" si="29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7"/>
        <v/>
      </c>
      <c r="M487" s="78"/>
      <c r="N487" s="78"/>
      <c r="O487" s="78"/>
      <c r="P487" s="78"/>
      <c r="Q487" s="78"/>
      <c r="R487" s="36">
        <f t="shared" si="30"/>
        <v>28348.636155563392</v>
      </c>
      <c r="S487" s="386"/>
      <c r="T487" s="37"/>
      <c r="X487" s="39" t="str">
        <f t="shared" si="28"/>
        <v/>
      </c>
      <c r="Y487" s="42" t="str">
        <f t="shared" si="29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7"/>
        <v/>
      </c>
      <c r="M488" s="78"/>
      <c r="N488" s="78"/>
      <c r="O488" s="78"/>
      <c r="P488" s="78"/>
      <c r="Q488" s="78"/>
      <c r="R488" s="36">
        <f t="shared" si="30"/>
        <v>28348.636155563392</v>
      </c>
      <c r="S488" s="386"/>
      <c r="T488" s="37"/>
      <c r="X488" s="39" t="str">
        <f t="shared" si="28"/>
        <v/>
      </c>
      <c r="Y488" s="42" t="str">
        <f t="shared" si="29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7"/>
        <v/>
      </c>
      <c r="M489" s="78"/>
      <c r="N489" s="78"/>
      <c r="O489" s="78"/>
      <c r="P489" s="78"/>
      <c r="Q489" s="78"/>
      <c r="R489" s="36">
        <f t="shared" si="30"/>
        <v>28348.636155563392</v>
      </c>
      <c r="S489" s="386"/>
      <c r="T489" s="37"/>
      <c r="X489" s="39" t="str">
        <f t="shared" si="28"/>
        <v/>
      </c>
      <c r="Y489" s="42" t="str">
        <f t="shared" si="29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7"/>
        <v/>
      </c>
      <c r="M490" s="78"/>
      <c r="N490" s="78"/>
      <c r="O490" s="78"/>
      <c r="P490" s="78"/>
      <c r="Q490" s="78"/>
      <c r="R490" s="36">
        <f t="shared" si="30"/>
        <v>28348.636155563392</v>
      </c>
      <c r="S490" s="386"/>
      <c r="T490" s="37"/>
      <c r="X490" s="39" t="str">
        <f t="shared" si="28"/>
        <v/>
      </c>
      <c r="Y490" s="42" t="str">
        <f t="shared" si="29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7"/>
        <v/>
      </c>
      <c r="M491" s="78"/>
      <c r="N491" s="78"/>
      <c r="O491" s="78"/>
      <c r="P491" s="78"/>
      <c r="Q491" s="78"/>
      <c r="R491" s="36">
        <f t="shared" si="30"/>
        <v>28348.636155563392</v>
      </c>
      <c r="S491" s="386"/>
      <c r="T491" s="37"/>
      <c r="X491" s="39" t="str">
        <f t="shared" si="28"/>
        <v/>
      </c>
      <c r="Y491" s="42" t="str">
        <f t="shared" si="29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7"/>
        <v/>
      </c>
      <c r="M492" s="78"/>
      <c r="N492" s="78"/>
      <c r="O492" s="78"/>
      <c r="P492" s="78"/>
      <c r="Q492" s="78"/>
      <c r="R492" s="36">
        <f t="shared" si="30"/>
        <v>28348.636155563392</v>
      </c>
      <c r="S492" s="386"/>
      <c r="T492" s="37"/>
      <c r="X492" s="39" t="str">
        <f t="shared" si="28"/>
        <v/>
      </c>
      <c r="Y492" s="42" t="str">
        <f t="shared" si="29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1">IF(B493="Compra",F493*G493,"")</f>
        <v/>
      </c>
      <c r="M493" s="78"/>
      <c r="N493" s="78"/>
      <c r="O493" s="78"/>
      <c r="P493" s="78"/>
      <c r="Q493" s="78"/>
      <c r="R493" s="36">
        <f t="shared" si="30"/>
        <v>28348.636155563392</v>
      </c>
      <c r="S493" s="386"/>
      <c r="T493" s="37"/>
      <c r="X493" s="39" t="str">
        <f t="shared" si="28"/>
        <v/>
      </c>
      <c r="Y493" s="42" t="str">
        <f t="shared" si="29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1"/>
        <v/>
      </c>
      <c r="M494" s="78"/>
      <c r="N494" s="78"/>
      <c r="O494" s="78"/>
      <c r="P494" s="78"/>
      <c r="Q494" s="78"/>
      <c r="R494" s="36">
        <f t="shared" si="30"/>
        <v>28348.636155563392</v>
      </c>
      <c r="S494" s="386"/>
      <c r="T494" s="37"/>
      <c r="X494" s="39" t="str">
        <f t="shared" si="28"/>
        <v/>
      </c>
      <c r="Y494" s="42" t="str">
        <f t="shared" si="29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1"/>
        <v/>
      </c>
      <c r="M495" s="78"/>
      <c r="N495" s="78"/>
      <c r="O495" s="78"/>
      <c r="P495" s="78"/>
      <c r="Q495" s="78"/>
      <c r="R495" s="36">
        <f t="shared" si="30"/>
        <v>28348.636155563392</v>
      </c>
      <c r="S495" s="386"/>
      <c r="T495" s="37"/>
      <c r="X495" s="39" t="str">
        <f t="shared" si="28"/>
        <v/>
      </c>
      <c r="Y495" s="42" t="str">
        <f t="shared" si="29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1"/>
        <v/>
      </c>
      <c r="M496" s="78"/>
      <c r="N496" s="78"/>
      <c r="O496" s="78"/>
      <c r="P496" s="78"/>
      <c r="Q496" s="78"/>
      <c r="R496" s="36">
        <f t="shared" si="30"/>
        <v>28348.636155563392</v>
      </c>
      <c r="S496" s="386"/>
      <c r="T496" s="37"/>
      <c r="X496" s="39" t="str">
        <f t="shared" si="28"/>
        <v/>
      </c>
      <c r="Y496" s="42" t="str">
        <f t="shared" si="29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1"/>
        <v/>
      </c>
      <c r="M497" s="78"/>
      <c r="N497" s="78"/>
      <c r="O497" s="78"/>
      <c r="P497" s="78"/>
      <c r="Q497" s="78"/>
      <c r="R497" s="36">
        <f t="shared" si="30"/>
        <v>28348.636155563392</v>
      </c>
      <c r="S497" s="386"/>
      <c r="T497" s="37"/>
      <c r="X497" s="39" t="str">
        <f t="shared" si="28"/>
        <v/>
      </c>
      <c r="Y497" s="42" t="str">
        <f t="shared" si="29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1"/>
        <v/>
      </c>
      <c r="M498" s="78"/>
      <c r="N498" s="78"/>
      <c r="O498" s="78"/>
      <c r="P498" s="78"/>
      <c r="Q498" s="78"/>
      <c r="R498" s="36">
        <f t="shared" si="30"/>
        <v>28348.636155563392</v>
      </c>
      <c r="S498" s="386"/>
      <c r="T498" s="37"/>
      <c r="X498" s="39" t="str">
        <f t="shared" si="28"/>
        <v/>
      </c>
      <c r="Y498" s="42" t="str">
        <f t="shared" si="29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1"/>
        <v/>
      </c>
      <c r="M499" s="78"/>
      <c r="N499" s="78"/>
      <c r="O499" s="78"/>
      <c r="P499" s="78"/>
      <c r="Q499" s="78"/>
      <c r="R499" s="36">
        <f t="shared" si="30"/>
        <v>28348.636155563392</v>
      </c>
      <c r="S499" s="386"/>
      <c r="T499" s="37"/>
      <c r="X499" s="39" t="str">
        <f t="shared" si="28"/>
        <v/>
      </c>
      <c r="Y499" s="42" t="str">
        <f t="shared" si="29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1"/>
        <v/>
      </c>
      <c r="M500" s="78"/>
      <c r="N500" s="78"/>
      <c r="O500" s="78"/>
      <c r="P500" s="78"/>
      <c r="Q500" s="78"/>
      <c r="R500" s="36">
        <f t="shared" si="30"/>
        <v>28348.636155563392</v>
      </c>
      <c r="S500" s="386"/>
      <c r="T500" s="37"/>
      <c r="X500" s="39" t="str">
        <f t="shared" si="28"/>
        <v/>
      </c>
      <c r="Y500" s="42" t="str">
        <f t="shared" si="29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1"/>
        <v/>
      </c>
      <c r="M501" s="78"/>
      <c r="N501" s="78"/>
      <c r="O501" s="78"/>
      <c r="P501" s="78"/>
      <c r="Q501" s="78"/>
      <c r="R501" s="36">
        <f t="shared" si="30"/>
        <v>28348.636155563392</v>
      </c>
      <c r="S501" s="386"/>
      <c r="T501" s="37"/>
      <c r="X501" s="39" t="str">
        <f t="shared" si="28"/>
        <v/>
      </c>
      <c r="Y501" s="42" t="str">
        <f t="shared" si="29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1"/>
        <v/>
      </c>
      <c r="M502" s="78"/>
      <c r="N502" s="78"/>
      <c r="O502" s="78"/>
      <c r="P502" s="78"/>
      <c r="Q502" s="78"/>
      <c r="R502" s="36">
        <f t="shared" si="30"/>
        <v>28348.636155563392</v>
      </c>
      <c r="S502" s="386"/>
      <c r="T502" s="37"/>
      <c r="X502" s="39" t="str">
        <f t="shared" ref="X502:X565" si="32">IF(I617&lt;&gt;0,I617,"")</f>
        <v/>
      </c>
      <c r="Y502" s="42" t="str">
        <f t="shared" ref="Y502:Y565" si="33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1"/>
        <v/>
      </c>
      <c r="M503" s="78"/>
      <c r="N503" s="78"/>
      <c r="O503" s="78"/>
      <c r="P503" s="78"/>
      <c r="Q503" s="78"/>
      <c r="R503" s="36">
        <f t="shared" si="30"/>
        <v>28348.636155563392</v>
      </c>
      <c r="S503" s="386"/>
      <c r="T503" s="37"/>
      <c r="X503" s="39" t="str">
        <f t="shared" si="32"/>
        <v/>
      </c>
      <c r="Y503" s="42" t="str">
        <f t="shared" si="33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1"/>
        <v/>
      </c>
      <c r="M504" s="78"/>
      <c r="N504" s="78"/>
      <c r="O504" s="78"/>
      <c r="P504" s="78"/>
      <c r="Q504" s="78"/>
      <c r="R504" s="36">
        <f t="shared" si="30"/>
        <v>28348.636155563392</v>
      </c>
      <c r="S504" s="386"/>
      <c r="T504" s="37"/>
      <c r="X504" s="39" t="str">
        <f t="shared" si="32"/>
        <v/>
      </c>
      <c r="Y504" s="42" t="str">
        <f t="shared" si="33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1"/>
        <v/>
      </c>
      <c r="M505" s="78"/>
      <c r="N505" s="78"/>
      <c r="O505" s="78"/>
      <c r="P505" s="78"/>
      <c r="Q505" s="78"/>
      <c r="R505" s="36">
        <f t="shared" si="30"/>
        <v>28348.636155563392</v>
      </c>
      <c r="S505" s="386"/>
      <c r="T505" s="37"/>
      <c r="X505" s="39" t="str">
        <f t="shared" si="32"/>
        <v/>
      </c>
      <c r="Y505" s="42" t="str">
        <f t="shared" si="33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1"/>
        <v/>
      </c>
      <c r="M506" s="78"/>
      <c r="N506" s="78"/>
      <c r="O506" s="78"/>
      <c r="P506" s="78"/>
      <c r="Q506" s="78"/>
      <c r="R506" s="36">
        <f t="shared" si="30"/>
        <v>28348.636155563392</v>
      </c>
      <c r="S506" s="386"/>
      <c r="T506" s="37"/>
      <c r="X506" s="39" t="str">
        <f t="shared" si="32"/>
        <v/>
      </c>
      <c r="Y506" s="42" t="str">
        <f t="shared" si="33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1"/>
        <v/>
      </c>
      <c r="M507" s="78"/>
      <c r="N507" s="78"/>
      <c r="O507" s="78"/>
      <c r="P507" s="78"/>
      <c r="Q507" s="78"/>
      <c r="R507" s="36">
        <f t="shared" si="30"/>
        <v>28348.636155563392</v>
      </c>
      <c r="S507" s="386"/>
      <c r="T507" s="37"/>
      <c r="X507" s="39" t="str">
        <f t="shared" si="32"/>
        <v/>
      </c>
      <c r="Y507" s="42" t="str">
        <f t="shared" si="33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1"/>
        <v/>
      </c>
      <c r="M508" s="78"/>
      <c r="N508" s="78"/>
      <c r="O508" s="78"/>
      <c r="P508" s="78"/>
      <c r="Q508" s="78"/>
      <c r="R508" s="36">
        <f t="shared" si="30"/>
        <v>28348.636155563392</v>
      </c>
      <c r="S508" s="386"/>
      <c r="T508" s="37"/>
      <c r="X508" s="39" t="str">
        <f t="shared" si="32"/>
        <v/>
      </c>
      <c r="Y508" s="42" t="str">
        <f t="shared" si="33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1"/>
        <v/>
      </c>
      <c r="M509" s="78"/>
      <c r="N509" s="78"/>
      <c r="O509" s="78"/>
      <c r="P509" s="78"/>
      <c r="Q509" s="78"/>
      <c r="R509" s="36">
        <f t="shared" si="30"/>
        <v>28348.636155563392</v>
      </c>
      <c r="S509" s="386"/>
      <c r="T509" s="37"/>
      <c r="X509" s="39" t="str">
        <f t="shared" si="32"/>
        <v/>
      </c>
      <c r="Y509" s="42" t="str">
        <f t="shared" si="33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1"/>
        <v/>
      </c>
      <c r="M510" s="78"/>
      <c r="N510" s="78"/>
      <c r="O510" s="78"/>
      <c r="P510" s="78"/>
      <c r="Q510" s="78"/>
      <c r="R510" s="36">
        <f t="shared" si="30"/>
        <v>28348.636155563392</v>
      </c>
      <c r="S510" s="386"/>
      <c r="T510" s="37"/>
      <c r="X510" s="39" t="str">
        <f t="shared" si="32"/>
        <v/>
      </c>
      <c r="Y510" s="42" t="str">
        <f t="shared" si="33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1"/>
        <v/>
      </c>
      <c r="M511" s="78"/>
      <c r="N511" s="78"/>
      <c r="O511" s="78"/>
      <c r="P511" s="78"/>
      <c r="Q511" s="78"/>
      <c r="R511" s="36">
        <f t="shared" si="30"/>
        <v>28348.636155563392</v>
      </c>
      <c r="S511" s="386"/>
      <c r="T511" s="37"/>
      <c r="X511" s="39" t="str">
        <f t="shared" si="32"/>
        <v/>
      </c>
      <c r="Y511" s="42" t="str">
        <f t="shared" si="33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1"/>
        <v/>
      </c>
      <c r="M512" s="78"/>
      <c r="N512" s="78"/>
      <c r="O512" s="78"/>
      <c r="P512" s="78"/>
      <c r="Q512" s="78"/>
      <c r="R512" s="36">
        <f t="shared" si="30"/>
        <v>28348.636155563392</v>
      </c>
      <c r="S512" s="386"/>
      <c r="T512" s="37"/>
      <c r="X512" s="39" t="str">
        <f t="shared" si="32"/>
        <v/>
      </c>
      <c r="Y512" s="42" t="str">
        <f t="shared" si="33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1"/>
        <v/>
      </c>
      <c r="M513" s="78"/>
      <c r="N513" s="78"/>
      <c r="O513" s="78"/>
      <c r="P513" s="78"/>
      <c r="Q513" s="78"/>
      <c r="R513" s="36">
        <f t="shared" si="30"/>
        <v>28348.636155563392</v>
      </c>
      <c r="S513" s="386"/>
      <c r="T513" s="37"/>
      <c r="X513" s="39" t="str">
        <f t="shared" si="32"/>
        <v/>
      </c>
      <c r="Y513" s="42" t="str">
        <f t="shared" si="33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1"/>
        <v/>
      </c>
      <c r="M514" s="78"/>
      <c r="N514" s="78"/>
      <c r="O514" s="78"/>
      <c r="P514" s="78"/>
      <c r="Q514" s="78"/>
      <c r="R514" s="36">
        <f t="shared" si="30"/>
        <v>28348.636155563392</v>
      </c>
      <c r="S514" s="386"/>
      <c r="T514" s="37"/>
      <c r="X514" s="39" t="str">
        <f t="shared" si="32"/>
        <v/>
      </c>
      <c r="Y514" s="42" t="str">
        <f t="shared" si="33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1"/>
        <v/>
      </c>
      <c r="M515" s="78"/>
      <c r="N515" s="78"/>
      <c r="O515" s="78"/>
      <c r="P515" s="78"/>
      <c r="Q515" s="78"/>
      <c r="R515" s="36">
        <f t="shared" si="30"/>
        <v>28348.636155563392</v>
      </c>
      <c r="S515" s="386"/>
      <c r="T515" s="37"/>
      <c r="X515" s="39" t="str">
        <f t="shared" si="32"/>
        <v/>
      </c>
      <c r="Y515" s="42" t="str">
        <f t="shared" si="33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1"/>
        <v/>
      </c>
      <c r="M516" s="78"/>
      <c r="N516" s="78"/>
      <c r="O516" s="78"/>
      <c r="P516" s="78"/>
      <c r="Q516" s="78"/>
      <c r="R516" s="36">
        <f t="shared" si="30"/>
        <v>28348.636155563392</v>
      </c>
      <c r="S516" s="386"/>
      <c r="T516" s="37"/>
      <c r="X516" s="39" t="str">
        <f t="shared" si="32"/>
        <v/>
      </c>
      <c r="Y516" s="42" t="str">
        <f t="shared" si="33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1"/>
        <v/>
      </c>
      <c r="M517" s="78"/>
      <c r="N517" s="78"/>
      <c r="O517" s="78"/>
      <c r="P517" s="78"/>
      <c r="Q517" s="78"/>
      <c r="R517" s="36">
        <f t="shared" si="30"/>
        <v>28348.636155563392</v>
      </c>
      <c r="S517" s="386"/>
      <c r="T517" s="37"/>
      <c r="X517" s="39" t="str">
        <f t="shared" si="32"/>
        <v/>
      </c>
      <c r="Y517" s="42" t="str">
        <f t="shared" si="33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1"/>
        <v/>
      </c>
      <c r="M518" s="78"/>
      <c r="N518" s="78"/>
      <c r="O518" s="78"/>
      <c r="P518" s="78"/>
      <c r="Q518" s="78"/>
      <c r="R518" s="36">
        <f t="shared" si="30"/>
        <v>28348.636155563392</v>
      </c>
      <c r="S518" s="386"/>
      <c r="T518" s="37"/>
      <c r="X518" s="39" t="str">
        <f t="shared" si="32"/>
        <v/>
      </c>
      <c r="Y518" s="42" t="str">
        <f t="shared" si="33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1"/>
        <v/>
      </c>
      <c r="M519" s="78"/>
      <c r="N519" s="78"/>
      <c r="O519" s="78"/>
      <c r="P519" s="78"/>
      <c r="Q519" s="78"/>
      <c r="R519" s="36">
        <f t="shared" si="30"/>
        <v>28348.636155563392</v>
      </c>
      <c r="S519" s="386"/>
      <c r="T519" s="37"/>
      <c r="X519" s="39" t="str">
        <f t="shared" si="32"/>
        <v/>
      </c>
      <c r="Y519" s="42" t="str">
        <f t="shared" si="33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1"/>
        <v/>
      </c>
      <c r="M520" s="78"/>
      <c r="N520" s="78"/>
      <c r="O520" s="78"/>
      <c r="P520" s="78"/>
      <c r="Q520" s="78"/>
      <c r="R520" s="36">
        <f t="shared" si="30"/>
        <v>28348.636155563392</v>
      </c>
      <c r="S520" s="386"/>
      <c r="T520" s="37"/>
      <c r="X520" s="39" t="str">
        <f t="shared" si="32"/>
        <v/>
      </c>
      <c r="Y520" s="42" t="str">
        <f t="shared" si="33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1"/>
        <v/>
      </c>
      <c r="M521" s="78"/>
      <c r="N521" s="78"/>
      <c r="O521" s="78"/>
      <c r="P521" s="78"/>
      <c r="Q521" s="78"/>
      <c r="R521" s="36">
        <f t="shared" si="30"/>
        <v>28348.636155563392</v>
      </c>
      <c r="S521" s="386"/>
      <c r="T521" s="37"/>
      <c r="X521" s="39" t="str">
        <f t="shared" si="32"/>
        <v/>
      </c>
      <c r="Y521" s="42" t="str">
        <f t="shared" si="33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1"/>
        <v/>
      </c>
      <c r="M522" s="78"/>
      <c r="N522" s="78"/>
      <c r="O522" s="78"/>
      <c r="P522" s="78"/>
      <c r="Q522" s="78"/>
      <c r="R522" s="36">
        <f t="shared" si="30"/>
        <v>28348.636155563392</v>
      </c>
      <c r="S522" s="386"/>
      <c r="T522" s="37"/>
      <c r="X522" s="39" t="str">
        <f t="shared" si="32"/>
        <v/>
      </c>
      <c r="Y522" s="42" t="str">
        <f t="shared" si="33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1"/>
        <v/>
      </c>
      <c r="M523" s="78"/>
      <c r="N523" s="78"/>
      <c r="O523" s="78"/>
      <c r="P523" s="78"/>
      <c r="Q523" s="78"/>
      <c r="R523" s="36">
        <f t="shared" si="30"/>
        <v>28348.636155563392</v>
      </c>
      <c r="S523" s="386"/>
      <c r="T523" s="37"/>
      <c r="X523" s="39" t="str">
        <f t="shared" si="32"/>
        <v/>
      </c>
      <c r="Y523" s="42" t="str">
        <f t="shared" si="33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1"/>
        <v/>
      </c>
      <c r="M524" s="78"/>
      <c r="N524" s="78"/>
      <c r="O524" s="78"/>
      <c r="P524" s="78"/>
      <c r="Q524" s="78"/>
      <c r="R524" s="36">
        <f t="shared" si="30"/>
        <v>28348.636155563392</v>
      </c>
      <c r="S524" s="386"/>
      <c r="T524" s="37"/>
      <c r="X524" s="39" t="str">
        <f t="shared" si="32"/>
        <v/>
      </c>
      <c r="Y524" s="42" t="str">
        <f t="shared" si="33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1"/>
        <v/>
      </c>
      <c r="M525" s="78"/>
      <c r="N525" s="78"/>
      <c r="O525" s="78"/>
      <c r="P525" s="78"/>
      <c r="Q525" s="78"/>
      <c r="R525" s="36">
        <f t="shared" si="30"/>
        <v>28348.636155563392</v>
      </c>
      <c r="S525" s="386"/>
      <c r="T525" s="37"/>
      <c r="X525" s="39" t="str">
        <f t="shared" si="32"/>
        <v/>
      </c>
      <c r="Y525" s="42" t="str">
        <f t="shared" si="33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1"/>
        <v/>
      </c>
      <c r="M526" s="78"/>
      <c r="N526" s="78"/>
      <c r="O526" s="78"/>
      <c r="P526" s="78"/>
      <c r="Q526" s="78"/>
      <c r="R526" s="36">
        <f t="shared" si="30"/>
        <v>28348.636155563392</v>
      </c>
      <c r="S526" s="386"/>
      <c r="T526" s="37"/>
      <c r="X526" s="39" t="str">
        <f t="shared" si="32"/>
        <v/>
      </c>
      <c r="Y526" s="42" t="str">
        <f t="shared" si="33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1"/>
        <v/>
      </c>
      <c r="M527" s="78"/>
      <c r="N527" s="78"/>
      <c r="O527" s="78"/>
      <c r="P527" s="78"/>
      <c r="Q527" s="78"/>
      <c r="R527" s="36">
        <f t="shared" si="30"/>
        <v>28348.636155563392</v>
      </c>
      <c r="S527" s="386"/>
      <c r="T527" s="37"/>
      <c r="X527" s="39" t="str">
        <f t="shared" si="32"/>
        <v/>
      </c>
      <c r="Y527" s="42" t="str">
        <f t="shared" si="33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1"/>
        <v/>
      </c>
      <c r="M528" s="78"/>
      <c r="N528" s="78"/>
      <c r="O528" s="78"/>
      <c r="P528" s="78"/>
      <c r="Q528" s="78"/>
      <c r="R528" s="36">
        <f t="shared" si="30"/>
        <v>28348.636155563392</v>
      </c>
      <c r="S528" s="386"/>
      <c r="T528" s="37"/>
      <c r="X528" s="39" t="str">
        <f t="shared" si="32"/>
        <v/>
      </c>
      <c r="Y528" s="42" t="str">
        <f t="shared" si="33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1"/>
        <v/>
      </c>
      <c r="M529" s="78"/>
      <c r="N529" s="78"/>
      <c r="O529" s="78"/>
      <c r="P529" s="78"/>
      <c r="Q529" s="78"/>
      <c r="R529" s="36">
        <f t="shared" si="30"/>
        <v>28348.636155563392</v>
      </c>
      <c r="S529" s="386"/>
      <c r="T529" s="37"/>
      <c r="X529" s="39" t="str">
        <f t="shared" si="32"/>
        <v/>
      </c>
      <c r="Y529" s="42" t="str">
        <f t="shared" si="33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1"/>
        <v/>
      </c>
      <c r="M530" s="78"/>
      <c r="N530" s="78"/>
      <c r="O530" s="78"/>
      <c r="P530" s="78"/>
      <c r="Q530" s="78"/>
      <c r="R530" s="36">
        <f t="shared" si="30"/>
        <v>28348.636155563392</v>
      </c>
      <c r="S530" s="386"/>
      <c r="T530" s="37"/>
      <c r="X530" s="39" t="str">
        <f t="shared" si="32"/>
        <v/>
      </c>
      <c r="Y530" s="42" t="str">
        <f t="shared" si="33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1"/>
        <v/>
      </c>
      <c r="M531" s="78"/>
      <c r="N531" s="78"/>
      <c r="O531" s="78"/>
      <c r="P531" s="78"/>
      <c r="Q531" s="78"/>
      <c r="R531" s="36">
        <f t="shared" si="30"/>
        <v>28348.636155563392</v>
      </c>
      <c r="S531" s="386"/>
      <c r="T531" s="37"/>
      <c r="X531" s="39" t="str">
        <f t="shared" si="32"/>
        <v/>
      </c>
      <c r="Y531" s="42" t="str">
        <f t="shared" si="33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1"/>
        <v/>
      </c>
      <c r="M532" s="78"/>
      <c r="N532" s="78"/>
      <c r="O532" s="78"/>
      <c r="P532" s="78"/>
      <c r="Q532" s="78"/>
      <c r="R532" s="36">
        <f t="shared" si="30"/>
        <v>28348.636155563392</v>
      </c>
      <c r="S532" s="386"/>
      <c r="T532" s="37"/>
      <c r="X532" s="39" t="str">
        <f t="shared" si="32"/>
        <v/>
      </c>
      <c r="Y532" s="42" t="str">
        <f t="shared" si="33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1"/>
        <v/>
      </c>
      <c r="M533" s="78"/>
      <c r="N533" s="78"/>
      <c r="O533" s="78"/>
      <c r="P533" s="78"/>
      <c r="Q533" s="78"/>
      <c r="R533" s="36">
        <f t="shared" si="30"/>
        <v>28348.636155563392</v>
      </c>
      <c r="S533" s="386"/>
      <c r="T533" s="37"/>
      <c r="X533" s="39" t="str">
        <f t="shared" si="32"/>
        <v/>
      </c>
      <c r="Y533" s="42" t="str">
        <f t="shared" si="33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1"/>
        <v/>
      </c>
      <c r="M534" s="78"/>
      <c r="N534" s="78"/>
      <c r="O534" s="78"/>
      <c r="P534" s="78"/>
      <c r="Q534" s="78"/>
      <c r="R534" s="36">
        <f t="shared" si="30"/>
        <v>28348.636155563392</v>
      </c>
      <c r="S534" s="386"/>
      <c r="T534" s="37"/>
      <c r="X534" s="39" t="str">
        <f t="shared" si="32"/>
        <v/>
      </c>
      <c r="Y534" s="42" t="str">
        <f t="shared" si="33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1"/>
        <v/>
      </c>
      <c r="M535" s="78"/>
      <c r="N535" s="78"/>
      <c r="O535" s="78"/>
      <c r="P535" s="78"/>
      <c r="Q535" s="78"/>
      <c r="R535" s="36">
        <f t="shared" si="30"/>
        <v>28348.636155563392</v>
      </c>
      <c r="S535" s="386"/>
      <c r="T535" s="37"/>
      <c r="X535" s="39" t="str">
        <f t="shared" si="32"/>
        <v/>
      </c>
      <c r="Y535" s="42" t="str">
        <f t="shared" si="33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1"/>
        <v/>
      </c>
      <c r="M536" s="78"/>
      <c r="N536" s="78"/>
      <c r="O536" s="78"/>
      <c r="P536" s="78"/>
      <c r="Q536" s="78"/>
      <c r="R536" s="36">
        <f t="shared" si="30"/>
        <v>28348.636155563392</v>
      </c>
      <c r="S536" s="386"/>
      <c r="T536" s="37"/>
      <c r="X536" s="39" t="str">
        <f t="shared" si="32"/>
        <v/>
      </c>
      <c r="Y536" s="42" t="str">
        <f t="shared" si="33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1"/>
        <v/>
      </c>
      <c r="M537" s="78"/>
      <c r="N537" s="78"/>
      <c r="O537" s="78"/>
      <c r="P537" s="78"/>
      <c r="Q537" s="78"/>
      <c r="R537" s="36">
        <f t="shared" si="30"/>
        <v>28348.636155563392</v>
      </c>
      <c r="S537" s="386"/>
      <c r="T537" s="37"/>
      <c r="X537" s="39" t="str">
        <f t="shared" si="32"/>
        <v/>
      </c>
      <c r="Y537" s="42" t="str">
        <f t="shared" si="33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1"/>
        <v/>
      </c>
      <c r="M538" s="78"/>
      <c r="N538" s="78"/>
      <c r="O538" s="78"/>
      <c r="P538" s="78"/>
      <c r="Q538" s="78"/>
      <c r="R538" s="36">
        <f t="shared" si="30"/>
        <v>28348.636155563392</v>
      </c>
      <c r="S538" s="386"/>
      <c r="T538" s="37"/>
      <c r="X538" s="39" t="str">
        <f t="shared" si="32"/>
        <v/>
      </c>
      <c r="Y538" s="42" t="str">
        <f t="shared" si="33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1"/>
        <v/>
      </c>
      <c r="M539" s="78"/>
      <c r="N539" s="78"/>
      <c r="O539" s="78"/>
      <c r="P539" s="78"/>
      <c r="Q539" s="78"/>
      <c r="R539" s="36">
        <f t="shared" si="30"/>
        <v>28348.636155563392</v>
      </c>
      <c r="S539" s="386"/>
      <c r="T539" s="37"/>
      <c r="X539" s="39" t="str">
        <f t="shared" si="32"/>
        <v/>
      </c>
      <c r="Y539" s="42" t="str">
        <f t="shared" si="33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1"/>
        <v/>
      </c>
      <c r="M540" s="78"/>
      <c r="N540" s="78"/>
      <c r="O540" s="78"/>
      <c r="P540" s="78"/>
      <c r="Q540" s="78"/>
      <c r="R540" s="36">
        <f t="shared" si="30"/>
        <v>28348.636155563392</v>
      </c>
      <c r="S540" s="386"/>
      <c r="T540" s="37"/>
      <c r="X540" s="39" t="str">
        <f t="shared" si="32"/>
        <v/>
      </c>
      <c r="Y540" s="42" t="str">
        <f t="shared" si="33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1"/>
        <v/>
      </c>
      <c r="M541" s="78"/>
      <c r="N541" s="78"/>
      <c r="O541" s="78"/>
      <c r="P541" s="78"/>
      <c r="Q541" s="78"/>
      <c r="R541" s="36">
        <f t="shared" si="30"/>
        <v>28348.636155563392</v>
      </c>
      <c r="S541" s="386"/>
      <c r="T541" s="37"/>
      <c r="X541" s="39" t="str">
        <f t="shared" si="32"/>
        <v/>
      </c>
      <c r="Y541" s="42" t="str">
        <f t="shared" si="33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1"/>
        <v/>
      </c>
      <c r="M542" s="78"/>
      <c r="N542" s="78"/>
      <c r="O542" s="78"/>
      <c r="P542" s="78"/>
      <c r="Q542" s="78"/>
      <c r="R542" s="36">
        <f t="shared" si="30"/>
        <v>28348.636155563392</v>
      </c>
      <c r="S542" s="386"/>
      <c r="T542" s="37"/>
      <c r="X542" s="39" t="str">
        <f t="shared" si="32"/>
        <v/>
      </c>
      <c r="Y542" s="42" t="str">
        <f t="shared" si="33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1"/>
        <v/>
      </c>
      <c r="M543" s="78"/>
      <c r="N543" s="78"/>
      <c r="O543" s="78"/>
      <c r="P543" s="78"/>
      <c r="Q543" s="78"/>
      <c r="R543" s="36">
        <f t="shared" si="30"/>
        <v>28348.636155563392</v>
      </c>
      <c r="S543" s="386"/>
      <c r="T543" s="37"/>
      <c r="X543" s="39" t="str">
        <f t="shared" si="32"/>
        <v/>
      </c>
      <c r="Y543" s="42" t="str">
        <f t="shared" si="33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1"/>
        <v/>
      </c>
      <c r="M544" s="78"/>
      <c r="N544" s="78"/>
      <c r="O544" s="78"/>
      <c r="P544" s="78"/>
      <c r="Q544" s="78"/>
      <c r="R544" s="36">
        <f t="shared" si="30"/>
        <v>28348.636155563392</v>
      </c>
      <c r="S544" s="386"/>
      <c r="T544" s="37"/>
      <c r="X544" s="39" t="str">
        <f t="shared" si="32"/>
        <v/>
      </c>
      <c r="Y544" s="42" t="str">
        <f t="shared" si="33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1"/>
        <v/>
      </c>
      <c r="M545" s="78"/>
      <c r="N545" s="78"/>
      <c r="O545" s="78"/>
      <c r="P545" s="78"/>
      <c r="Q545" s="78"/>
      <c r="R545" s="36">
        <f t="shared" si="30"/>
        <v>28348.636155563392</v>
      </c>
      <c r="S545" s="386"/>
      <c r="T545" s="37"/>
      <c r="X545" s="39" t="str">
        <f t="shared" si="32"/>
        <v/>
      </c>
      <c r="Y545" s="42" t="str">
        <f t="shared" si="33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1"/>
        <v/>
      </c>
      <c r="M546" s="78"/>
      <c r="N546" s="78"/>
      <c r="O546" s="78"/>
      <c r="P546" s="78"/>
      <c r="Q546" s="78"/>
      <c r="R546" s="36">
        <f t="shared" ref="R546:R609" si="34">R545*((J546/100)+1)</f>
        <v>28348.636155563392</v>
      </c>
      <c r="S546" s="386"/>
      <c r="T546" s="37"/>
      <c r="X546" s="39" t="str">
        <f t="shared" si="32"/>
        <v/>
      </c>
      <c r="Y546" s="42" t="str">
        <f t="shared" si="33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1"/>
        <v/>
      </c>
      <c r="M547" s="78"/>
      <c r="N547" s="78"/>
      <c r="O547" s="78"/>
      <c r="P547" s="78"/>
      <c r="Q547" s="78"/>
      <c r="R547" s="36">
        <f t="shared" si="34"/>
        <v>28348.636155563392</v>
      </c>
      <c r="S547" s="386"/>
      <c r="T547" s="37"/>
      <c r="X547" s="39" t="str">
        <f t="shared" si="32"/>
        <v/>
      </c>
      <c r="Y547" s="42" t="str">
        <f t="shared" si="33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1"/>
        <v/>
      </c>
      <c r="M548" s="78"/>
      <c r="N548" s="78"/>
      <c r="O548" s="78"/>
      <c r="P548" s="78"/>
      <c r="Q548" s="78"/>
      <c r="R548" s="36">
        <f t="shared" si="34"/>
        <v>28348.636155563392</v>
      </c>
      <c r="S548" s="386"/>
      <c r="T548" s="37"/>
      <c r="X548" s="39" t="str">
        <f t="shared" si="32"/>
        <v/>
      </c>
      <c r="Y548" s="42" t="str">
        <f t="shared" si="33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1"/>
        <v/>
      </c>
      <c r="M549" s="78"/>
      <c r="N549" s="78"/>
      <c r="O549" s="78"/>
      <c r="P549" s="78"/>
      <c r="Q549" s="78"/>
      <c r="R549" s="36">
        <f t="shared" si="34"/>
        <v>28348.636155563392</v>
      </c>
      <c r="S549" s="386"/>
      <c r="T549" s="37"/>
      <c r="X549" s="39" t="str">
        <f t="shared" si="32"/>
        <v/>
      </c>
      <c r="Y549" s="42" t="str">
        <f t="shared" si="33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1"/>
        <v/>
      </c>
      <c r="M550" s="78"/>
      <c r="N550" s="78"/>
      <c r="O550" s="78"/>
      <c r="P550" s="78"/>
      <c r="Q550" s="78"/>
      <c r="R550" s="36">
        <f t="shared" si="34"/>
        <v>28348.636155563392</v>
      </c>
      <c r="S550" s="386"/>
      <c r="T550" s="37"/>
      <c r="X550" s="39" t="str">
        <f t="shared" si="32"/>
        <v/>
      </c>
      <c r="Y550" s="42" t="str">
        <f t="shared" si="33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1"/>
        <v/>
      </c>
      <c r="M551" s="78"/>
      <c r="N551" s="78"/>
      <c r="O551" s="78"/>
      <c r="P551" s="78"/>
      <c r="Q551" s="78"/>
      <c r="R551" s="36">
        <f t="shared" si="34"/>
        <v>28348.636155563392</v>
      </c>
      <c r="S551" s="386"/>
      <c r="T551" s="37"/>
      <c r="X551" s="39" t="str">
        <f t="shared" si="32"/>
        <v/>
      </c>
      <c r="Y551" s="42" t="str">
        <f t="shared" si="33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1"/>
        <v/>
      </c>
      <c r="M552" s="78"/>
      <c r="N552" s="78"/>
      <c r="O552" s="78"/>
      <c r="P552" s="78"/>
      <c r="Q552" s="78"/>
      <c r="R552" s="36">
        <f t="shared" si="34"/>
        <v>28348.636155563392</v>
      </c>
      <c r="S552" s="386"/>
      <c r="T552" s="37"/>
      <c r="X552" s="39" t="str">
        <f t="shared" si="32"/>
        <v/>
      </c>
      <c r="Y552" s="42" t="str">
        <f t="shared" si="33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1"/>
        <v/>
      </c>
      <c r="M553" s="78"/>
      <c r="N553" s="78"/>
      <c r="O553" s="78"/>
      <c r="P553" s="78"/>
      <c r="Q553" s="78"/>
      <c r="R553" s="36">
        <f t="shared" si="34"/>
        <v>28348.636155563392</v>
      </c>
      <c r="S553" s="386"/>
      <c r="T553" s="37"/>
      <c r="X553" s="39" t="str">
        <f t="shared" si="32"/>
        <v/>
      </c>
      <c r="Y553" s="42" t="str">
        <f t="shared" si="33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1"/>
        <v/>
      </c>
      <c r="M554" s="78"/>
      <c r="N554" s="78"/>
      <c r="O554" s="78"/>
      <c r="P554" s="78"/>
      <c r="Q554" s="78"/>
      <c r="R554" s="36">
        <f t="shared" si="34"/>
        <v>28348.636155563392</v>
      </c>
      <c r="S554" s="386"/>
      <c r="T554" s="37"/>
      <c r="X554" s="39" t="str">
        <f t="shared" si="32"/>
        <v/>
      </c>
      <c r="Y554" s="42" t="str">
        <f t="shared" si="33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1"/>
        <v/>
      </c>
      <c r="M555" s="78"/>
      <c r="N555" s="78"/>
      <c r="O555" s="78"/>
      <c r="P555" s="78"/>
      <c r="Q555" s="78"/>
      <c r="R555" s="36">
        <f t="shared" si="34"/>
        <v>28348.636155563392</v>
      </c>
      <c r="S555" s="386"/>
      <c r="T555" s="37"/>
      <c r="X555" s="39" t="str">
        <f t="shared" si="32"/>
        <v/>
      </c>
      <c r="Y555" s="42" t="str">
        <f t="shared" si="33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1"/>
        <v/>
      </c>
      <c r="M556" s="78"/>
      <c r="N556" s="78"/>
      <c r="O556" s="78"/>
      <c r="P556" s="78"/>
      <c r="Q556" s="78"/>
      <c r="R556" s="36">
        <f t="shared" si="34"/>
        <v>28348.636155563392</v>
      </c>
      <c r="S556" s="386"/>
      <c r="T556" s="37"/>
      <c r="X556" s="39" t="str">
        <f t="shared" si="32"/>
        <v/>
      </c>
      <c r="Y556" s="42" t="str">
        <f t="shared" si="33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5">IF(B557="Compra",F557*G557,"")</f>
        <v/>
      </c>
      <c r="M557" s="78"/>
      <c r="N557" s="78"/>
      <c r="O557" s="78"/>
      <c r="P557" s="78"/>
      <c r="Q557" s="78"/>
      <c r="R557" s="36">
        <f t="shared" si="34"/>
        <v>28348.636155563392</v>
      </c>
      <c r="S557" s="386"/>
      <c r="T557" s="37"/>
      <c r="X557" s="39" t="str">
        <f t="shared" si="32"/>
        <v/>
      </c>
      <c r="Y557" s="42" t="str">
        <f t="shared" si="33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5"/>
        <v/>
      </c>
      <c r="M558" s="78"/>
      <c r="N558" s="78"/>
      <c r="O558" s="78"/>
      <c r="P558" s="78"/>
      <c r="Q558" s="78"/>
      <c r="R558" s="36">
        <f t="shared" si="34"/>
        <v>28348.636155563392</v>
      </c>
      <c r="S558" s="386"/>
      <c r="T558" s="37"/>
      <c r="X558" s="39" t="str">
        <f t="shared" si="32"/>
        <v/>
      </c>
      <c r="Y558" s="42" t="str">
        <f t="shared" si="33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5"/>
        <v/>
      </c>
      <c r="M559" s="78"/>
      <c r="N559" s="78"/>
      <c r="O559" s="78"/>
      <c r="P559" s="78"/>
      <c r="Q559" s="78"/>
      <c r="R559" s="36">
        <f t="shared" si="34"/>
        <v>28348.636155563392</v>
      </c>
      <c r="S559" s="386"/>
      <c r="T559" s="37"/>
      <c r="X559" s="39" t="str">
        <f t="shared" si="32"/>
        <v/>
      </c>
      <c r="Y559" s="42" t="str">
        <f t="shared" si="33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5"/>
        <v/>
      </c>
      <c r="M560" s="78"/>
      <c r="N560" s="78"/>
      <c r="O560" s="78"/>
      <c r="P560" s="78"/>
      <c r="Q560" s="78"/>
      <c r="R560" s="36">
        <f t="shared" si="34"/>
        <v>28348.636155563392</v>
      </c>
      <c r="S560" s="386"/>
      <c r="T560" s="37"/>
      <c r="X560" s="39" t="str">
        <f t="shared" si="32"/>
        <v/>
      </c>
      <c r="Y560" s="42" t="str">
        <f t="shared" si="33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5"/>
        <v/>
      </c>
      <c r="M561" s="78"/>
      <c r="N561" s="78"/>
      <c r="O561" s="78"/>
      <c r="P561" s="78"/>
      <c r="Q561" s="78"/>
      <c r="R561" s="36">
        <f t="shared" si="34"/>
        <v>28348.636155563392</v>
      </c>
      <c r="S561" s="386"/>
      <c r="T561" s="37"/>
      <c r="X561" s="39" t="str">
        <f t="shared" si="32"/>
        <v/>
      </c>
      <c r="Y561" s="42" t="str">
        <f t="shared" si="33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5"/>
        <v/>
      </c>
      <c r="M562" s="78"/>
      <c r="N562" s="78"/>
      <c r="O562" s="78"/>
      <c r="P562" s="78"/>
      <c r="Q562" s="78"/>
      <c r="R562" s="36">
        <f t="shared" si="34"/>
        <v>28348.636155563392</v>
      </c>
      <c r="S562" s="386"/>
      <c r="T562" s="37"/>
      <c r="X562" s="39" t="str">
        <f t="shared" si="32"/>
        <v/>
      </c>
      <c r="Y562" s="42" t="str">
        <f t="shared" si="33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5"/>
        <v/>
      </c>
      <c r="M563" s="78"/>
      <c r="N563" s="78"/>
      <c r="O563" s="78"/>
      <c r="P563" s="78"/>
      <c r="Q563" s="78"/>
      <c r="R563" s="36">
        <f t="shared" si="34"/>
        <v>28348.636155563392</v>
      </c>
      <c r="S563" s="386"/>
      <c r="T563" s="37"/>
      <c r="X563" s="39" t="str">
        <f t="shared" si="32"/>
        <v/>
      </c>
      <c r="Y563" s="42" t="str">
        <f t="shared" si="33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5"/>
        <v/>
      </c>
      <c r="M564" s="78"/>
      <c r="N564" s="78"/>
      <c r="O564" s="78"/>
      <c r="P564" s="78"/>
      <c r="Q564" s="78"/>
      <c r="R564" s="36">
        <f t="shared" si="34"/>
        <v>28348.636155563392</v>
      </c>
      <c r="S564" s="386"/>
      <c r="T564" s="37"/>
      <c r="X564" s="39" t="str">
        <f t="shared" si="32"/>
        <v/>
      </c>
      <c r="Y564" s="42" t="str">
        <f t="shared" si="33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5"/>
        <v/>
      </c>
      <c r="M565" s="78"/>
      <c r="N565" s="78"/>
      <c r="O565" s="78"/>
      <c r="P565" s="78"/>
      <c r="Q565" s="78"/>
      <c r="R565" s="36">
        <f t="shared" si="34"/>
        <v>28348.636155563392</v>
      </c>
      <c r="S565" s="386"/>
      <c r="T565" s="37"/>
      <c r="X565" s="39" t="str">
        <f t="shared" si="32"/>
        <v/>
      </c>
      <c r="Y565" s="42" t="str">
        <f t="shared" si="33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5"/>
        <v/>
      </c>
      <c r="M566" s="78"/>
      <c r="N566" s="78"/>
      <c r="O566" s="78"/>
      <c r="P566" s="78"/>
      <c r="Q566" s="78"/>
      <c r="R566" s="36">
        <f t="shared" si="34"/>
        <v>28348.636155563392</v>
      </c>
      <c r="S566" s="386"/>
      <c r="T566" s="37"/>
      <c r="X566" s="39" t="str">
        <f t="shared" ref="X566:X629" si="36">IF(I681&lt;&gt;0,I681,"")</f>
        <v/>
      </c>
      <c r="Y566" s="42" t="str">
        <f t="shared" ref="Y566:Y629" si="37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5"/>
        <v/>
      </c>
      <c r="M567" s="78"/>
      <c r="N567" s="78"/>
      <c r="O567" s="78"/>
      <c r="P567" s="78"/>
      <c r="Q567" s="78"/>
      <c r="R567" s="36">
        <f t="shared" si="34"/>
        <v>28348.636155563392</v>
      </c>
      <c r="S567" s="386"/>
      <c r="T567" s="37"/>
      <c r="X567" s="39" t="str">
        <f t="shared" si="36"/>
        <v/>
      </c>
      <c r="Y567" s="42" t="str">
        <f t="shared" si="37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5"/>
        <v/>
      </c>
      <c r="M568" s="78"/>
      <c r="N568" s="78"/>
      <c r="O568" s="78"/>
      <c r="P568" s="78"/>
      <c r="Q568" s="78"/>
      <c r="R568" s="36">
        <f t="shared" si="34"/>
        <v>28348.636155563392</v>
      </c>
      <c r="S568" s="386"/>
      <c r="T568" s="37"/>
      <c r="X568" s="39" t="str">
        <f t="shared" si="36"/>
        <v/>
      </c>
      <c r="Y568" s="42" t="str">
        <f t="shared" si="37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5"/>
        <v/>
      </c>
      <c r="M569" s="78"/>
      <c r="N569" s="78"/>
      <c r="O569" s="78"/>
      <c r="P569" s="78"/>
      <c r="Q569" s="78"/>
      <c r="R569" s="36">
        <f t="shared" si="34"/>
        <v>28348.636155563392</v>
      </c>
      <c r="S569" s="386"/>
      <c r="T569" s="37"/>
      <c r="X569" s="39" t="str">
        <f t="shared" si="36"/>
        <v/>
      </c>
      <c r="Y569" s="42" t="str">
        <f t="shared" si="37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5"/>
        <v/>
      </c>
      <c r="M570" s="78"/>
      <c r="N570" s="78"/>
      <c r="O570" s="78"/>
      <c r="P570" s="78"/>
      <c r="Q570" s="78"/>
      <c r="R570" s="36">
        <f t="shared" si="34"/>
        <v>28348.636155563392</v>
      </c>
      <c r="S570" s="386"/>
      <c r="T570" s="37"/>
      <c r="X570" s="39" t="str">
        <f t="shared" si="36"/>
        <v/>
      </c>
      <c r="Y570" s="42" t="str">
        <f t="shared" si="37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5"/>
        <v/>
      </c>
      <c r="M571" s="78"/>
      <c r="N571" s="78"/>
      <c r="O571" s="78"/>
      <c r="P571" s="78"/>
      <c r="Q571" s="78"/>
      <c r="R571" s="36">
        <f t="shared" si="34"/>
        <v>28348.636155563392</v>
      </c>
      <c r="S571" s="386"/>
      <c r="T571" s="37"/>
      <c r="X571" s="39" t="str">
        <f t="shared" si="36"/>
        <v/>
      </c>
      <c r="Y571" s="42" t="str">
        <f t="shared" si="37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5"/>
        <v/>
      </c>
      <c r="M572" s="78"/>
      <c r="N572" s="78"/>
      <c r="O572" s="78"/>
      <c r="P572" s="78"/>
      <c r="Q572" s="78"/>
      <c r="R572" s="36">
        <f t="shared" si="34"/>
        <v>28348.636155563392</v>
      </c>
      <c r="S572" s="386"/>
      <c r="T572" s="37"/>
      <c r="X572" s="39" t="str">
        <f t="shared" si="36"/>
        <v/>
      </c>
      <c r="Y572" s="42" t="str">
        <f t="shared" si="37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5"/>
        <v/>
      </c>
      <c r="M573" s="78"/>
      <c r="N573" s="78"/>
      <c r="O573" s="78"/>
      <c r="P573" s="78"/>
      <c r="Q573" s="78"/>
      <c r="R573" s="36">
        <f t="shared" si="34"/>
        <v>28348.636155563392</v>
      </c>
      <c r="S573" s="386"/>
      <c r="T573" s="37"/>
      <c r="X573" s="39" t="str">
        <f t="shared" si="36"/>
        <v/>
      </c>
      <c r="Y573" s="42" t="str">
        <f t="shared" si="37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5"/>
        <v/>
      </c>
      <c r="M574" s="78"/>
      <c r="N574" s="78"/>
      <c r="O574" s="78"/>
      <c r="P574" s="78"/>
      <c r="Q574" s="78"/>
      <c r="R574" s="36">
        <f t="shared" si="34"/>
        <v>28348.636155563392</v>
      </c>
      <c r="S574" s="386"/>
      <c r="T574" s="37"/>
      <c r="X574" s="39" t="str">
        <f t="shared" si="36"/>
        <v/>
      </c>
      <c r="Y574" s="42" t="str">
        <f t="shared" si="37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5"/>
        <v/>
      </c>
      <c r="M575" s="78"/>
      <c r="N575" s="78"/>
      <c r="O575" s="78"/>
      <c r="P575" s="78"/>
      <c r="Q575" s="78"/>
      <c r="R575" s="36">
        <f t="shared" si="34"/>
        <v>28348.636155563392</v>
      </c>
      <c r="S575" s="386"/>
      <c r="T575" s="37"/>
      <c r="X575" s="39" t="str">
        <f t="shared" si="36"/>
        <v/>
      </c>
      <c r="Y575" s="42" t="str">
        <f t="shared" si="37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5"/>
        <v/>
      </c>
      <c r="M576" s="78"/>
      <c r="N576" s="78"/>
      <c r="O576" s="78"/>
      <c r="P576" s="78"/>
      <c r="Q576" s="78"/>
      <c r="R576" s="36">
        <f t="shared" si="34"/>
        <v>28348.636155563392</v>
      </c>
      <c r="S576" s="386"/>
      <c r="T576" s="37"/>
      <c r="X576" s="39" t="str">
        <f t="shared" si="36"/>
        <v/>
      </c>
      <c r="Y576" s="42" t="str">
        <f t="shared" si="37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5"/>
        <v/>
      </c>
      <c r="M577" s="78"/>
      <c r="N577" s="78"/>
      <c r="O577" s="78"/>
      <c r="P577" s="78"/>
      <c r="Q577" s="78"/>
      <c r="R577" s="36">
        <f t="shared" si="34"/>
        <v>28348.636155563392</v>
      </c>
      <c r="S577" s="386"/>
      <c r="T577" s="37"/>
      <c r="X577" s="39" t="str">
        <f t="shared" si="36"/>
        <v/>
      </c>
      <c r="Y577" s="42" t="str">
        <f t="shared" si="37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5"/>
        <v/>
      </c>
      <c r="M578" s="78"/>
      <c r="N578" s="78"/>
      <c r="O578" s="78"/>
      <c r="P578" s="78"/>
      <c r="Q578" s="78"/>
      <c r="R578" s="36">
        <f t="shared" si="34"/>
        <v>28348.636155563392</v>
      </c>
      <c r="S578" s="386"/>
      <c r="T578" s="37"/>
      <c r="X578" s="39" t="str">
        <f t="shared" si="36"/>
        <v/>
      </c>
      <c r="Y578" s="42" t="str">
        <f t="shared" si="37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5"/>
        <v/>
      </c>
      <c r="M579" s="78"/>
      <c r="N579" s="78"/>
      <c r="O579" s="78"/>
      <c r="P579" s="78"/>
      <c r="Q579" s="78"/>
      <c r="R579" s="36">
        <f t="shared" si="34"/>
        <v>28348.636155563392</v>
      </c>
      <c r="S579" s="386"/>
      <c r="T579" s="37"/>
      <c r="X579" s="39" t="str">
        <f t="shared" si="36"/>
        <v/>
      </c>
      <c r="Y579" s="42" t="str">
        <f t="shared" si="37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5"/>
        <v/>
      </c>
      <c r="M580" s="78"/>
      <c r="N580" s="78"/>
      <c r="O580" s="78"/>
      <c r="P580" s="78"/>
      <c r="Q580" s="78"/>
      <c r="R580" s="36">
        <f t="shared" si="34"/>
        <v>28348.636155563392</v>
      </c>
      <c r="S580" s="386"/>
      <c r="T580" s="37"/>
      <c r="X580" s="39" t="str">
        <f t="shared" si="36"/>
        <v/>
      </c>
      <c r="Y580" s="42" t="str">
        <f t="shared" si="37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5"/>
        <v/>
      </c>
      <c r="M581" s="78"/>
      <c r="N581" s="78"/>
      <c r="O581" s="78"/>
      <c r="P581" s="78"/>
      <c r="Q581" s="78"/>
      <c r="R581" s="36">
        <f t="shared" si="34"/>
        <v>28348.636155563392</v>
      </c>
      <c r="S581" s="386"/>
      <c r="T581" s="37"/>
      <c r="X581" s="39" t="str">
        <f t="shared" si="36"/>
        <v/>
      </c>
      <c r="Y581" s="42" t="str">
        <f t="shared" si="37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5"/>
        <v/>
      </c>
      <c r="M582" s="78"/>
      <c r="N582" s="78"/>
      <c r="O582" s="78"/>
      <c r="P582" s="78"/>
      <c r="Q582" s="78"/>
      <c r="R582" s="36">
        <f t="shared" si="34"/>
        <v>28348.636155563392</v>
      </c>
      <c r="S582" s="386"/>
      <c r="T582" s="37"/>
      <c r="X582" s="39" t="str">
        <f t="shared" si="36"/>
        <v/>
      </c>
      <c r="Y582" s="42" t="str">
        <f t="shared" si="37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5"/>
        <v/>
      </c>
      <c r="M583" s="78"/>
      <c r="N583" s="78"/>
      <c r="O583" s="78"/>
      <c r="P583" s="78"/>
      <c r="Q583" s="78"/>
      <c r="R583" s="36">
        <f t="shared" si="34"/>
        <v>28348.636155563392</v>
      </c>
      <c r="S583" s="386"/>
      <c r="T583" s="37"/>
      <c r="X583" s="39" t="str">
        <f t="shared" si="36"/>
        <v/>
      </c>
      <c r="Y583" s="42" t="str">
        <f t="shared" si="37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5"/>
        <v/>
      </c>
      <c r="M584" s="78"/>
      <c r="N584" s="78"/>
      <c r="O584" s="78"/>
      <c r="P584" s="78"/>
      <c r="Q584" s="78"/>
      <c r="R584" s="36">
        <f t="shared" si="34"/>
        <v>28348.636155563392</v>
      </c>
      <c r="S584" s="386"/>
      <c r="T584" s="37"/>
      <c r="X584" s="39" t="str">
        <f t="shared" si="36"/>
        <v/>
      </c>
      <c r="Y584" s="42" t="str">
        <f t="shared" si="37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5"/>
        <v/>
      </c>
      <c r="M585" s="78"/>
      <c r="N585" s="78"/>
      <c r="O585" s="78"/>
      <c r="P585" s="78"/>
      <c r="Q585" s="78"/>
      <c r="R585" s="36">
        <f t="shared" si="34"/>
        <v>28348.636155563392</v>
      </c>
      <c r="S585" s="386"/>
      <c r="T585" s="37"/>
      <c r="X585" s="39" t="str">
        <f t="shared" si="36"/>
        <v/>
      </c>
      <c r="Y585" s="42" t="str">
        <f t="shared" si="37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5"/>
        <v/>
      </c>
      <c r="M586" s="78"/>
      <c r="N586" s="78"/>
      <c r="O586" s="78"/>
      <c r="P586" s="78"/>
      <c r="Q586" s="78"/>
      <c r="R586" s="36">
        <f t="shared" si="34"/>
        <v>28348.636155563392</v>
      </c>
      <c r="S586" s="386"/>
      <c r="T586" s="37"/>
      <c r="X586" s="39" t="str">
        <f t="shared" si="36"/>
        <v/>
      </c>
      <c r="Y586" s="42" t="str">
        <f t="shared" si="37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5"/>
        <v/>
      </c>
      <c r="M587" s="78"/>
      <c r="N587" s="78"/>
      <c r="O587" s="78"/>
      <c r="P587" s="78"/>
      <c r="Q587" s="78"/>
      <c r="R587" s="36">
        <f t="shared" si="34"/>
        <v>28348.636155563392</v>
      </c>
      <c r="S587" s="386"/>
      <c r="T587" s="37"/>
      <c r="X587" s="39" t="str">
        <f t="shared" si="36"/>
        <v/>
      </c>
      <c r="Y587" s="42" t="str">
        <f t="shared" si="37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5"/>
        <v/>
      </c>
      <c r="M588" s="78"/>
      <c r="N588" s="78"/>
      <c r="O588" s="78"/>
      <c r="P588" s="78"/>
      <c r="Q588" s="78"/>
      <c r="R588" s="36">
        <f t="shared" si="34"/>
        <v>28348.636155563392</v>
      </c>
      <c r="S588" s="386"/>
      <c r="T588" s="37"/>
      <c r="X588" s="39" t="str">
        <f t="shared" si="36"/>
        <v/>
      </c>
      <c r="Y588" s="42" t="str">
        <f t="shared" si="37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5"/>
        <v/>
      </c>
      <c r="M589" s="78"/>
      <c r="N589" s="78"/>
      <c r="O589" s="78"/>
      <c r="P589" s="78"/>
      <c r="Q589" s="78"/>
      <c r="R589" s="36">
        <f t="shared" si="34"/>
        <v>28348.636155563392</v>
      </c>
      <c r="S589" s="386"/>
      <c r="T589" s="37"/>
      <c r="X589" s="39" t="str">
        <f t="shared" si="36"/>
        <v/>
      </c>
      <c r="Y589" s="42" t="str">
        <f t="shared" si="37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5"/>
        <v/>
      </c>
      <c r="M590" s="78"/>
      <c r="N590" s="78"/>
      <c r="O590" s="78"/>
      <c r="P590" s="78"/>
      <c r="Q590" s="78"/>
      <c r="R590" s="36">
        <f t="shared" si="34"/>
        <v>28348.636155563392</v>
      </c>
      <c r="S590" s="386"/>
      <c r="T590" s="37"/>
      <c r="X590" s="39" t="str">
        <f t="shared" si="36"/>
        <v/>
      </c>
      <c r="Y590" s="42" t="str">
        <f t="shared" si="37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5"/>
        <v/>
      </c>
      <c r="M591" s="78"/>
      <c r="N591" s="78"/>
      <c r="O591" s="78"/>
      <c r="P591" s="78"/>
      <c r="Q591" s="78"/>
      <c r="R591" s="36">
        <f t="shared" si="34"/>
        <v>28348.636155563392</v>
      </c>
      <c r="S591" s="386"/>
      <c r="T591" s="37"/>
      <c r="X591" s="39" t="str">
        <f t="shared" si="36"/>
        <v/>
      </c>
      <c r="Y591" s="42" t="str">
        <f t="shared" si="37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5"/>
        <v/>
      </c>
      <c r="M592" s="78"/>
      <c r="N592" s="78"/>
      <c r="O592" s="78"/>
      <c r="P592" s="78"/>
      <c r="Q592" s="78"/>
      <c r="R592" s="36">
        <f t="shared" si="34"/>
        <v>28348.636155563392</v>
      </c>
      <c r="S592" s="386"/>
      <c r="T592" s="37"/>
      <c r="X592" s="39" t="str">
        <f t="shared" si="36"/>
        <v/>
      </c>
      <c r="Y592" s="42" t="str">
        <f t="shared" si="37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5"/>
        <v/>
      </c>
      <c r="M593" s="78"/>
      <c r="N593" s="78"/>
      <c r="O593" s="78"/>
      <c r="P593" s="78"/>
      <c r="Q593" s="78"/>
      <c r="R593" s="36">
        <f t="shared" si="34"/>
        <v>28348.636155563392</v>
      </c>
      <c r="S593" s="386"/>
      <c r="T593" s="37"/>
      <c r="X593" s="39" t="str">
        <f t="shared" si="36"/>
        <v/>
      </c>
      <c r="Y593" s="42" t="str">
        <f t="shared" si="37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5"/>
        <v/>
      </c>
      <c r="M594" s="78"/>
      <c r="N594" s="78"/>
      <c r="O594" s="78"/>
      <c r="P594" s="78"/>
      <c r="Q594" s="78"/>
      <c r="R594" s="36">
        <f t="shared" si="34"/>
        <v>28348.636155563392</v>
      </c>
      <c r="S594" s="386"/>
      <c r="T594" s="37"/>
      <c r="X594" s="39" t="str">
        <f t="shared" si="36"/>
        <v/>
      </c>
      <c r="Y594" s="42" t="str">
        <f t="shared" si="37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5"/>
        <v/>
      </c>
      <c r="M595" s="78"/>
      <c r="N595" s="78"/>
      <c r="O595" s="78"/>
      <c r="P595" s="78"/>
      <c r="Q595" s="78"/>
      <c r="R595" s="36">
        <f t="shared" si="34"/>
        <v>28348.636155563392</v>
      </c>
      <c r="S595" s="386"/>
      <c r="T595" s="37"/>
      <c r="X595" s="39" t="str">
        <f t="shared" si="36"/>
        <v/>
      </c>
      <c r="Y595" s="42" t="str">
        <f t="shared" si="37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5"/>
        <v/>
      </c>
      <c r="M596" s="78"/>
      <c r="N596" s="78"/>
      <c r="O596" s="78"/>
      <c r="P596" s="78"/>
      <c r="Q596" s="78"/>
      <c r="R596" s="36">
        <f t="shared" si="34"/>
        <v>28348.636155563392</v>
      </c>
      <c r="S596" s="386"/>
      <c r="T596" s="37"/>
      <c r="X596" s="39" t="str">
        <f t="shared" si="36"/>
        <v/>
      </c>
      <c r="Y596" s="42" t="str">
        <f t="shared" si="37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5"/>
        <v/>
      </c>
      <c r="M597" s="78"/>
      <c r="N597" s="78"/>
      <c r="O597" s="78"/>
      <c r="P597" s="78"/>
      <c r="Q597" s="78"/>
      <c r="R597" s="36">
        <f t="shared" si="34"/>
        <v>28348.636155563392</v>
      </c>
      <c r="S597" s="386"/>
      <c r="T597" s="37"/>
      <c r="X597" s="39" t="str">
        <f t="shared" si="36"/>
        <v/>
      </c>
      <c r="Y597" s="42" t="str">
        <f t="shared" si="37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5"/>
        <v/>
      </c>
      <c r="M598" s="78"/>
      <c r="N598" s="78"/>
      <c r="O598" s="78"/>
      <c r="P598" s="78"/>
      <c r="Q598" s="78"/>
      <c r="R598" s="36">
        <f t="shared" si="34"/>
        <v>28348.636155563392</v>
      </c>
      <c r="S598" s="386"/>
      <c r="T598" s="37"/>
      <c r="X598" s="39" t="str">
        <f t="shared" si="36"/>
        <v/>
      </c>
      <c r="Y598" s="42" t="str">
        <f t="shared" si="37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5"/>
        <v/>
      </c>
      <c r="M599" s="78"/>
      <c r="N599" s="78"/>
      <c r="O599" s="78"/>
      <c r="P599" s="78"/>
      <c r="Q599" s="78"/>
      <c r="R599" s="36">
        <f t="shared" si="34"/>
        <v>28348.636155563392</v>
      </c>
      <c r="S599" s="386"/>
      <c r="T599" s="37"/>
      <c r="X599" s="39" t="str">
        <f t="shared" si="36"/>
        <v/>
      </c>
      <c r="Y599" s="42" t="str">
        <f t="shared" si="37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5"/>
        <v/>
      </c>
      <c r="M600" s="78"/>
      <c r="N600" s="78"/>
      <c r="O600" s="78"/>
      <c r="P600" s="78"/>
      <c r="Q600" s="78"/>
      <c r="R600" s="36">
        <f t="shared" si="34"/>
        <v>28348.636155563392</v>
      </c>
      <c r="S600" s="386"/>
      <c r="T600" s="37"/>
      <c r="X600" s="39" t="str">
        <f t="shared" si="36"/>
        <v/>
      </c>
      <c r="Y600" s="42" t="str">
        <f t="shared" si="37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5"/>
        <v/>
      </c>
      <c r="M601" s="78"/>
      <c r="N601" s="78"/>
      <c r="O601" s="78"/>
      <c r="P601" s="78"/>
      <c r="Q601" s="78"/>
      <c r="R601" s="36">
        <f t="shared" si="34"/>
        <v>28348.636155563392</v>
      </c>
      <c r="S601" s="386"/>
      <c r="T601" s="37"/>
      <c r="X601" s="39" t="str">
        <f t="shared" si="36"/>
        <v/>
      </c>
      <c r="Y601" s="42" t="str">
        <f t="shared" si="37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5"/>
        <v/>
      </c>
      <c r="M602" s="78"/>
      <c r="N602" s="78"/>
      <c r="O602" s="78"/>
      <c r="P602" s="78"/>
      <c r="Q602" s="78"/>
      <c r="R602" s="36">
        <f t="shared" si="34"/>
        <v>28348.636155563392</v>
      </c>
      <c r="S602" s="386"/>
      <c r="T602" s="37"/>
      <c r="X602" s="39" t="str">
        <f t="shared" si="36"/>
        <v/>
      </c>
      <c r="Y602" s="42" t="str">
        <f t="shared" si="37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5"/>
        <v/>
      </c>
      <c r="M603" s="78"/>
      <c r="N603" s="78"/>
      <c r="O603" s="78"/>
      <c r="P603" s="78"/>
      <c r="Q603" s="78"/>
      <c r="R603" s="36">
        <f t="shared" si="34"/>
        <v>28348.636155563392</v>
      </c>
      <c r="S603" s="386"/>
      <c r="T603" s="37"/>
      <c r="X603" s="39" t="str">
        <f t="shared" si="36"/>
        <v/>
      </c>
      <c r="Y603" s="42" t="str">
        <f t="shared" si="37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5"/>
        <v/>
      </c>
      <c r="M604" s="78"/>
      <c r="N604" s="78"/>
      <c r="O604" s="78"/>
      <c r="P604" s="78"/>
      <c r="Q604" s="78"/>
      <c r="R604" s="36">
        <f t="shared" si="34"/>
        <v>28348.636155563392</v>
      </c>
      <c r="S604" s="386"/>
      <c r="T604" s="37"/>
      <c r="X604" s="39" t="str">
        <f t="shared" si="36"/>
        <v/>
      </c>
      <c r="Y604" s="42" t="str">
        <f t="shared" si="37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5"/>
        <v/>
      </c>
      <c r="M605" s="78"/>
      <c r="N605" s="78"/>
      <c r="O605" s="78"/>
      <c r="P605" s="78"/>
      <c r="Q605" s="78"/>
      <c r="R605" s="36">
        <f t="shared" si="34"/>
        <v>28348.636155563392</v>
      </c>
      <c r="S605" s="386"/>
      <c r="T605" s="37"/>
      <c r="X605" s="39" t="str">
        <f t="shared" si="36"/>
        <v/>
      </c>
      <c r="Y605" s="42" t="str">
        <f t="shared" si="37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5"/>
        <v/>
      </c>
      <c r="M606" s="78"/>
      <c r="N606" s="78"/>
      <c r="O606" s="78"/>
      <c r="P606" s="78"/>
      <c r="Q606" s="78"/>
      <c r="R606" s="36">
        <f t="shared" si="34"/>
        <v>28348.636155563392</v>
      </c>
      <c r="S606" s="386"/>
      <c r="T606" s="37"/>
      <c r="X606" s="39" t="str">
        <f t="shared" si="36"/>
        <v/>
      </c>
      <c r="Y606" s="42" t="str">
        <f t="shared" si="37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5"/>
        <v/>
      </c>
      <c r="M607" s="78"/>
      <c r="N607" s="78"/>
      <c r="O607" s="78"/>
      <c r="P607" s="78"/>
      <c r="Q607" s="78"/>
      <c r="R607" s="36">
        <f t="shared" si="34"/>
        <v>28348.636155563392</v>
      </c>
      <c r="S607" s="386"/>
      <c r="T607" s="37"/>
      <c r="X607" s="39" t="str">
        <f t="shared" si="36"/>
        <v/>
      </c>
      <c r="Y607" s="42" t="str">
        <f t="shared" si="37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5"/>
        <v/>
      </c>
      <c r="M608" s="78"/>
      <c r="N608" s="78"/>
      <c r="O608" s="78"/>
      <c r="P608" s="78"/>
      <c r="Q608" s="78"/>
      <c r="R608" s="36">
        <f t="shared" si="34"/>
        <v>28348.636155563392</v>
      </c>
      <c r="S608" s="386"/>
      <c r="T608" s="37"/>
      <c r="X608" s="39" t="str">
        <f t="shared" si="36"/>
        <v/>
      </c>
      <c r="Y608" s="42" t="str">
        <f t="shared" si="37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5"/>
        <v/>
      </c>
      <c r="M609" s="78"/>
      <c r="N609" s="78"/>
      <c r="O609" s="78"/>
      <c r="P609" s="78"/>
      <c r="Q609" s="78"/>
      <c r="R609" s="36">
        <f t="shared" si="34"/>
        <v>28348.636155563392</v>
      </c>
      <c r="S609" s="386"/>
      <c r="T609" s="37"/>
      <c r="X609" s="39" t="str">
        <f t="shared" si="36"/>
        <v/>
      </c>
      <c r="Y609" s="42" t="str">
        <f t="shared" si="37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5"/>
        <v/>
      </c>
      <c r="M610" s="78"/>
      <c r="N610" s="78"/>
      <c r="O610" s="78"/>
      <c r="P610" s="78"/>
      <c r="Q610" s="78"/>
      <c r="R610" s="36">
        <f t="shared" ref="R610:R673" si="38">R609*((J610/100)+1)</f>
        <v>28348.636155563392</v>
      </c>
      <c r="S610" s="386"/>
      <c r="T610" s="37"/>
      <c r="X610" s="39" t="str">
        <f t="shared" si="36"/>
        <v/>
      </c>
      <c r="Y610" s="42" t="str">
        <f t="shared" si="37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5"/>
        <v/>
      </c>
      <c r="M611" s="78"/>
      <c r="N611" s="78"/>
      <c r="O611" s="78"/>
      <c r="P611" s="78"/>
      <c r="Q611" s="78"/>
      <c r="R611" s="36">
        <f t="shared" si="38"/>
        <v>28348.636155563392</v>
      </c>
      <c r="S611" s="386"/>
      <c r="T611" s="37"/>
      <c r="X611" s="39" t="str">
        <f t="shared" si="36"/>
        <v/>
      </c>
      <c r="Y611" s="42" t="str">
        <f t="shared" si="37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5"/>
        <v/>
      </c>
      <c r="M612" s="78"/>
      <c r="N612" s="78"/>
      <c r="O612" s="78"/>
      <c r="P612" s="78"/>
      <c r="Q612" s="78"/>
      <c r="R612" s="36">
        <f t="shared" si="38"/>
        <v>28348.636155563392</v>
      </c>
      <c r="S612" s="386"/>
      <c r="T612" s="37"/>
      <c r="X612" s="39" t="str">
        <f t="shared" si="36"/>
        <v/>
      </c>
      <c r="Y612" s="42" t="str">
        <f t="shared" si="37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5"/>
        <v/>
      </c>
      <c r="M613" s="78"/>
      <c r="N613" s="78"/>
      <c r="O613" s="78"/>
      <c r="P613" s="78"/>
      <c r="Q613" s="78"/>
      <c r="R613" s="36">
        <f t="shared" si="38"/>
        <v>28348.636155563392</v>
      </c>
      <c r="S613" s="386"/>
      <c r="T613" s="37"/>
      <c r="X613" s="39" t="str">
        <f t="shared" si="36"/>
        <v/>
      </c>
      <c r="Y613" s="42" t="str">
        <f t="shared" si="37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5"/>
        <v/>
      </c>
      <c r="M614" s="78"/>
      <c r="N614" s="78"/>
      <c r="O614" s="78"/>
      <c r="P614" s="78"/>
      <c r="Q614" s="78"/>
      <c r="R614" s="36">
        <f t="shared" si="38"/>
        <v>28348.636155563392</v>
      </c>
      <c r="S614" s="386"/>
      <c r="T614" s="37"/>
      <c r="X614" s="39" t="str">
        <f t="shared" si="36"/>
        <v/>
      </c>
      <c r="Y614" s="42" t="str">
        <f t="shared" si="37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5"/>
        <v/>
      </c>
      <c r="M615" s="78"/>
      <c r="N615" s="78"/>
      <c r="O615" s="78"/>
      <c r="P615" s="78"/>
      <c r="Q615" s="78"/>
      <c r="R615" s="36">
        <f t="shared" si="38"/>
        <v>28348.636155563392</v>
      </c>
      <c r="S615" s="386"/>
      <c r="T615" s="37"/>
      <c r="X615" s="39" t="str">
        <f t="shared" si="36"/>
        <v/>
      </c>
      <c r="Y615" s="42" t="str">
        <f t="shared" si="37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5"/>
        <v/>
      </c>
      <c r="M616" s="78"/>
      <c r="N616" s="78"/>
      <c r="O616" s="78"/>
      <c r="P616" s="78"/>
      <c r="Q616" s="78"/>
      <c r="R616" s="36">
        <f t="shared" si="38"/>
        <v>28348.636155563392</v>
      </c>
      <c r="S616" s="386"/>
      <c r="T616" s="37"/>
      <c r="X616" s="39" t="str">
        <f t="shared" si="36"/>
        <v/>
      </c>
      <c r="Y616" s="42" t="str">
        <f t="shared" si="37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5"/>
        <v/>
      </c>
      <c r="M617" s="78"/>
      <c r="N617" s="78"/>
      <c r="O617" s="78"/>
      <c r="P617" s="78"/>
      <c r="Q617" s="78"/>
      <c r="R617" s="36">
        <f t="shared" si="38"/>
        <v>28348.636155563392</v>
      </c>
      <c r="S617" s="386"/>
      <c r="T617" s="37"/>
      <c r="X617" s="39" t="str">
        <f t="shared" si="36"/>
        <v/>
      </c>
      <c r="Y617" s="42" t="str">
        <f t="shared" si="37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5"/>
        <v/>
      </c>
      <c r="M618" s="78"/>
      <c r="N618" s="78"/>
      <c r="O618" s="78"/>
      <c r="P618" s="78"/>
      <c r="Q618" s="78"/>
      <c r="R618" s="36">
        <f t="shared" si="38"/>
        <v>28348.636155563392</v>
      </c>
      <c r="S618" s="386"/>
      <c r="T618" s="37"/>
      <c r="X618" s="39" t="str">
        <f t="shared" si="36"/>
        <v/>
      </c>
      <c r="Y618" s="42" t="str">
        <f t="shared" si="37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5"/>
        <v/>
      </c>
      <c r="M619" s="78"/>
      <c r="N619" s="78"/>
      <c r="O619" s="78"/>
      <c r="P619" s="78"/>
      <c r="Q619" s="78"/>
      <c r="R619" s="36">
        <f t="shared" si="38"/>
        <v>28348.636155563392</v>
      </c>
      <c r="S619" s="386"/>
      <c r="T619" s="37"/>
      <c r="X619" s="39" t="str">
        <f t="shared" si="36"/>
        <v/>
      </c>
      <c r="Y619" s="42" t="str">
        <f t="shared" si="37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5"/>
        <v/>
      </c>
      <c r="M620" s="78"/>
      <c r="N620" s="78"/>
      <c r="O620" s="78"/>
      <c r="P620" s="78"/>
      <c r="Q620" s="78"/>
      <c r="R620" s="36">
        <f t="shared" si="38"/>
        <v>28348.636155563392</v>
      </c>
      <c r="S620" s="386"/>
      <c r="T620" s="37"/>
      <c r="X620" s="39" t="str">
        <f t="shared" si="36"/>
        <v/>
      </c>
      <c r="Y620" s="42" t="str">
        <f t="shared" si="37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39">IF(B621="Compra",F621*G621,"")</f>
        <v/>
      </c>
      <c r="M621" s="78"/>
      <c r="N621" s="78"/>
      <c r="O621" s="78"/>
      <c r="P621" s="78"/>
      <c r="Q621" s="78"/>
      <c r="R621" s="36">
        <f t="shared" si="38"/>
        <v>28348.636155563392</v>
      </c>
      <c r="S621" s="386"/>
      <c r="T621" s="37"/>
      <c r="X621" s="39" t="str">
        <f t="shared" si="36"/>
        <v/>
      </c>
      <c r="Y621" s="42" t="str">
        <f t="shared" si="37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39"/>
        <v/>
      </c>
      <c r="M622" s="78"/>
      <c r="N622" s="78"/>
      <c r="O622" s="78"/>
      <c r="P622" s="78"/>
      <c r="Q622" s="78"/>
      <c r="R622" s="36">
        <f t="shared" si="38"/>
        <v>28348.636155563392</v>
      </c>
      <c r="S622" s="386"/>
      <c r="T622" s="37"/>
      <c r="X622" s="39" t="str">
        <f t="shared" si="36"/>
        <v/>
      </c>
      <c r="Y622" s="42" t="str">
        <f t="shared" si="37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39"/>
        <v/>
      </c>
      <c r="M623" s="78"/>
      <c r="N623" s="78"/>
      <c r="O623" s="78"/>
      <c r="P623" s="78"/>
      <c r="Q623" s="78"/>
      <c r="R623" s="36">
        <f t="shared" si="38"/>
        <v>28348.636155563392</v>
      </c>
      <c r="S623" s="386"/>
      <c r="T623" s="37"/>
      <c r="X623" s="39" t="str">
        <f t="shared" si="36"/>
        <v/>
      </c>
      <c r="Y623" s="42" t="str">
        <f t="shared" si="37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39"/>
        <v/>
      </c>
      <c r="M624" s="78"/>
      <c r="N624" s="78"/>
      <c r="O624" s="78"/>
      <c r="P624" s="78"/>
      <c r="Q624" s="78"/>
      <c r="R624" s="36">
        <f t="shared" si="38"/>
        <v>28348.636155563392</v>
      </c>
      <c r="S624" s="386"/>
      <c r="T624" s="37"/>
      <c r="X624" s="39" t="str">
        <f t="shared" si="36"/>
        <v/>
      </c>
      <c r="Y624" s="42" t="str">
        <f t="shared" si="37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39"/>
        <v/>
      </c>
      <c r="M625" s="78"/>
      <c r="N625" s="78"/>
      <c r="O625" s="78"/>
      <c r="P625" s="78"/>
      <c r="Q625" s="78"/>
      <c r="R625" s="36">
        <f t="shared" si="38"/>
        <v>28348.636155563392</v>
      </c>
      <c r="S625" s="386"/>
      <c r="T625" s="37"/>
      <c r="X625" s="39" t="str">
        <f t="shared" si="36"/>
        <v/>
      </c>
      <c r="Y625" s="42" t="str">
        <f t="shared" si="37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39"/>
        <v/>
      </c>
      <c r="M626" s="78"/>
      <c r="N626" s="78"/>
      <c r="O626" s="78"/>
      <c r="P626" s="78"/>
      <c r="Q626" s="78"/>
      <c r="R626" s="36">
        <f t="shared" si="38"/>
        <v>28348.636155563392</v>
      </c>
      <c r="S626" s="386"/>
      <c r="T626" s="37"/>
      <c r="X626" s="39" t="str">
        <f t="shared" si="36"/>
        <v/>
      </c>
      <c r="Y626" s="42" t="str">
        <f t="shared" si="37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39"/>
        <v/>
      </c>
      <c r="M627" s="78"/>
      <c r="N627" s="78"/>
      <c r="O627" s="78"/>
      <c r="P627" s="78"/>
      <c r="Q627" s="78"/>
      <c r="R627" s="36">
        <f t="shared" si="38"/>
        <v>28348.636155563392</v>
      </c>
      <c r="S627" s="386"/>
      <c r="T627" s="37"/>
      <c r="X627" s="39" t="str">
        <f t="shared" si="36"/>
        <v/>
      </c>
      <c r="Y627" s="42" t="str">
        <f t="shared" si="37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39"/>
        <v/>
      </c>
      <c r="M628" s="78"/>
      <c r="N628" s="78"/>
      <c r="O628" s="78"/>
      <c r="P628" s="78"/>
      <c r="Q628" s="78"/>
      <c r="R628" s="36">
        <f t="shared" si="38"/>
        <v>28348.636155563392</v>
      </c>
      <c r="S628" s="386"/>
      <c r="T628" s="37"/>
      <c r="X628" s="39" t="str">
        <f t="shared" si="36"/>
        <v/>
      </c>
      <c r="Y628" s="42" t="str">
        <f t="shared" si="37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39"/>
        <v/>
      </c>
      <c r="M629" s="78"/>
      <c r="N629" s="78"/>
      <c r="O629" s="78"/>
      <c r="P629" s="78"/>
      <c r="Q629" s="78"/>
      <c r="R629" s="36">
        <f t="shared" si="38"/>
        <v>28348.636155563392</v>
      </c>
      <c r="S629" s="386"/>
      <c r="T629" s="37"/>
      <c r="X629" s="39" t="str">
        <f t="shared" si="36"/>
        <v/>
      </c>
      <c r="Y629" s="42" t="str">
        <f t="shared" si="37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39"/>
        <v/>
      </c>
      <c r="M630" s="78"/>
      <c r="N630" s="78"/>
      <c r="O630" s="78"/>
      <c r="P630" s="78"/>
      <c r="Q630" s="78"/>
      <c r="R630" s="36">
        <f t="shared" si="38"/>
        <v>28348.636155563392</v>
      </c>
      <c r="S630" s="386"/>
      <c r="T630" s="37"/>
      <c r="X630" s="39" t="str">
        <f t="shared" ref="X630:X693" si="40">IF(I745&lt;&gt;0,I745,"")</f>
        <v/>
      </c>
      <c r="Y630" s="42" t="str">
        <f t="shared" ref="Y630:Y693" si="41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39"/>
        <v/>
      </c>
      <c r="M631" s="78"/>
      <c r="N631" s="78"/>
      <c r="O631" s="78"/>
      <c r="P631" s="78"/>
      <c r="Q631" s="78"/>
      <c r="R631" s="36">
        <f t="shared" si="38"/>
        <v>28348.636155563392</v>
      </c>
      <c r="S631" s="386"/>
      <c r="T631" s="37"/>
      <c r="X631" s="39" t="str">
        <f t="shared" si="40"/>
        <v/>
      </c>
      <c r="Y631" s="42" t="str">
        <f t="shared" si="41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39"/>
        <v/>
      </c>
      <c r="M632" s="78"/>
      <c r="N632" s="78"/>
      <c r="O632" s="78"/>
      <c r="P632" s="78"/>
      <c r="Q632" s="78"/>
      <c r="R632" s="36">
        <f t="shared" si="38"/>
        <v>28348.636155563392</v>
      </c>
      <c r="S632" s="386"/>
      <c r="T632" s="37"/>
      <c r="X632" s="39" t="str">
        <f t="shared" si="40"/>
        <v/>
      </c>
      <c r="Y632" s="42" t="str">
        <f t="shared" si="41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38"/>
        <v>28348.636155563392</v>
      </c>
      <c r="S633" s="386"/>
      <c r="T633" s="37"/>
      <c r="X633" s="39" t="str">
        <f t="shared" si="40"/>
        <v/>
      </c>
      <c r="Y633" s="42" t="str">
        <f t="shared" si="41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38"/>
        <v>28348.636155563392</v>
      </c>
      <c r="S634" s="386"/>
      <c r="T634" s="37"/>
      <c r="X634" s="39" t="str">
        <f t="shared" si="40"/>
        <v/>
      </c>
      <c r="Y634" s="42" t="str">
        <f t="shared" si="41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38"/>
        <v>28348.636155563392</v>
      </c>
      <c r="S635" s="386"/>
      <c r="T635" s="37"/>
      <c r="X635" s="39" t="str">
        <f t="shared" si="40"/>
        <v/>
      </c>
      <c r="Y635" s="42" t="str">
        <f t="shared" si="41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38"/>
        <v>28348.636155563392</v>
      </c>
      <c r="S636" s="386"/>
      <c r="T636" s="37"/>
      <c r="X636" s="39" t="str">
        <f t="shared" si="40"/>
        <v/>
      </c>
      <c r="Y636" s="42" t="str">
        <f t="shared" si="41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38"/>
        <v>28348.636155563392</v>
      </c>
      <c r="S637" s="386"/>
      <c r="T637" s="37"/>
      <c r="X637" s="39" t="str">
        <f t="shared" si="40"/>
        <v/>
      </c>
      <c r="Y637" s="42" t="str">
        <f t="shared" si="41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38"/>
        <v>28348.636155563392</v>
      </c>
      <c r="S638" s="386"/>
      <c r="T638" s="37"/>
      <c r="X638" s="39" t="str">
        <f t="shared" si="40"/>
        <v/>
      </c>
      <c r="Y638" s="42" t="str">
        <f t="shared" si="41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38"/>
        <v>28348.636155563392</v>
      </c>
      <c r="S639" s="386"/>
      <c r="T639" s="37"/>
      <c r="X639" s="39" t="str">
        <f t="shared" si="40"/>
        <v/>
      </c>
      <c r="Y639" s="42" t="str">
        <f t="shared" si="41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38"/>
        <v>28348.636155563392</v>
      </c>
      <c r="S640" s="386"/>
      <c r="T640" s="37"/>
      <c r="X640" s="39" t="str">
        <f t="shared" si="40"/>
        <v/>
      </c>
      <c r="Y640" s="42" t="str">
        <f t="shared" si="41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38"/>
        <v>28348.636155563392</v>
      </c>
      <c r="S641" s="386"/>
      <c r="T641" s="37"/>
      <c r="X641" s="39" t="str">
        <f t="shared" si="40"/>
        <v/>
      </c>
      <c r="Y641" s="42" t="str">
        <f t="shared" si="41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38"/>
        <v>28348.636155563392</v>
      </c>
      <c r="S642" s="386"/>
      <c r="T642" s="37"/>
      <c r="X642" s="39" t="str">
        <f t="shared" si="40"/>
        <v/>
      </c>
      <c r="Y642" s="42" t="str">
        <f t="shared" si="41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38"/>
        <v>28348.636155563392</v>
      </c>
      <c r="S643" s="386"/>
      <c r="T643" s="37"/>
      <c r="X643" s="39" t="str">
        <f t="shared" si="40"/>
        <v/>
      </c>
      <c r="Y643" s="42" t="str">
        <f t="shared" si="41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38"/>
        <v>28348.636155563392</v>
      </c>
      <c r="S644" s="386"/>
      <c r="T644" s="37"/>
      <c r="X644" s="39" t="str">
        <f t="shared" si="40"/>
        <v/>
      </c>
      <c r="Y644" s="42" t="str">
        <f t="shared" si="41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38"/>
        <v>28348.636155563392</v>
      </c>
      <c r="S645" s="386"/>
      <c r="T645" s="37"/>
      <c r="X645" s="39" t="str">
        <f t="shared" si="40"/>
        <v/>
      </c>
      <c r="Y645" s="42" t="str">
        <f t="shared" si="41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38"/>
        <v>28348.636155563392</v>
      </c>
      <c r="S646" s="386"/>
      <c r="T646" s="37"/>
      <c r="X646" s="39" t="str">
        <f t="shared" si="40"/>
        <v/>
      </c>
      <c r="Y646" s="42" t="str">
        <f t="shared" si="41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38"/>
        <v>28348.636155563392</v>
      </c>
      <c r="S647" s="386"/>
      <c r="T647" s="37"/>
      <c r="X647" s="39" t="str">
        <f t="shared" si="40"/>
        <v/>
      </c>
      <c r="Y647" s="42" t="str">
        <f t="shared" si="41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38"/>
        <v>28348.636155563392</v>
      </c>
      <c r="S648" s="386"/>
      <c r="T648" s="37"/>
      <c r="X648" s="39" t="str">
        <f t="shared" si="40"/>
        <v/>
      </c>
      <c r="Y648" s="42" t="str">
        <f t="shared" si="41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38"/>
        <v>28348.636155563392</v>
      </c>
      <c r="S649" s="386"/>
      <c r="T649" s="37"/>
      <c r="X649" s="39" t="str">
        <f t="shared" si="40"/>
        <v/>
      </c>
      <c r="Y649" s="42" t="str">
        <f t="shared" si="41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38"/>
        <v>28348.636155563392</v>
      </c>
      <c r="S650" s="386"/>
      <c r="T650" s="37"/>
      <c r="X650" s="39" t="str">
        <f t="shared" si="40"/>
        <v/>
      </c>
      <c r="Y650" s="42" t="str">
        <f t="shared" si="41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38"/>
        <v>28348.636155563392</v>
      </c>
      <c r="S651" s="386"/>
      <c r="T651" s="37"/>
      <c r="X651" s="39" t="str">
        <f t="shared" si="40"/>
        <v/>
      </c>
      <c r="Y651" s="42" t="str">
        <f t="shared" si="41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38"/>
        <v>28348.636155563392</v>
      </c>
      <c r="S652" s="386"/>
      <c r="T652" s="37"/>
      <c r="X652" s="39" t="str">
        <f t="shared" si="40"/>
        <v/>
      </c>
      <c r="Y652" s="42" t="str">
        <f t="shared" si="41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38"/>
        <v>28348.636155563392</v>
      </c>
      <c r="S653" s="386"/>
      <c r="T653" s="37"/>
      <c r="X653" s="39" t="str">
        <f t="shared" si="40"/>
        <v/>
      </c>
      <c r="Y653" s="42" t="str">
        <f t="shared" si="41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38"/>
        <v>28348.636155563392</v>
      </c>
      <c r="S654" s="386"/>
      <c r="T654" s="37"/>
      <c r="X654" s="39" t="str">
        <f t="shared" si="40"/>
        <v/>
      </c>
      <c r="Y654" s="42" t="str">
        <f t="shared" si="41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38"/>
        <v>28348.636155563392</v>
      </c>
      <c r="S655" s="386"/>
      <c r="T655" s="37"/>
      <c r="X655" s="39" t="str">
        <f t="shared" si="40"/>
        <v/>
      </c>
      <c r="Y655" s="42" t="str">
        <f t="shared" si="41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38"/>
        <v>28348.636155563392</v>
      </c>
      <c r="S656" s="386"/>
      <c r="T656" s="37"/>
      <c r="X656" s="39" t="str">
        <f t="shared" si="40"/>
        <v/>
      </c>
      <c r="Y656" s="42" t="str">
        <f t="shared" si="41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38"/>
        <v>28348.636155563392</v>
      </c>
      <c r="S657" s="386"/>
      <c r="T657" s="37"/>
      <c r="X657" s="39" t="str">
        <f t="shared" si="40"/>
        <v/>
      </c>
      <c r="Y657" s="42" t="str">
        <f t="shared" si="41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38"/>
        <v>28348.636155563392</v>
      </c>
      <c r="S658" s="386"/>
      <c r="T658" s="37"/>
      <c r="X658" s="39" t="str">
        <f t="shared" si="40"/>
        <v/>
      </c>
      <c r="Y658" s="42" t="str">
        <f t="shared" si="41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38"/>
        <v>28348.636155563392</v>
      </c>
      <c r="S659" s="386"/>
      <c r="T659" s="37"/>
      <c r="X659" s="39" t="str">
        <f t="shared" si="40"/>
        <v/>
      </c>
      <c r="Y659" s="42" t="str">
        <f t="shared" si="41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38"/>
        <v>28348.636155563392</v>
      </c>
      <c r="S660" s="386"/>
      <c r="T660" s="37"/>
      <c r="X660" s="39" t="str">
        <f t="shared" si="40"/>
        <v/>
      </c>
      <c r="Y660" s="42" t="str">
        <f t="shared" si="41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38"/>
        <v>28348.636155563392</v>
      </c>
      <c r="S661" s="386"/>
      <c r="T661" s="37"/>
      <c r="X661" s="39" t="str">
        <f t="shared" si="40"/>
        <v/>
      </c>
      <c r="Y661" s="42" t="str">
        <f t="shared" si="41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38"/>
        <v>28348.636155563392</v>
      </c>
      <c r="S662" s="386"/>
      <c r="T662" s="37"/>
      <c r="X662" s="39" t="str">
        <f t="shared" si="40"/>
        <v/>
      </c>
      <c r="Y662" s="42" t="str">
        <f t="shared" si="41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38"/>
        <v>28348.636155563392</v>
      </c>
      <c r="S663" s="386"/>
      <c r="T663" s="37"/>
      <c r="X663" s="39" t="str">
        <f t="shared" si="40"/>
        <v/>
      </c>
      <c r="Y663" s="42" t="str">
        <f t="shared" si="41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38"/>
        <v>28348.636155563392</v>
      </c>
      <c r="S664" s="386"/>
      <c r="T664" s="37"/>
      <c r="X664" s="39" t="str">
        <f t="shared" si="40"/>
        <v/>
      </c>
      <c r="Y664" s="42" t="str">
        <f t="shared" si="41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38"/>
        <v>28348.636155563392</v>
      </c>
      <c r="S665" s="386"/>
      <c r="T665" s="37"/>
      <c r="X665" s="39" t="str">
        <f t="shared" si="40"/>
        <v/>
      </c>
      <c r="Y665" s="42" t="str">
        <f t="shared" si="41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38"/>
        <v>28348.636155563392</v>
      </c>
      <c r="S666" s="386"/>
      <c r="T666" s="37"/>
      <c r="X666" s="39" t="str">
        <f t="shared" si="40"/>
        <v/>
      </c>
      <c r="Y666" s="42" t="str">
        <f t="shared" si="41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38"/>
        <v>28348.636155563392</v>
      </c>
      <c r="S667" s="386"/>
      <c r="T667" s="37"/>
      <c r="X667" s="39" t="str">
        <f t="shared" si="40"/>
        <v/>
      </c>
      <c r="Y667" s="42" t="str">
        <f t="shared" si="41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38"/>
        <v>28348.636155563392</v>
      </c>
      <c r="S668" s="386"/>
      <c r="T668" s="37"/>
      <c r="X668" s="39" t="str">
        <f t="shared" si="40"/>
        <v/>
      </c>
      <c r="Y668" s="42" t="str">
        <f t="shared" si="41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38"/>
        <v>28348.636155563392</v>
      </c>
      <c r="S669" s="386"/>
      <c r="T669" s="37"/>
      <c r="X669" s="39" t="str">
        <f t="shared" si="40"/>
        <v/>
      </c>
      <c r="Y669" s="42" t="str">
        <f t="shared" si="41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38"/>
        <v>28348.636155563392</v>
      </c>
      <c r="S670" s="386"/>
      <c r="T670" s="37"/>
      <c r="X670" s="39" t="str">
        <f t="shared" si="40"/>
        <v/>
      </c>
      <c r="Y670" s="42" t="str">
        <f t="shared" si="41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38"/>
        <v>28348.636155563392</v>
      </c>
      <c r="S671" s="386"/>
      <c r="T671" s="37"/>
      <c r="X671" s="39" t="str">
        <f t="shared" si="40"/>
        <v/>
      </c>
      <c r="Y671" s="42" t="str">
        <f t="shared" si="41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38"/>
        <v>28348.636155563392</v>
      </c>
      <c r="S672" s="386"/>
      <c r="T672" s="37"/>
      <c r="X672" s="39" t="str">
        <f t="shared" si="40"/>
        <v/>
      </c>
      <c r="Y672" s="42" t="str">
        <f t="shared" si="41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38"/>
        <v>28348.636155563392</v>
      </c>
      <c r="S673" s="386"/>
      <c r="T673" s="37"/>
      <c r="X673" s="39" t="str">
        <f t="shared" si="40"/>
        <v/>
      </c>
      <c r="Y673" s="42" t="str">
        <f t="shared" si="41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2">R673*((J674/100)+1)</f>
        <v>28348.636155563392</v>
      </c>
      <c r="S674" s="386"/>
      <c r="T674" s="37"/>
      <c r="X674" s="39" t="str">
        <f t="shared" si="40"/>
        <v/>
      </c>
      <c r="Y674" s="42" t="str">
        <f t="shared" si="41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2"/>
        <v>28348.636155563392</v>
      </c>
      <c r="S675" s="386"/>
      <c r="T675" s="37"/>
      <c r="X675" s="39" t="str">
        <f t="shared" si="40"/>
        <v/>
      </c>
      <c r="Y675" s="42" t="str">
        <f t="shared" si="41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2"/>
        <v>28348.636155563392</v>
      </c>
      <c r="S676" s="386"/>
      <c r="T676" s="37"/>
      <c r="X676" s="39" t="str">
        <f t="shared" si="40"/>
        <v/>
      </c>
      <c r="Y676" s="42" t="str">
        <f t="shared" si="41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2"/>
        <v>28348.636155563392</v>
      </c>
      <c r="S677" s="386"/>
      <c r="T677" s="37"/>
      <c r="X677" s="39" t="str">
        <f t="shared" si="40"/>
        <v/>
      </c>
      <c r="Y677" s="42" t="str">
        <f t="shared" si="41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2"/>
        <v>28348.636155563392</v>
      </c>
      <c r="S678" s="386"/>
      <c r="T678" s="37"/>
      <c r="X678" s="39" t="str">
        <f t="shared" si="40"/>
        <v/>
      </c>
      <c r="Y678" s="42" t="str">
        <f t="shared" si="41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2"/>
        <v>28348.636155563392</v>
      </c>
      <c r="S679" s="386"/>
      <c r="T679" s="37"/>
      <c r="X679" s="39" t="str">
        <f t="shared" si="40"/>
        <v/>
      </c>
      <c r="Y679" s="42" t="str">
        <f t="shared" si="41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2"/>
        <v>28348.636155563392</v>
      </c>
      <c r="S680" s="386"/>
      <c r="T680" s="37"/>
      <c r="X680" s="39" t="str">
        <f t="shared" si="40"/>
        <v/>
      </c>
      <c r="Y680" s="42" t="str">
        <f t="shared" si="41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2"/>
        <v>28348.636155563392</v>
      </c>
      <c r="S681" s="386"/>
      <c r="T681" s="37"/>
      <c r="X681" s="39" t="str">
        <f t="shared" si="40"/>
        <v/>
      </c>
      <c r="Y681" s="42" t="str">
        <f t="shared" si="41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2"/>
        <v>28348.636155563392</v>
      </c>
      <c r="S682" s="386"/>
      <c r="T682" s="37"/>
      <c r="X682" s="39" t="str">
        <f t="shared" si="40"/>
        <v/>
      </c>
      <c r="Y682" s="42" t="str">
        <f t="shared" si="41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2"/>
        <v>28348.636155563392</v>
      </c>
      <c r="S683" s="386"/>
      <c r="T683" s="37"/>
      <c r="X683" s="39" t="str">
        <f t="shared" si="40"/>
        <v/>
      </c>
      <c r="Y683" s="42" t="str">
        <f t="shared" si="41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2"/>
        <v>28348.636155563392</v>
      </c>
      <c r="S684" s="386"/>
      <c r="T684" s="37"/>
      <c r="X684" s="39" t="str">
        <f t="shared" si="40"/>
        <v/>
      </c>
      <c r="Y684" s="42" t="str">
        <f t="shared" si="41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2"/>
        <v>28348.636155563392</v>
      </c>
      <c r="S685" s="386"/>
      <c r="T685" s="37"/>
      <c r="X685" s="39" t="str">
        <f t="shared" si="40"/>
        <v/>
      </c>
      <c r="Y685" s="42" t="str">
        <f t="shared" si="41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2"/>
        <v>28348.636155563392</v>
      </c>
      <c r="S686" s="386"/>
      <c r="T686" s="37"/>
      <c r="X686" s="39" t="str">
        <f t="shared" si="40"/>
        <v/>
      </c>
      <c r="Y686" s="42" t="str">
        <f t="shared" si="41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2"/>
        <v>28348.636155563392</v>
      </c>
      <c r="S687" s="386"/>
      <c r="T687" s="78"/>
      <c r="X687" s="39" t="str">
        <f t="shared" si="40"/>
        <v/>
      </c>
      <c r="Y687" s="42" t="str">
        <f t="shared" si="41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2"/>
        <v>28348.636155563392</v>
      </c>
      <c r="S688" s="386"/>
      <c r="T688" s="78"/>
      <c r="X688" s="39" t="str">
        <f t="shared" si="40"/>
        <v/>
      </c>
      <c r="Y688" s="42" t="str">
        <f t="shared" si="41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2"/>
        <v>28348.636155563392</v>
      </c>
      <c r="S689" s="386"/>
      <c r="T689" s="78"/>
      <c r="X689" s="39" t="str">
        <f t="shared" si="40"/>
        <v/>
      </c>
      <c r="Y689" s="42" t="str">
        <f t="shared" si="41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2"/>
        <v>28348.636155563392</v>
      </c>
      <c r="S690" s="386"/>
      <c r="T690" s="78"/>
      <c r="X690" s="39" t="str">
        <f t="shared" si="40"/>
        <v/>
      </c>
      <c r="Y690" s="42" t="str">
        <f t="shared" si="41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2"/>
        <v>28348.636155563392</v>
      </c>
      <c r="S691" s="386"/>
      <c r="T691" s="78"/>
      <c r="X691" s="39" t="str">
        <f t="shared" si="40"/>
        <v/>
      </c>
      <c r="Y691" s="42" t="str">
        <f t="shared" si="41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2"/>
        <v>28348.636155563392</v>
      </c>
      <c r="S692" s="386"/>
      <c r="T692" s="78"/>
      <c r="X692" s="39" t="str">
        <f t="shared" si="40"/>
        <v/>
      </c>
      <c r="Y692" s="42" t="str">
        <f t="shared" si="41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2"/>
        <v>28348.636155563392</v>
      </c>
      <c r="S693" s="386"/>
      <c r="T693" s="78"/>
      <c r="X693" s="39" t="str">
        <f t="shared" si="40"/>
        <v/>
      </c>
      <c r="Y693" s="42" t="str">
        <f t="shared" si="41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2"/>
        <v>28348.636155563392</v>
      </c>
      <c r="S694" s="386"/>
      <c r="T694" s="78"/>
      <c r="X694" s="39" t="str">
        <f t="shared" ref="X694:X757" si="43">IF(I809&lt;&gt;0,I809,"")</f>
        <v/>
      </c>
      <c r="Y694" s="42" t="str">
        <f t="shared" ref="Y694:Y757" si="44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2"/>
        <v>28348.636155563392</v>
      </c>
      <c r="S695" s="386"/>
      <c r="T695" s="78"/>
      <c r="X695" s="39" t="str">
        <f t="shared" si="43"/>
        <v/>
      </c>
      <c r="Y695" s="42" t="str">
        <f t="shared" si="44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2"/>
        <v>28348.636155563392</v>
      </c>
      <c r="S696" s="386"/>
      <c r="T696" s="78"/>
      <c r="X696" s="39" t="str">
        <f t="shared" si="43"/>
        <v/>
      </c>
      <c r="Y696" s="42" t="str">
        <f t="shared" si="44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2"/>
        <v>28348.636155563392</v>
      </c>
      <c r="S697" s="386"/>
      <c r="T697" s="78"/>
      <c r="X697" s="39" t="str">
        <f t="shared" si="43"/>
        <v/>
      </c>
      <c r="Y697" s="42" t="str">
        <f t="shared" si="44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2"/>
        <v>28348.636155563392</v>
      </c>
      <c r="S698" s="386"/>
      <c r="T698" s="78"/>
      <c r="X698" s="39" t="str">
        <f t="shared" si="43"/>
        <v/>
      </c>
      <c r="Y698" s="42" t="str">
        <f t="shared" si="44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2"/>
        <v>28348.636155563392</v>
      </c>
      <c r="S699" s="386"/>
      <c r="T699" s="78"/>
      <c r="X699" s="39" t="str">
        <f t="shared" si="43"/>
        <v/>
      </c>
      <c r="Y699" s="42" t="str">
        <f t="shared" si="44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2"/>
        <v>28348.636155563392</v>
      </c>
      <c r="S700" s="386"/>
      <c r="T700" s="78"/>
      <c r="X700" s="39" t="str">
        <f t="shared" si="43"/>
        <v/>
      </c>
      <c r="Y700" s="42" t="str">
        <f t="shared" si="44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2"/>
        <v>28348.636155563392</v>
      </c>
      <c r="S701" s="386"/>
      <c r="T701" s="78"/>
      <c r="X701" s="39" t="str">
        <f t="shared" si="43"/>
        <v/>
      </c>
      <c r="Y701" s="42" t="str">
        <f t="shared" si="44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2"/>
        <v>28348.636155563392</v>
      </c>
      <c r="S702" s="386"/>
      <c r="T702" s="78"/>
      <c r="X702" s="39" t="str">
        <f t="shared" si="43"/>
        <v/>
      </c>
      <c r="Y702" s="42" t="str">
        <f t="shared" si="44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2"/>
        <v>28348.636155563392</v>
      </c>
      <c r="S703" s="386"/>
      <c r="T703" s="78"/>
      <c r="X703" s="39" t="str">
        <f t="shared" si="43"/>
        <v/>
      </c>
      <c r="Y703" s="42" t="str">
        <f t="shared" si="44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2"/>
        <v>28348.636155563392</v>
      </c>
      <c r="S704" s="386"/>
      <c r="T704" s="78"/>
      <c r="X704" s="39" t="str">
        <f t="shared" si="43"/>
        <v/>
      </c>
      <c r="Y704" s="42" t="str">
        <f t="shared" si="44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2"/>
        <v>28348.636155563392</v>
      </c>
      <c r="S705" s="386"/>
      <c r="T705" s="78"/>
      <c r="X705" s="39" t="str">
        <f t="shared" si="43"/>
        <v/>
      </c>
      <c r="Y705" s="42" t="str">
        <f t="shared" si="44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2"/>
        <v>28348.636155563392</v>
      </c>
      <c r="S706" s="386"/>
      <c r="T706" s="78"/>
      <c r="X706" s="39" t="str">
        <f t="shared" si="43"/>
        <v/>
      </c>
      <c r="Y706" s="42" t="str">
        <f t="shared" si="44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2"/>
        <v>28348.636155563392</v>
      </c>
      <c r="S707" s="386"/>
      <c r="T707" s="78"/>
      <c r="X707" s="39" t="str">
        <f t="shared" si="43"/>
        <v/>
      </c>
      <c r="Y707" s="42" t="str">
        <f t="shared" si="44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2"/>
        <v>28348.636155563392</v>
      </c>
      <c r="S708" s="386"/>
      <c r="T708" s="78"/>
      <c r="X708" s="39" t="str">
        <f t="shared" si="43"/>
        <v/>
      </c>
      <c r="Y708" s="42" t="str">
        <f t="shared" si="44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2"/>
        <v>28348.636155563392</v>
      </c>
      <c r="S709" s="386"/>
      <c r="T709" s="78"/>
      <c r="X709" s="39" t="str">
        <f t="shared" si="43"/>
        <v/>
      </c>
      <c r="Y709" s="42" t="str">
        <f t="shared" si="44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2"/>
        <v>28348.636155563392</v>
      </c>
      <c r="S710" s="386"/>
      <c r="T710" s="78"/>
      <c r="X710" s="39" t="str">
        <f t="shared" si="43"/>
        <v/>
      </c>
      <c r="Y710" s="42" t="str">
        <f t="shared" si="44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2"/>
        <v>28348.636155563392</v>
      </c>
      <c r="S711" s="386"/>
      <c r="T711" s="78"/>
      <c r="X711" s="39" t="str">
        <f t="shared" si="43"/>
        <v/>
      </c>
      <c r="Y711" s="42" t="str">
        <f t="shared" si="44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2"/>
        <v>28348.636155563392</v>
      </c>
      <c r="S712" s="386"/>
      <c r="T712" s="78"/>
      <c r="X712" s="39" t="str">
        <f t="shared" si="43"/>
        <v/>
      </c>
      <c r="Y712" s="42" t="str">
        <f t="shared" si="44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2"/>
        <v>28348.636155563392</v>
      </c>
      <c r="S713" s="386"/>
      <c r="T713" s="78"/>
      <c r="X713" s="39" t="str">
        <f t="shared" si="43"/>
        <v/>
      </c>
      <c r="Y713" s="42" t="str">
        <f t="shared" si="44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2"/>
        <v>28348.636155563392</v>
      </c>
      <c r="S714" s="386"/>
      <c r="T714" s="78"/>
      <c r="X714" s="39" t="str">
        <f t="shared" si="43"/>
        <v/>
      </c>
      <c r="Y714" s="42" t="str">
        <f t="shared" si="44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2"/>
        <v>28348.636155563392</v>
      </c>
      <c r="S715" s="386"/>
      <c r="T715" s="78"/>
      <c r="X715" s="39" t="str">
        <f t="shared" si="43"/>
        <v/>
      </c>
      <c r="Y715" s="42" t="str">
        <f t="shared" si="44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2"/>
        <v>28348.636155563392</v>
      </c>
      <c r="S716" s="386"/>
      <c r="T716" s="78"/>
      <c r="X716" s="39" t="str">
        <f t="shared" si="43"/>
        <v/>
      </c>
      <c r="Y716" s="42" t="str">
        <f t="shared" si="44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2"/>
        <v>28348.636155563392</v>
      </c>
      <c r="S717" s="386"/>
      <c r="T717" s="78"/>
      <c r="X717" s="39" t="str">
        <f t="shared" si="43"/>
        <v/>
      </c>
      <c r="Y717" s="42" t="str">
        <f t="shared" si="44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2"/>
        <v>28348.636155563392</v>
      </c>
      <c r="S718" s="386"/>
      <c r="T718" s="78"/>
      <c r="X718" s="39" t="str">
        <f t="shared" si="43"/>
        <v/>
      </c>
      <c r="Y718" s="42" t="str">
        <f t="shared" si="44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2"/>
        <v>28348.636155563392</v>
      </c>
      <c r="S719" s="386"/>
      <c r="T719" s="78"/>
      <c r="X719" s="39" t="str">
        <f t="shared" si="43"/>
        <v/>
      </c>
      <c r="Y719" s="42" t="str">
        <f t="shared" si="44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2"/>
        <v>28348.636155563392</v>
      </c>
      <c r="S720" s="386"/>
      <c r="T720" s="78"/>
      <c r="X720" s="39" t="str">
        <f t="shared" si="43"/>
        <v/>
      </c>
      <c r="Y720" s="42" t="str">
        <f t="shared" si="44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2"/>
        <v>28348.636155563392</v>
      </c>
      <c r="S721" s="386"/>
      <c r="T721" s="78"/>
      <c r="X721" s="39" t="str">
        <f t="shared" si="43"/>
        <v/>
      </c>
      <c r="Y721" s="42" t="str">
        <f t="shared" si="44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2"/>
        <v>28348.636155563392</v>
      </c>
      <c r="S722" s="386"/>
      <c r="T722" s="78"/>
      <c r="X722" s="39" t="str">
        <f t="shared" si="43"/>
        <v/>
      </c>
      <c r="Y722" s="42" t="str">
        <f t="shared" si="44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2"/>
        <v>28348.636155563392</v>
      </c>
      <c r="S723" s="386"/>
      <c r="T723" s="78"/>
      <c r="X723" s="39" t="str">
        <f t="shared" si="43"/>
        <v/>
      </c>
      <c r="Y723" s="42" t="str">
        <f t="shared" si="44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2"/>
        <v>28348.636155563392</v>
      </c>
      <c r="S724" s="386"/>
      <c r="T724" s="78"/>
      <c r="X724" s="39" t="str">
        <f t="shared" si="43"/>
        <v/>
      </c>
      <c r="Y724" s="42" t="str">
        <f t="shared" si="44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2"/>
        <v>28348.636155563392</v>
      </c>
      <c r="S725" s="386"/>
      <c r="T725" s="78"/>
      <c r="X725" s="39" t="str">
        <f t="shared" si="43"/>
        <v/>
      </c>
      <c r="Y725" s="42" t="str">
        <f t="shared" si="44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2"/>
        <v>28348.636155563392</v>
      </c>
      <c r="S726" s="386"/>
      <c r="T726" s="78"/>
      <c r="X726" s="39" t="str">
        <f t="shared" si="43"/>
        <v/>
      </c>
      <c r="Y726" s="42" t="str">
        <f t="shared" si="44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2"/>
        <v>28348.636155563392</v>
      </c>
      <c r="S727" s="386"/>
      <c r="T727" s="78"/>
      <c r="X727" s="39" t="str">
        <f t="shared" si="43"/>
        <v/>
      </c>
      <c r="Y727" s="42" t="str">
        <f t="shared" si="44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2"/>
        <v>28348.636155563392</v>
      </c>
      <c r="S728" s="386"/>
      <c r="T728" s="78"/>
      <c r="X728" s="39" t="str">
        <f t="shared" si="43"/>
        <v/>
      </c>
      <c r="Y728" s="42" t="str">
        <f t="shared" si="44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2"/>
        <v>28348.636155563392</v>
      </c>
      <c r="S729" s="386"/>
      <c r="T729" s="78"/>
      <c r="X729" s="39" t="str">
        <f t="shared" si="43"/>
        <v/>
      </c>
      <c r="Y729" s="42" t="str">
        <f t="shared" si="44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2"/>
        <v>28348.636155563392</v>
      </c>
      <c r="S730" s="386"/>
      <c r="T730" s="78"/>
      <c r="X730" s="39" t="str">
        <f t="shared" si="43"/>
        <v/>
      </c>
      <c r="Y730" s="42" t="str">
        <f t="shared" si="44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2"/>
        <v>28348.636155563392</v>
      </c>
      <c r="S731" s="386"/>
      <c r="T731" s="78"/>
      <c r="X731" s="39" t="str">
        <f t="shared" si="43"/>
        <v/>
      </c>
      <c r="Y731" s="42" t="str">
        <f t="shared" si="44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2"/>
        <v>28348.636155563392</v>
      </c>
      <c r="S732" s="386"/>
      <c r="T732" s="78"/>
      <c r="X732" s="39" t="str">
        <f t="shared" si="43"/>
        <v/>
      </c>
      <c r="Y732" s="42" t="str">
        <f t="shared" si="44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2"/>
        <v>28348.636155563392</v>
      </c>
      <c r="S733" s="386"/>
      <c r="T733" s="78"/>
      <c r="X733" s="39" t="str">
        <f t="shared" si="43"/>
        <v/>
      </c>
      <c r="Y733" s="42" t="str">
        <f t="shared" si="44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2"/>
        <v>28348.636155563392</v>
      </c>
      <c r="S734" s="386"/>
      <c r="T734" s="78"/>
      <c r="X734" s="39" t="str">
        <f t="shared" si="43"/>
        <v/>
      </c>
      <c r="Y734" s="42" t="str">
        <f t="shared" si="44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2"/>
        <v>28348.636155563392</v>
      </c>
      <c r="S735" s="386"/>
      <c r="T735" s="78"/>
      <c r="X735" s="39" t="str">
        <f t="shared" si="43"/>
        <v/>
      </c>
      <c r="Y735" s="42" t="str">
        <f t="shared" si="44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2"/>
        <v>28348.636155563392</v>
      </c>
      <c r="S736" s="386"/>
      <c r="T736" s="78"/>
      <c r="X736" s="39" t="str">
        <f t="shared" si="43"/>
        <v/>
      </c>
      <c r="Y736" s="42" t="str">
        <f t="shared" si="44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2"/>
        <v>28348.636155563392</v>
      </c>
      <c r="S737" s="386"/>
      <c r="T737" s="78"/>
      <c r="X737" s="39" t="str">
        <f t="shared" si="43"/>
        <v/>
      </c>
      <c r="Y737" s="42" t="str">
        <f t="shared" si="44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5">R737*((J738/100)+1)</f>
        <v>28348.636155563392</v>
      </c>
      <c r="S738" s="386"/>
      <c r="T738" s="78"/>
      <c r="X738" s="39" t="str">
        <f t="shared" si="43"/>
        <v/>
      </c>
      <c r="Y738" s="42" t="str">
        <f t="shared" si="44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5"/>
        <v>28348.636155563392</v>
      </c>
      <c r="S739" s="386"/>
      <c r="T739" s="78"/>
      <c r="X739" s="39" t="str">
        <f t="shared" si="43"/>
        <v/>
      </c>
      <c r="Y739" s="42" t="str">
        <f t="shared" si="44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5"/>
        <v>28348.636155563392</v>
      </c>
      <c r="S740" s="386"/>
      <c r="T740" s="78"/>
      <c r="X740" s="39" t="str">
        <f t="shared" si="43"/>
        <v/>
      </c>
      <c r="Y740" s="42" t="str">
        <f t="shared" si="44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5"/>
        <v>28348.636155563392</v>
      </c>
      <c r="S741" s="386"/>
      <c r="T741" s="78"/>
      <c r="X741" s="39" t="str">
        <f t="shared" si="43"/>
        <v/>
      </c>
      <c r="Y741" s="42" t="str">
        <f t="shared" si="44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5"/>
        <v>28348.636155563392</v>
      </c>
      <c r="S742" s="386"/>
      <c r="T742" s="78"/>
      <c r="X742" s="39" t="str">
        <f t="shared" si="43"/>
        <v/>
      </c>
      <c r="Y742" s="42" t="str">
        <f t="shared" si="44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5"/>
        <v>28348.636155563392</v>
      </c>
      <c r="S743" s="386"/>
      <c r="T743" s="78"/>
      <c r="X743" s="39" t="str">
        <f t="shared" si="43"/>
        <v/>
      </c>
      <c r="Y743" s="42" t="str">
        <f t="shared" si="44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5"/>
        <v>28348.636155563392</v>
      </c>
      <c r="S744" s="386"/>
      <c r="T744" s="78"/>
      <c r="X744" s="39" t="str">
        <f t="shared" si="43"/>
        <v/>
      </c>
      <c r="Y744" s="42" t="str">
        <f t="shared" si="44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5"/>
        <v>28348.636155563392</v>
      </c>
      <c r="S745" s="386"/>
      <c r="T745" s="78"/>
      <c r="X745" s="39" t="str">
        <f t="shared" si="43"/>
        <v/>
      </c>
      <c r="Y745" s="42" t="str">
        <f t="shared" si="44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5"/>
        <v>28348.636155563392</v>
      </c>
      <c r="S746" s="386"/>
      <c r="T746" s="78"/>
      <c r="X746" s="39" t="str">
        <f t="shared" si="43"/>
        <v/>
      </c>
      <c r="Y746" s="42" t="str">
        <f t="shared" si="44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5"/>
        <v>28348.636155563392</v>
      </c>
      <c r="S747" s="386"/>
      <c r="T747" s="78"/>
      <c r="X747" s="39" t="str">
        <f t="shared" si="43"/>
        <v/>
      </c>
      <c r="Y747" s="42" t="str">
        <f t="shared" si="44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5"/>
        <v>28348.636155563392</v>
      </c>
      <c r="S748" s="386"/>
      <c r="T748" s="78"/>
      <c r="X748" s="39" t="str">
        <f t="shared" si="43"/>
        <v/>
      </c>
      <c r="Y748" s="42" t="str">
        <f t="shared" si="44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5"/>
        <v>28348.636155563392</v>
      </c>
      <c r="S749" s="386"/>
      <c r="T749" s="78"/>
      <c r="X749" s="39" t="str">
        <f t="shared" si="43"/>
        <v/>
      </c>
      <c r="Y749" s="42" t="str">
        <f t="shared" si="44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5"/>
        <v>28348.636155563392</v>
      </c>
      <c r="S750" s="386"/>
      <c r="T750" s="78"/>
      <c r="X750" s="39" t="str">
        <f t="shared" si="43"/>
        <v/>
      </c>
      <c r="Y750" s="42" t="str">
        <f t="shared" si="44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5"/>
        <v>28348.636155563392</v>
      </c>
      <c r="S751" s="386"/>
      <c r="T751" s="78"/>
      <c r="X751" s="39" t="str">
        <f t="shared" si="43"/>
        <v/>
      </c>
      <c r="Y751" s="42" t="str">
        <f t="shared" si="44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5"/>
        <v>28348.636155563392</v>
      </c>
      <c r="S752" s="386"/>
      <c r="T752" s="78"/>
      <c r="X752" s="39" t="str">
        <f t="shared" si="43"/>
        <v/>
      </c>
      <c r="Y752" s="42" t="str">
        <f t="shared" si="44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5"/>
        <v>28348.636155563392</v>
      </c>
      <c r="S753" s="386"/>
      <c r="T753" s="78"/>
      <c r="X753" s="39" t="str">
        <f t="shared" si="43"/>
        <v/>
      </c>
      <c r="Y753" s="42" t="str">
        <f t="shared" si="44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5"/>
        <v>28348.636155563392</v>
      </c>
      <c r="S754" s="386"/>
      <c r="T754" s="78"/>
      <c r="X754" s="39" t="str">
        <f t="shared" si="43"/>
        <v/>
      </c>
      <c r="Y754" s="42" t="str">
        <f t="shared" si="44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5"/>
        <v>28348.636155563392</v>
      </c>
      <c r="S755" s="386"/>
      <c r="T755" s="78"/>
      <c r="X755" s="39" t="str">
        <f t="shared" si="43"/>
        <v/>
      </c>
      <c r="Y755" s="42" t="str">
        <f t="shared" si="44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5"/>
        <v>28348.636155563392</v>
      </c>
      <c r="S756" s="386"/>
      <c r="T756" s="78"/>
      <c r="X756" s="39" t="str">
        <f t="shared" si="43"/>
        <v/>
      </c>
      <c r="Y756" s="42" t="str">
        <f t="shared" si="44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5"/>
        <v>28348.636155563392</v>
      </c>
      <c r="S757" s="386"/>
      <c r="T757" s="78"/>
      <c r="X757" s="39" t="str">
        <f t="shared" si="43"/>
        <v/>
      </c>
      <c r="Y757" s="42" t="str">
        <f t="shared" si="44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5"/>
        <v>28348.636155563392</v>
      </c>
      <c r="S758" s="386"/>
      <c r="T758" s="78"/>
      <c r="X758" s="39" t="str">
        <f t="shared" ref="X758:X821" si="46">IF(I873&lt;&gt;0,I873,"")</f>
        <v/>
      </c>
      <c r="Y758" s="42" t="str">
        <f t="shared" ref="Y758:Y821" si="47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5"/>
        <v>28348.636155563392</v>
      </c>
      <c r="S759" s="386"/>
      <c r="T759" s="78"/>
      <c r="X759" s="39" t="str">
        <f t="shared" si="46"/>
        <v/>
      </c>
      <c r="Y759" s="42" t="str">
        <f t="shared" si="47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5"/>
        <v>28348.636155563392</v>
      </c>
      <c r="S760" s="386"/>
      <c r="T760" s="78"/>
      <c r="X760" s="39" t="str">
        <f t="shared" si="46"/>
        <v/>
      </c>
      <c r="Y760" s="42" t="str">
        <f t="shared" si="47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5"/>
        <v>28348.636155563392</v>
      </c>
      <c r="S761" s="386"/>
      <c r="T761" s="78"/>
      <c r="X761" s="39" t="str">
        <f t="shared" si="46"/>
        <v/>
      </c>
      <c r="Y761" s="42" t="str">
        <f t="shared" si="47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5"/>
        <v>28348.636155563392</v>
      </c>
      <c r="S762" s="386"/>
      <c r="T762" s="78"/>
      <c r="X762" s="39" t="str">
        <f t="shared" si="46"/>
        <v/>
      </c>
      <c r="Y762" s="42" t="str">
        <f t="shared" si="47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5"/>
        <v>28348.636155563392</v>
      </c>
      <c r="S763" s="386"/>
      <c r="T763" s="78"/>
      <c r="X763" s="39" t="str">
        <f t="shared" si="46"/>
        <v/>
      </c>
      <c r="Y763" s="42" t="str">
        <f t="shared" si="47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5"/>
        <v>28348.636155563392</v>
      </c>
      <c r="S764" s="386"/>
      <c r="T764" s="78"/>
      <c r="X764" s="39" t="str">
        <f t="shared" si="46"/>
        <v/>
      </c>
      <c r="Y764" s="42" t="str">
        <f t="shared" si="47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5"/>
        <v>28348.636155563392</v>
      </c>
      <c r="S765" s="386"/>
      <c r="T765" s="78"/>
      <c r="X765" s="39" t="str">
        <f t="shared" si="46"/>
        <v/>
      </c>
      <c r="Y765" s="42" t="str">
        <f t="shared" si="47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5"/>
        <v>28348.636155563392</v>
      </c>
      <c r="S766" s="386"/>
      <c r="T766" s="78"/>
      <c r="X766" s="39" t="str">
        <f t="shared" si="46"/>
        <v/>
      </c>
      <c r="Y766" s="42" t="str">
        <f t="shared" si="47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5"/>
        <v>28348.636155563392</v>
      </c>
      <c r="S767" s="386"/>
      <c r="T767" s="78"/>
      <c r="X767" s="39" t="str">
        <f t="shared" si="46"/>
        <v/>
      </c>
      <c r="Y767" s="42" t="str">
        <f t="shared" si="47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5"/>
        <v>28348.636155563392</v>
      </c>
      <c r="S768" s="386"/>
      <c r="T768" s="78"/>
      <c r="X768" s="39" t="str">
        <f t="shared" si="46"/>
        <v/>
      </c>
      <c r="Y768" s="42" t="str">
        <f t="shared" si="47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5"/>
        <v>28348.636155563392</v>
      </c>
      <c r="S769" s="386"/>
      <c r="T769" s="78"/>
      <c r="X769" s="39" t="str">
        <f t="shared" si="46"/>
        <v/>
      </c>
      <c r="Y769" s="42" t="str">
        <f t="shared" si="47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5"/>
        <v>28348.636155563392</v>
      </c>
      <c r="S770" s="386"/>
      <c r="T770" s="78"/>
      <c r="X770" s="39" t="str">
        <f t="shared" si="46"/>
        <v/>
      </c>
      <c r="Y770" s="42" t="str">
        <f t="shared" si="47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5"/>
        <v>28348.636155563392</v>
      </c>
      <c r="S771" s="386"/>
      <c r="T771" s="78"/>
      <c r="X771" s="39" t="str">
        <f t="shared" si="46"/>
        <v/>
      </c>
      <c r="Y771" s="42" t="str">
        <f t="shared" si="47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5"/>
        <v>28348.636155563392</v>
      </c>
      <c r="S772" s="386"/>
      <c r="T772" s="78"/>
      <c r="X772" s="39" t="str">
        <f t="shared" si="46"/>
        <v/>
      </c>
      <c r="Y772" s="42" t="str">
        <f t="shared" si="47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5"/>
        <v>28348.636155563392</v>
      </c>
      <c r="S773" s="386"/>
      <c r="T773" s="78"/>
      <c r="X773" s="39" t="str">
        <f t="shared" si="46"/>
        <v/>
      </c>
      <c r="Y773" s="42" t="str">
        <f t="shared" si="47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5"/>
        <v>28348.636155563392</v>
      </c>
      <c r="S774" s="386"/>
      <c r="T774" s="78"/>
      <c r="X774" s="39" t="str">
        <f t="shared" si="46"/>
        <v/>
      </c>
      <c r="Y774" s="42" t="str">
        <f t="shared" si="47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5"/>
        <v>28348.636155563392</v>
      </c>
      <c r="S775" s="386"/>
      <c r="T775" s="78"/>
      <c r="X775" s="39" t="str">
        <f t="shared" si="46"/>
        <v/>
      </c>
      <c r="Y775" s="42" t="str">
        <f t="shared" si="47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5"/>
        <v>28348.636155563392</v>
      </c>
      <c r="S776" s="386"/>
      <c r="T776" s="78"/>
      <c r="X776" s="39" t="str">
        <f t="shared" si="46"/>
        <v/>
      </c>
      <c r="Y776" s="42" t="str">
        <f t="shared" si="47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5"/>
        <v>28348.636155563392</v>
      </c>
      <c r="S777" s="386"/>
      <c r="T777" s="78"/>
      <c r="X777" s="39" t="str">
        <f t="shared" si="46"/>
        <v/>
      </c>
      <c r="Y777" s="42" t="str">
        <f t="shared" si="47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5"/>
        <v>28348.636155563392</v>
      </c>
      <c r="S778" s="386"/>
      <c r="T778" s="78"/>
      <c r="X778" s="39" t="str">
        <f t="shared" si="46"/>
        <v/>
      </c>
      <c r="Y778" s="42" t="str">
        <f t="shared" si="47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5"/>
        <v>28348.636155563392</v>
      </c>
      <c r="S779" s="386"/>
      <c r="T779" s="78"/>
      <c r="X779" s="39" t="str">
        <f t="shared" si="46"/>
        <v/>
      </c>
      <c r="Y779" s="42" t="str">
        <f t="shared" si="47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5"/>
        <v>28348.636155563392</v>
      </c>
      <c r="S780" s="386"/>
      <c r="T780" s="78"/>
      <c r="X780" s="39" t="str">
        <f t="shared" si="46"/>
        <v/>
      </c>
      <c r="Y780" s="42" t="str">
        <f t="shared" si="47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5"/>
        <v>28348.636155563392</v>
      </c>
      <c r="S781" s="386"/>
      <c r="T781" s="78"/>
      <c r="X781" s="39" t="str">
        <f t="shared" si="46"/>
        <v/>
      </c>
      <c r="Y781" s="42" t="str">
        <f t="shared" si="47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5"/>
        <v>28348.636155563392</v>
      </c>
      <c r="S782" s="386"/>
      <c r="T782" s="78"/>
      <c r="X782" s="39" t="str">
        <f t="shared" si="46"/>
        <v/>
      </c>
      <c r="Y782" s="42" t="str">
        <f t="shared" si="47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5"/>
        <v>28348.636155563392</v>
      </c>
      <c r="S783" s="386"/>
      <c r="T783" s="78"/>
      <c r="X783" s="39" t="str">
        <f t="shared" si="46"/>
        <v/>
      </c>
      <c r="Y783" s="42" t="str">
        <f t="shared" si="47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5"/>
        <v>28348.636155563392</v>
      </c>
      <c r="S784" s="386"/>
      <c r="T784" s="78"/>
      <c r="X784" s="39" t="str">
        <f t="shared" si="46"/>
        <v/>
      </c>
      <c r="Y784" s="42" t="str">
        <f t="shared" si="47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5"/>
        <v>28348.636155563392</v>
      </c>
      <c r="S785" s="386"/>
      <c r="T785" s="78"/>
      <c r="X785" s="39" t="str">
        <f t="shared" si="46"/>
        <v/>
      </c>
      <c r="Y785" s="42" t="str">
        <f t="shared" si="47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5"/>
        <v>28348.636155563392</v>
      </c>
      <c r="S786" s="386"/>
      <c r="T786" s="78"/>
      <c r="X786" s="39" t="str">
        <f t="shared" si="46"/>
        <v/>
      </c>
      <c r="Y786" s="42" t="str">
        <f t="shared" si="47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5"/>
        <v>28348.636155563392</v>
      </c>
      <c r="S787" s="386"/>
      <c r="T787" s="78"/>
      <c r="X787" s="39" t="str">
        <f t="shared" si="46"/>
        <v/>
      </c>
      <c r="Y787" s="42" t="str">
        <f t="shared" si="47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5"/>
        <v>28348.636155563392</v>
      </c>
      <c r="S788" s="386"/>
      <c r="T788" s="78"/>
      <c r="X788" s="39" t="str">
        <f t="shared" si="46"/>
        <v/>
      </c>
      <c r="Y788" s="42" t="str">
        <f t="shared" si="47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5"/>
        <v>28348.636155563392</v>
      </c>
      <c r="S789" s="386"/>
      <c r="T789" s="78"/>
      <c r="X789" s="39" t="str">
        <f t="shared" si="46"/>
        <v/>
      </c>
      <c r="Y789" s="42" t="str">
        <f t="shared" si="47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5"/>
        <v>28348.636155563392</v>
      </c>
      <c r="S790" s="386"/>
      <c r="T790" s="78"/>
      <c r="X790" s="39" t="str">
        <f t="shared" si="46"/>
        <v/>
      </c>
      <c r="Y790" s="42" t="str">
        <f t="shared" si="47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5"/>
        <v>28348.636155563392</v>
      </c>
      <c r="S791" s="386"/>
      <c r="T791" s="78"/>
      <c r="X791" s="39" t="str">
        <f t="shared" si="46"/>
        <v/>
      </c>
      <c r="Y791" s="42" t="str">
        <f t="shared" si="47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5"/>
        <v>28348.636155563392</v>
      </c>
      <c r="S792" s="386"/>
      <c r="T792" s="78"/>
      <c r="X792" s="39" t="str">
        <f t="shared" si="46"/>
        <v/>
      </c>
      <c r="Y792" s="42" t="str">
        <f t="shared" si="47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5"/>
        <v>28348.636155563392</v>
      </c>
      <c r="S793" s="386"/>
      <c r="T793" s="78"/>
      <c r="X793" s="39" t="str">
        <f t="shared" si="46"/>
        <v/>
      </c>
      <c r="Y793" s="42" t="str">
        <f t="shared" si="47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5"/>
        <v>28348.636155563392</v>
      </c>
      <c r="S794" s="386"/>
      <c r="T794" s="78"/>
      <c r="X794" s="39" t="str">
        <f t="shared" si="46"/>
        <v/>
      </c>
      <c r="Y794" s="42" t="str">
        <f t="shared" si="47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5"/>
        <v>28348.636155563392</v>
      </c>
      <c r="S795" s="386"/>
      <c r="T795" s="78"/>
      <c r="X795" s="39" t="str">
        <f t="shared" si="46"/>
        <v/>
      </c>
      <c r="Y795" s="42" t="str">
        <f t="shared" si="47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5"/>
        <v>28348.636155563392</v>
      </c>
      <c r="S796" s="386"/>
      <c r="T796" s="78"/>
      <c r="X796" s="39" t="str">
        <f t="shared" si="46"/>
        <v/>
      </c>
      <c r="Y796" s="42" t="str">
        <f t="shared" si="47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5"/>
        <v>28348.636155563392</v>
      </c>
      <c r="S797" s="386"/>
      <c r="T797" s="78"/>
      <c r="X797" s="39" t="str">
        <f t="shared" si="46"/>
        <v/>
      </c>
      <c r="Y797" s="42" t="str">
        <f t="shared" si="47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5"/>
        <v>28348.636155563392</v>
      </c>
      <c r="S798" s="386"/>
      <c r="T798" s="78"/>
      <c r="X798" s="39" t="str">
        <f t="shared" si="46"/>
        <v/>
      </c>
      <c r="Y798" s="42" t="str">
        <f t="shared" si="47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5"/>
        <v>28348.636155563392</v>
      </c>
      <c r="S799" s="386"/>
      <c r="T799" s="78"/>
      <c r="X799" s="39" t="str">
        <f t="shared" si="46"/>
        <v/>
      </c>
      <c r="Y799" s="42" t="str">
        <f t="shared" si="47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5"/>
        <v>28348.636155563392</v>
      </c>
      <c r="S800" s="386"/>
      <c r="T800" s="78"/>
      <c r="X800" s="39" t="str">
        <f t="shared" si="46"/>
        <v/>
      </c>
      <c r="Y800" s="42" t="str">
        <f t="shared" si="47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5"/>
        <v>28348.636155563392</v>
      </c>
      <c r="S801" s="386"/>
      <c r="T801" s="78"/>
      <c r="X801" s="39" t="str">
        <f t="shared" si="46"/>
        <v/>
      </c>
      <c r="Y801" s="42" t="str">
        <f t="shared" si="47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48">R801*((J802/100)+1)</f>
        <v>28348.636155563392</v>
      </c>
      <c r="S802" s="386"/>
      <c r="T802" s="78"/>
      <c r="X802" s="39" t="str">
        <f t="shared" si="46"/>
        <v/>
      </c>
      <c r="Y802" s="42" t="str">
        <f t="shared" si="47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48"/>
        <v>28348.636155563392</v>
      </c>
      <c r="S803" s="386"/>
      <c r="T803" s="78"/>
      <c r="X803" s="39" t="str">
        <f t="shared" si="46"/>
        <v/>
      </c>
      <c r="Y803" s="42" t="str">
        <f t="shared" si="47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48"/>
        <v>28348.636155563392</v>
      </c>
      <c r="S804" s="386"/>
      <c r="T804" s="78"/>
      <c r="X804" s="39" t="str">
        <f t="shared" si="46"/>
        <v/>
      </c>
      <c r="Y804" s="42" t="str">
        <f t="shared" si="47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48"/>
        <v>28348.636155563392</v>
      </c>
      <c r="S805" s="386"/>
      <c r="T805" s="78"/>
      <c r="X805" s="39" t="str">
        <f t="shared" si="46"/>
        <v/>
      </c>
      <c r="Y805" s="42" t="str">
        <f t="shared" si="47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48"/>
        <v>28348.636155563392</v>
      </c>
      <c r="S806" s="386"/>
      <c r="T806" s="78"/>
      <c r="X806" s="39" t="str">
        <f t="shared" si="46"/>
        <v/>
      </c>
      <c r="Y806" s="42" t="str">
        <f t="shared" si="47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48"/>
        <v>28348.636155563392</v>
      </c>
      <c r="S807" s="386"/>
      <c r="T807" s="78"/>
      <c r="X807" s="39" t="str">
        <f t="shared" si="46"/>
        <v/>
      </c>
      <c r="Y807" s="42" t="str">
        <f t="shared" si="47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48"/>
        <v>28348.636155563392</v>
      </c>
      <c r="S808" s="386"/>
      <c r="T808" s="78"/>
      <c r="X808" s="39" t="str">
        <f t="shared" si="46"/>
        <v/>
      </c>
      <c r="Y808" s="42" t="str">
        <f t="shared" si="47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48"/>
        <v>28348.636155563392</v>
      </c>
      <c r="S809" s="386"/>
      <c r="T809" s="78"/>
      <c r="X809" s="39" t="str">
        <f t="shared" si="46"/>
        <v/>
      </c>
      <c r="Y809" s="42" t="str">
        <f t="shared" si="47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48"/>
        <v>28348.636155563392</v>
      </c>
      <c r="S810" s="386"/>
      <c r="T810" s="78"/>
      <c r="X810" s="39" t="str">
        <f t="shared" si="46"/>
        <v/>
      </c>
      <c r="Y810" s="42" t="str">
        <f t="shared" si="47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48"/>
        <v>28348.636155563392</v>
      </c>
      <c r="S811" s="386"/>
      <c r="T811" s="78"/>
      <c r="X811" s="39" t="str">
        <f t="shared" si="46"/>
        <v/>
      </c>
      <c r="Y811" s="42" t="str">
        <f t="shared" si="47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48"/>
        <v>28348.636155563392</v>
      </c>
      <c r="S812" s="386"/>
      <c r="T812" s="78"/>
      <c r="X812" s="39" t="str">
        <f t="shared" si="46"/>
        <v/>
      </c>
      <c r="Y812" s="42" t="str">
        <f t="shared" si="47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48"/>
        <v>28348.636155563392</v>
      </c>
      <c r="S813" s="386"/>
      <c r="T813" s="78"/>
      <c r="X813" s="39" t="str">
        <f t="shared" si="46"/>
        <v/>
      </c>
      <c r="Y813" s="42" t="str">
        <f t="shared" si="47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48"/>
        <v>28348.636155563392</v>
      </c>
      <c r="S814" s="386"/>
      <c r="T814" s="78"/>
      <c r="X814" s="39" t="str">
        <f t="shared" si="46"/>
        <v/>
      </c>
      <c r="Y814" s="42" t="str">
        <f t="shared" si="47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48"/>
        <v>28348.636155563392</v>
      </c>
      <c r="S815" s="386"/>
      <c r="T815" s="78"/>
      <c r="X815" s="39" t="str">
        <f t="shared" si="46"/>
        <v/>
      </c>
      <c r="Y815" s="42" t="str">
        <f t="shared" si="47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48"/>
        <v>28348.636155563392</v>
      </c>
      <c r="S816" s="386"/>
      <c r="T816" s="78"/>
      <c r="X816" s="39" t="str">
        <f t="shared" si="46"/>
        <v/>
      </c>
      <c r="Y816" s="42" t="str">
        <f t="shared" si="47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48"/>
        <v>28348.636155563392</v>
      </c>
      <c r="S817" s="386"/>
      <c r="T817" s="78"/>
      <c r="X817" s="39" t="str">
        <f t="shared" si="46"/>
        <v/>
      </c>
      <c r="Y817" s="42" t="str">
        <f t="shared" si="47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48"/>
        <v>28348.636155563392</v>
      </c>
      <c r="S818" s="386"/>
      <c r="T818" s="78"/>
      <c r="X818" s="39" t="str">
        <f t="shared" si="46"/>
        <v/>
      </c>
      <c r="Y818" s="42" t="str">
        <f t="shared" si="47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48"/>
        <v>28348.636155563392</v>
      </c>
      <c r="S819" s="386"/>
      <c r="T819" s="78"/>
      <c r="X819" s="39" t="str">
        <f t="shared" si="46"/>
        <v/>
      </c>
      <c r="Y819" s="42" t="str">
        <f t="shared" si="47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48"/>
        <v>28348.636155563392</v>
      </c>
      <c r="S820" s="386"/>
      <c r="T820" s="78"/>
      <c r="X820" s="39" t="str">
        <f t="shared" si="46"/>
        <v/>
      </c>
      <c r="Y820" s="42" t="str">
        <f t="shared" si="47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48"/>
        <v>28348.636155563392</v>
      </c>
      <c r="S821" s="386"/>
      <c r="T821" s="78"/>
      <c r="X821" s="39" t="str">
        <f t="shared" si="46"/>
        <v/>
      </c>
      <c r="Y821" s="42" t="str">
        <f t="shared" si="47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48"/>
        <v>28348.636155563392</v>
      </c>
      <c r="S822" s="386"/>
      <c r="T822" s="78"/>
      <c r="X822" s="39" t="str">
        <f t="shared" ref="X822:X885" si="49">IF(I937&lt;&gt;0,I937,"")</f>
        <v/>
      </c>
      <c r="Y822" s="42" t="str">
        <f t="shared" ref="Y822:Y885" si="50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48"/>
        <v>28348.636155563392</v>
      </c>
      <c r="S823" s="386"/>
      <c r="T823" s="78"/>
      <c r="X823" s="39" t="str">
        <f t="shared" si="49"/>
        <v/>
      </c>
      <c r="Y823" s="42" t="str">
        <f t="shared" si="50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48"/>
        <v>28348.636155563392</v>
      </c>
      <c r="S824" s="386"/>
      <c r="T824" s="78"/>
      <c r="X824" s="39" t="str">
        <f t="shared" si="49"/>
        <v/>
      </c>
      <c r="Y824" s="42" t="str">
        <f t="shared" si="50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48"/>
        <v>28348.636155563392</v>
      </c>
      <c r="S825" s="386"/>
      <c r="T825" s="78"/>
      <c r="X825" s="39" t="str">
        <f t="shared" si="49"/>
        <v/>
      </c>
      <c r="Y825" s="42" t="str">
        <f t="shared" si="50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48"/>
        <v>28348.636155563392</v>
      </c>
      <c r="S826" s="386"/>
      <c r="T826" s="78"/>
      <c r="X826" s="39" t="str">
        <f t="shared" si="49"/>
        <v/>
      </c>
      <c r="Y826" s="42" t="str">
        <f t="shared" si="50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48"/>
        <v>28348.636155563392</v>
      </c>
      <c r="S827" s="386"/>
      <c r="T827" s="78"/>
      <c r="X827" s="39" t="str">
        <f t="shared" si="49"/>
        <v/>
      </c>
      <c r="Y827" s="42" t="str">
        <f t="shared" si="50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48"/>
        <v>28348.636155563392</v>
      </c>
      <c r="S828" s="386"/>
      <c r="T828" s="78"/>
      <c r="X828" s="39" t="str">
        <f t="shared" si="49"/>
        <v/>
      </c>
      <c r="Y828" s="42" t="str">
        <f t="shared" si="50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48"/>
        <v>28348.636155563392</v>
      </c>
      <c r="S829" s="386"/>
      <c r="T829" s="78"/>
      <c r="X829" s="39" t="str">
        <f t="shared" si="49"/>
        <v/>
      </c>
      <c r="Y829" s="42" t="str">
        <f t="shared" si="50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48"/>
        <v>28348.636155563392</v>
      </c>
      <c r="S830" s="386"/>
      <c r="T830" s="78"/>
      <c r="X830" s="39" t="str">
        <f t="shared" si="49"/>
        <v/>
      </c>
      <c r="Y830" s="42" t="str">
        <f t="shared" si="50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48"/>
        <v>28348.636155563392</v>
      </c>
      <c r="S831" s="386"/>
      <c r="T831" s="78"/>
      <c r="X831" s="39" t="str">
        <f t="shared" si="49"/>
        <v/>
      </c>
      <c r="Y831" s="42" t="str">
        <f t="shared" si="50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48"/>
        <v>28348.636155563392</v>
      </c>
      <c r="S832" s="386"/>
      <c r="T832" s="78"/>
      <c r="X832" s="39" t="str">
        <f t="shared" si="49"/>
        <v/>
      </c>
      <c r="Y832" s="42" t="str">
        <f t="shared" si="50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48"/>
        <v>28348.636155563392</v>
      </c>
      <c r="S833" s="386"/>
      <c r="T833" s="78"/>
      <c r="X833" s="39" t="str">
        <f t="shared" si="49"/>
        <v/>
      </c>
      <c r="Y833" s="42" t="str">
        <f t="shared" si="50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48"/>
        <v>28348.636155563392</v>
      </c>
      <c r="S834" s="386"/>
      <c r="T834" s="78"/>
      <c r="X834" s="39" t="str">
        <f t="shared" si="49"/>
        <v/>
      </c>
      <c r="Y834" s="42" t="str">
        <f t="shared" si="50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48"/>
        <v>28348.636155563392</v>
      </c>
      <c r="S835" s="386"/>
      <c r="T835" s="78"/>
      <c r="X835" s="39" t="str">
        <f t="shared" si="49"/>
        <v/>
      </c>
      <c r="Y835" s="42" t="str">
        <f t="shared" si="50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48"/>
        <v>28348.636155563392</v>
      </c>
      <c r="S836" s="386"/>
      <c r="T836" s="78"/>
      <c r="X836" s="39" t="str">
        <f t="shared" si="49"/>
        <v/>
      </c>
      <c r="Y836" s="42" t="str">
        <f t="shared" si="50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48"/>
        <v>28348.636155563392</v>
      </c>
      <c r="S837" s="386"/>
      <c r="T837" s="78"/>
      <c r="X837" s="39" t="str">
        <f t="shared" si="49"/>
        <v/>
      </c>
      <c r="Y837" s="42" t="str">
        <f t="shared" si="50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48"/>
        <v>28348.636155563392</v>
      </c>
      <c r="S838" s="386"/>
      <c r="T838" s="78"/>
      <c r="X838" s="39" t="str">
        <f t="shared" si="49"/>
        <v/>
      </c>
      <c r="Y838" s="42" t="str">
        <f t="shared" si="50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48"/>
        <v>28348.636155563392</v>
      </c>
      <c r="S839" s="386"/>
      <c r="T839" s="78"/>
      <c r="X839" s="39" t="str">
        <f t="shared" si="49"/>
        <v/>
      </c>
      <c r="Y839" s="42" t="str">
        <f t="shared" si="50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48"/>
        <v>28348.636155563392</v>
      </c>
      <c r="S840" s="386"/>
      <c r="T840" s="78"/>
      <c r="X840" s="39" t="str">
        <f t="shared" si="49"/>
        <v/>
      </c>
      <c r="Y840" s="42" t="str">
        <f t="shared" si="50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48"/>
        <v>28348.636155563392</v>
      </c>
      <c r="S841" s="386"/>
      <c r="T841" s="78"/>
      <c r="X841" s="39" t="str">
        <f t="shared" si="49"/>
        <v/>
      </c>
      <c r="Y841" s="42" t="str">
        <f t="shared" si="50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48"/>
        <v>28348.636155563392</v>
      </c>
      <c r="S842" s="386"/>
      <c r="T842" s="78"/>
      <c r="X842" s="39" t="str">
        <f t="shared" si="49"/>
        <v/>
      </c>
      <c r="Y842" s="42" t="str">
        <f t="shared" si="50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48"/>
        <v>28348.636155563392</v>
      </c>
      <c r="S843" s="386"/>
      <c r="T843" s="78"/>
      <c r="X843" s="39" t="str">
        <f t="shared" si="49"/>
        <v/>
      </c>
      <c r="Y843" s="42" t="str">
        <f t="shared" si="50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48"/>
        <v>28348.636155563392</v>
      </c>
      <c r="S844" s="386"/>
      <c r="T844" s="78"/>
      <c r="X844" s="39" t="str">
        <f t="shared" si="49"/>
        <v/>
      </c>
      <c r="Y844" s="42" t="str">
        <f t="shared" si="50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48"/>
        <v>28348.636155563392</v>
      </c>
      <c r="S845" s="386"/>
      <c r="T845" s="78"/>
      <c r="X845" s="39" t="str">
        <f t="shared" si="49"/>
        <v/>
      </c>
      <c r="Y845" s="42" t="str">
        <f t="shared" si="50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48"/>
        <v>28348.636155563392</v>
      </c>
      <c r="S846" s="386"/>
      <c r="T846" s="78"/>
      <c r="X846" s="39" t="str">
        <f t="shared" si="49"/>
        <v/>
      </c>
      <c r="Y846" s="42" t="str">
        <f t="shared" si="50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48"/>
        <v>28348.636155563392</v>
      </c>
      <c r="S847" s="386"/>
      <c r="T847" s="78"/>
      <c r="X847" s="39" t="str">
        <f t="shared" si="49"/>
        <v/>
      </c>
      <c r="Y847" s="42" t="str">
        <f t="shared" si="50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48"/>
        <v>28348.636155563392</v>
      </c>
      <c r="S848" s="386"/>
      <c r="T848" s="78"/>
      <c r="X848" s="39" t="str">
        <f t="shared" si="49"/>
        <v/>
      </c>
      <c r="Y848" s="42" t="str">
        <f t="shared" si="50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48"/>
        <v>28348.636155563392</v>
      </c>
      <c r="S849" s="386"/>
      <c r="T849" s="78"/>
      <c r="X849" s="39" t="str">
        <f t="shared" si="49"/>
        <v/>
      </c>
      <c r="Y849" s="42" t="str">
        <f t="shared" si="50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48"/>
        <v>28348.636155563392</v>
      </c>
      <c r="S850" s="386"/>
      <c r="T850" s="78"/>
      <c r="X850" s="39" t="str">
        <f t="shared" si="49"/>
        <v/>
      </c>
      <c r="Y850" s="42" t="str">
        <f t="shared" si="50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48"/>
        <v>28348.636155563392</v>
      </c>
      <c r="S851" s="386"/>
      <c r="T851" s="78"/>
      <c r="X851" s="39" t="str">
        <f t="shared" si="49"/>
        <v/>
      </c>
      <c r="Y851" s="42" t="str">
        <f t="shared" si="50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48"/>
        <v>28348.636155563392</v>
      </c>
      <c r="S852" s="386"/>
      <c r="T852" s="78"/>
      <c r="X852" s="39" t="str">
        <f t="shared" si="49"/>
        <v/>
      </c>
      <c r="Y852" s="42" t="str">
        <f t="shared" si="50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48"/>
        <v>28348.636155563392</v>
      </c>
      <c r="S853" s="386"/>
      <c r="T853" s="78"/>
      <c r="X853" s="39" t="str">
        <f t="shared" si="49"/>
        <v/>
      </c>
      <c r="Y853" s="42" t="str">
        <f t="shared" si="50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48"/>
        <v>28348.636155563392</v>
      </c>
      <c r="S854" s="386"/>
      <c r="T854" s="78"/>
      <c r="X854" s="39" t="str">
        <f t="shared" si="49"/>
        <v/>
      </c>
      <c r="Y854" s="42" t="str">
        <f t="shared" si="50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48"/>
        <v>28348.636155563392</v>
      </c>
      <c r="S855" s="386"/>
      <c r="T855" s="78"/>
      <c r="X855" s="39" t="str">
        <f t="shared" si="49"/>
        <v/>
      </c>
      <c r="Y855" s="42" t="str">
        <f t="shared" si="50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48"/>
        <v>28348.636155563392</v>
      </c>
      <c r="S856" s="386"/>
      <c r="T856" s="78"/>
      <c r="X856" s="39" t="str">
        <f t="shared" si="49"/>
        <v/>
      </c>
      <c r="Y856" s="42" t="str">
        <f t="shared" si="50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48"/>
        <v>28348.636155563392</v>
      </c>
      <c r="S857" s="386"/>
      <c r="T857" s="78"/>
      <c r="X857" s="39" t="str">
        <f t="shared" si="49"/>
        <v/>
      </c>
      <c r="Y857" s="42" t="str">
        <f t="shared" si="50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48"/>
        <v>28348.636155563392</v>
      </c>
      <c r="S858" s="386"/>
      <c r="T858" s="78"/>
      <c r="X858" s="39" t="str">
        <f t="shared" si="49"/>
        <v/>
      </c>
      <c r="Y858" s="42" t="str">
        <f t="shared" si="50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48"/>
        <v>28348.636155563392</v>
      </c>
      <c r="S859" s="386"/>
      <c r="T859" s="78"/>
      <c r="X859" s="39" t="str">
        <f t="shared" si="49"/>
        <v/>
      </c>
      <c r="Y859" s="42" t="str">
        <f t="shared" si="50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48"/>
        <v>28348.636155563392</v>
      </c>
      <c r="S860" s="386"/>
      <c r="T860" s="78"/>
      <c r="X860" s="39" t="str">
        <f t="shared" si="49"/>
        <v/>
      </c>
      <c r="Y860" s="42" t="str">
        <f t="shared" si="50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48"/>
        <v>28348.636155563392</v>
      </c>
      <c r="S861" s="386"/>
      <c r="T861" s="78"/>
      <c r="X861" s="39" t="str">
        <f t="shared" si="49"/>
        <v/>
      </c>
      <c r="Y861" s="42" t="str">
        <f t="shared" si="50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48"/>
        <v>28348.636155563392</v>
      </c>
      <c r="S862" s="386"/>
      <c r="T862" s="78"/>
      <c r="X862" s="39" t="str">
        <f t="shared" si="49"/>
        <v/>
      </c>
      <c r="Y862" s="42" t="str">
        <f t="shared" si="50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48"/>
        <v>28348.636155563392</v>
      </c>
      <c r="S863" s="386"/>
      <c r="T863" s="78"/>
      <c r="X863" s="39" t="str">
        <f t="shared" si="49"/>
        <v/>
      </c>
      <c r="Y863" s="42" t="str">
        <f t="shared" si="50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48"/>
        <v>28348.636155563392</v>
      </c>
      <c r="S864" s="386"/>
      <c r="T864" s="78"/>
      <c r="X864" s="39" t="str">
        <f t="shared" si="49"/>
        <v/>
      </c>
      <c r="Y864" s="42" t="str">
        <f t="shared" si="50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48"/>
        <v>28348.636155563392</v>
      </c>
      <c r="S865" s="386"/>
      <c r="T865" s="78"/>
      <c r="X865" s="39" t="str">
        <f t="shared" si="49"/>
        <v/>
      </c>
      <c r="Y865" s="42" t="str">
        <f t="shared" si="50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1">R865*((J866/100)+1)</f>
        <v>28348.636155563392</v>
      </c>
      <c r="S866" s="386"/>
      <c r="T866" s="78"/>
      <c r="X866" s="39" t="str">
        <f t="shared" si="49"/>
        <v/>
      </c>
      <c r="Y866" s="42" t="str">
        <f t="shared" si="50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1"/>
        <v>28348.636155563392</v>
      </c>
      <c r="S867" s="386"/>
      <c r="T867" s="78"/>
      <c r="X867" s="39" t="str">
        <f t="shared" si="49"/>
        <v/>
      </c>
      <c r="Y867" s="42" t="str">
        <f t="shared" si="50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1"/>
        <v>28348.636155563392</v>
      </c>
      <c r="S868" s="386"/>
      <c r="T868" s="78"/>
      <c r="X868" s="39" t="str">
        <f t="shared" si="49"/>
        <v/>
      </c>
      <c r="Y868" s="42" t="str">
        <f t="shared" si="50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1"/>
        <v>28348.636155563392</v>
      </c>
      <c r="S869" s="386"/>
      <c r="T869" s="78"/>
      <c r="X869" s="39" t="str">
        <f t="shared" si="49"/>
        <v/>
      </c>
      <c r="Y869" s="42" t="str">
        <f t="shared" si="50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1"/>
        <v>28348.636155563392</v>
      </c>
      <c r="S870" s="386"/>
      <c r="T870" s="78"/>
      <c r="X870" s="39" t="str">
        <f t="shared" si="49"/>
        <v/>
      </c>
      <c r="Y870" s="42" t="str">
        <f t="shared" si="50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1"/>
        <v>28348.636155563392</v>
      </c>
      <c r="S871" s="386"/>
      <c r="T871" s="78"/>
      <c r="X871" s="39" t="str">
        <f t="shared" si="49"/>
        <v/>
      </c>
      <c r="Y871" s="42" t="str">
        <f t="shared" si="50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1"/>
        <v>28348.636155563392</v>
      </c>
      <c r="S872" s="386"/>
      <c r="T872" s="78"/>
      <c r="X872" s="39" t="str">
        <f t="shared" si="49"/>
        <v/>
      </c>
      <c r="Y872" s="42" t="str">
        <f t="shared" si="50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1"/>
        <v>28348.636155563392</v>
      </c>
      <c r="S873" s="386"/>
      <c r="T873" s="78"/>
      <c r="X873" s="39" t="str">
        <f t="shared" si="49"/>
        <v/>
      </c>
      <c r="Y873" s="42" t="str">
        <f t="shared" si="50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1"/>
        <v>28348.636155563392</v>
      </c>
      <c r="S874" s="386"/>
      <c r="T874" s="78"/>
      <c r="X874" s="39" t="str">
        <f t="shared" si="49"/>
        <v/>
      </c>
      <c r="Y874" s="42" t="str">
        <f t="shared" si="50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1"/>
        <v>28348.636155563392</v>
      </c>
      <c r="S875" s="386"/>
      <c r="T875" s="78"/>
      <c r="X875" s="39" t="str">
        <f t="shared" si="49"/>
        <v/>
      </c>
      <c r="Y875" s="42" t="str">
        <f t="shared" si="50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1"/>
        <v>28348.636155563392</v>
      </c>
      <c r="S876" s="386"/>
      <c r="T876" s="78"/>
      <c r="X876" s="39" t="str">
        <f t="shared" si="49"/>
        <v/>
      </c>
      <c r="Y876" s="42" t="str">
        <f t="shared" si="50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1"/>
        <v>28348.636155563392</v>
      </c>
      <c r="S877" s="386"/>
      <c r="T877" s="78"/>
      <c r="X877" s="39" t="str">
        <f t="shared" si="49"/>
        <v/>
      </c>
      <c r="Y877" s="42" t="str">
        <f t="shared" si="50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1"/>
        <v>28348.636155563392</v>
      </c>
      <c r="S878" s="386"/>
      <c r="T878" s="78"/>
      <c r="X878" s="39" t="str">
        <f t="shared" si="49"/>
        <v/>
      </c>
      <c r="Y878" s="42" t="str">
        <f t="shared" si="50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1"/>
        <v>28348.636155563392</v>
      </c>
      <c r="S879" s="386"/>
      <c r="T879" s="78"/>
      <c r="X879" s="39" t="str">
        <f t="shared" si="49"/>
        <v/>
      </c>
      <c r="Y879" s="42" t="str">
        <f t="shared" si="50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1"/>
        <v>28348.636155563392</v>
      </c>
      <c r="S880" s="386"/>
      <c r="T880" s="78"/>
      <c r="X880" s="39" t="str">
        <f t="shared" si="49"/>
        <v/>
      </c>
      <c r="Y880" s="42" t="str">
        <f t="shared" si="50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1"/>
        <v>28348.636155563392</v>
      </c>
      <c r="S881" s="386"/>
      <c r="T881" s="78"/>
      <c r="X881" s="39" t="str">
        <f t="shared" si="49"/>
        <v/>
      </c>
      <c r="Y881" s="42" t="str">
        <f t="shared" si="50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1"/>
        <v>28348.636155563392</v>
      </c>
      <c r="S882" s="386"/>
      <c r="T882" s="78"/>
      <c r="X882" s="39" t="str">
        <f t="shared" si="49"/>
        <v/>
      </c>
      <c r="Y882" s="42" t="str">
        <f t="shared" si="50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1"/>
        <v>28348.636155563392</v>
      </c>
      <c r="S883" s="386"/>
      <c r="T883" s="78"/>
      <c r="X883" s="39" t="str">
        <f t="shared" si="49"/>
        <v/>
      </c>
      <c r="Y883" s="42" t="str">
        <f t="shared" si="50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1"/>
        <v>28348.636155563392</v>
      </c>
      <c r="S884" s="386"/>
      <c r="T884" s="78"/>
      <c r="X884" s="39" t="str">
        <f t="shared" si="49"/>
        <v/>
      </c>
      <c r="Y884" s="42" t="str">
        <f t="shared" si="50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1"/>
        <v>28348.636155563392</v>
      </c>
      <c r="S885" s="386"/>
      <c r="T885" s="78"/>
      <c r="X885" s="39" t="str">
        <f t="shared" si="49"/>
        <v/>
      </c>
      <c r="Y885" s="42" t="str">
        <f t="shared" si="50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1"/>
        <v>28348.636155563392</v>
      </c>
      <c r="S886" s="386"/>
      <c r="T886" s="78"/>
      <c r="X886" s="39" t="str">
        <f t="shared" ref="X886:X898" si="52">IF(I1001&lt;&gt;0,I1001,"")</f>
        <v/>
      </c>
      <c r="Y886" s="42" t="str">
        <f t="shared" ref="Y886:Y898" si="53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1"/>
        <v>28348.636155563392</v>
      </c>
      <c r="S887" s="386"/>
      <c r="T887" s="78"/>
      <c r="X887" s="39" t="str">
        <f t="shared" si="52"/>
        <v/>
      </c>
      <c r="Y887" s="42" t="str">
        <f t="shared" si="53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1"/>
        <v>28348.636155563392</v>
      </c>
      <c r="S888" s="386"/>
      <c r="T888" s="78"/>
      <c r="X888" s="39" t="str">
        <f t="shared" si="52"/>
        <v/>
      </c>
      <c r="Y888" s="42" t="str">
        <f t="shared" si="53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1"/>
        <v>28348.636155563392</v>
      </c>
      <c r="S889" s="386"/>
      <c r="T889" s="78"/>
      <c r="X889" s="39" t="str">
        <f t="shared" si="52"/>
        <v/>
      </c>
      <c r="Y889" s="42" t="str">
        <f t="shared" si="53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1"/>
        <v>28348.636155563392</v>
      </c>
      <c r="S890" s="386"/>
      <c r="T890" s="78"/>
      <c r="X890" s="39" t="str">
        <f t="shared" si="52"/>
        <v/>
      </c>
      <c r="Y890" s="42" t="str">
        <f t="shared" si="53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1"/>
        <v>28348.636155563392</v>
      </c>
      <c r="S891" s="386"/>
      <c r="T891" s="78"/>
      <c r="X891" s="39" t="str">
        <f t="shared" si="52"/>
        <v/>
      </c>
      <c r="Y891" s="42" t="str">
        <f t="shared" si="53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1"/>
        <v>28348.636155563392</v>
      </c>
      <c r="S892" s="386"/>
      <c r="T892" s="78"/>
      <c r="X892" s="39" t="str">
        <f t="shared" si="52"/>
        <v/>
      </c>
      <c r="Y892" s="42" t="str">
        <f t="shared" si="53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1"/>
        <v>28348.636155563392</v>
      </c>
      <c r="S893" s="386"/>
      <c r="T893" s="78"/>
      <c r="X893" s="39" t="str">
        <f t="shared" si="52"/>
        <v/>
      </c>
      <c r="Y893" s="42" t="str">
        <f t="shared" si="53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1"/>
        <v>28348.636155563392</v>
      </c>
      <c r="S894" s="386"/>
      <c r="T894" s="78"/>
      <c r="X894" s="39" t="str">
        <f t="shared" si="52"/>
        <v/>
      </c>
      <c r="Y894" s="42" t="str">
        <f t="shared" si="53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1"/>
        <v>28348.636155563392</v>
      </c>
      <c r="S895" s="386"/>
      <c r="T895" s="78"/>
      <c r="X895" s="39" t="str">
        <f t="shared" si="52"/>
        <v/>
      </c>
      <c r="Y895" s="42" t="str">
        <f t="shared" si="53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1"/>
        <v>28348.636155563392</v>
      </c>
      <c r="S896" s="386"/>
      <c r="T896" s="78"/>
      <c r="X896" s="39" t="str">
        <f t="shared" si="52"/>
        <v/>
      </c>
      <c r="Y896" s="42" t="str">
        <f t="shared" si="53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1"/>
        <v>28348.636155563392</v>
      </c>
      <c r="S897" s="386"/>
      <c r="T897" s="78"/>
      <c r="X897" s="39" t="str">
        <f t="shared" si="52"/>
        <v/>
      </c>
      <c r="Y897" s="42" t="str">
        <f t="shared" si="53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1"/>
        <v>28348.636155563392</v>
      </c>
      <c r="S898" s="386"/>
      <c r="T898" s="78"/>
      <c r="X898" s="39" t="str">
        <f t="shared" si="52"/>
        <v/>
      </c>
      <c r="Y898" s="42" t="str">
        <f t="shared" si="53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1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1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1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1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1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1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1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1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1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1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1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1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1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1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1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1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1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1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1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1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1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1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1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1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1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1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1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1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1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1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1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4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4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4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4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4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4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4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4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4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4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4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4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4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4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4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4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4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4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4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4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4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4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4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4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4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4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4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4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4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4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4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4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4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4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4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4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4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4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4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4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4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4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4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4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4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4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4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4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4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4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4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4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4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4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4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4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4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4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4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4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4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4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4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4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5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5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5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5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5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5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5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5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5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5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5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5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5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5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5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5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5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5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5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5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5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5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5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5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5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5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5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5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5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5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5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5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5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5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5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5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5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5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5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5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5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5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5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5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5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5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5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5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5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5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5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5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5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5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5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5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5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5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5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5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5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5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5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5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6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6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6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6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6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6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6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6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6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6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6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6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6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6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6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6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6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6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6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6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6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6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6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6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76" priority="1" operator="lessThan">
      <formula>0</formula>
    </cfRule>
  </conditionalFormatting>
  <conditionalFormatting sqref="I344:I345">
    <cfRule type="cellIs" dxfId="75" priority="2" operator="lessThan">
      <formula>0</formula>
    </cfRule>
  </conditionalFormatting>
  <conditionalFormatting sqref="M343 M345 M347 M380 M382 M384">
    <cfRule type="cellIs" dxfId="74" priority="3" operator="lessThan">
      <formula>0</formula>
    </cfRule>
  </conditionalFormatting>
  <conditionalFormatting sqref="M380 M382 M384">
    <cfRule type="cellIs" dxfId="73" priority="4" operator="lessThan">
      <formula>0</formula>
    </cfRule>
  </conditionalFormatting>
  <conditionalFormatting sqref="I340:I341">
    <cfRule type="cellIs" dxfId="72" priority="5" operator="lessThan">
      <formula>0</formula>
    </cfRule>
  </conditionalFormatting>
  <conditionalFormatting sqref="I336:I337">
    <cfRule type="cellIs" dxfId="71" priority="6" operator="lessThan">
      <formula>0</formula>
    </cfRule>
  </conditionalFormatting>
  <conditionalFormatting sqref="I332:I333">
    <cfRule type="cellIs" dxfId="70" priority="7" operator="lessThan">
      <formula>0</formula>
    </cfRule>
  </conditionalFormatting>
  <conditionalFormatting sqref="I328:I329">
    <cfRule type="cellIs" dxfId="69" priority="8" operator="lessThan">
      <formula>0</formula>
    </cfRule>
  </conditionalFormatting>
  <conditionalFormatting sqref="I326:I327">
    <cfRule type="cellIs" dxfId="68" priority="9" operator="lessThan">
      <formula>0</formula>
    </cfRule>
  </conditionalFormatting>
  <conditionalFormatting sqref="I324:I325">
    <cfRule type="cellIs" dxfId="67" priority="10" operator="lessThan">
      <formula>0</formula>
    </cfRule>
  </conditionalFormatting>
  <conditionalFormatting sqref="I320:I321">
    <cfRule type="cellIs" dxfId="66" priority="11" operator="lessThan">
      <formula>0</formula>
    </cfRule>
  </conditionalFormatting>
  <conditionalFormatting sqref="I318:I319">
    <cfRule type="cellIs" dxfId="65" priority="12" operator="lessThan">
      <formula>0</formula>
    </cfRule>
  </conditionalFormatting>
  <conditionalFormatting sqref="I316:I317">
    <cfRule type="cellIs" dxfId="64" priority="13" operator="lessThan">
      <formula>0</formula>
    </cfRule>
  </conditionalFormatting>
  <conditionalFormatting sqref="I314:I315">
    <cfRule type="cellIs" dxfId="63" priority="14" operator="lessThan">
      <formula>0</formula>
    </cfRule>
  </conditionalFormatting>
  <conditionalFormatting sqref="I310:I311">
    <cfRule type="cellIs" dxfId="62" priority="15" operator="lessThan">
      <formula>0</formula>
    </cfRule>
  </conditionalFormatting>
  <conditionalFormatting sqref="M312">
    <cfRule type="cellIs" dxfId="61" priority="16" operator="lessThan">
      <formula>0</formula>
    </cfRule>
  </conditionalFormatting>
  <conditionalFormatting sqref="M310">
    <cfRule type="cellIs" dxfId="60" priority="17" operator="lessThan">
      <formula>0</formula>
    </cfRule>
  </conditionalFormatting>
  <conditionalFormatting sqref="M308">
    <cfRule type="cellIs" dxfId="59" priority="18" operator="lessThan">
      <formula>0</formula>
    </cfRule>
  </conditionalFormatting>
  <conditionalFormatting sqref="I304:I305">
    <cfRule type="cellIs" dxfId="58" priority="19" operator="lessThan">
      <formula>0</formula>
    </cfRule>
  </conditionalFormatting>
  <conditionalFormatting sqref="I297:I298">
    <cfRule type="cellIs" dxfId="57" priority="20" operator="lessThan">
      <formula>0</formula>
    </cfRule>
  </conditionalFormatting>
  <conditionalFormatting sqref="I299:I300">
    <cfRule type="cellIs" dxfId="56" priority="21" operator="lessThan">
      <formula>0</formula>
    </cfRule>
  </conditionalFormatting>
  <conditionalFormatting sqref="I288:I290">
    <cfRule type="cellIs" dxfId="55" priority="22" operator="lessThan">
      <formula>0</formula>
    </cfRule>
  </conditionalFormatting>
  <conditionalFormatting sqref="I291:I292">
    <cfRule type="cellIs" dxfId="54" priority="23" operator="lessThan">
      <formula>0</formula>
    </cfRule>
  </conditionalFormatting>
  <conditionalFormatting sqref="I293:I294">
    <cfRule type="cellIs" dxfId="53" priority="24" operator="lessThan">
      <formula>0</formula>
    </cfRule>
  </conditionalFormatting>
  <conditionalFormatting sqref="I286:I287">
    <cfRule type="cellIs" dxfId="52" priority="25" operator="lessThan">
      <formula>0</formula>
    </cfRule>
  </conditionalFormatting>
  <conditionalFormatting sqref="I284:I285">
    <cfRule type="cellIs" dxfId="51" priority="26" operator="lessThan">
      <formula>0</formula>
    </cfRule>
  </conditionalFormatting>
  <conditionalFormatting sqref="I282:I283">
    <cfRule type="cellIs" dxfId="50" priority="27" operator="lessThan">
      <formula>0</formula>
    </cfRule>
  </conditionalFormatting>
  <conditionalFormatting sqref="I280:I281">
    <cfRule type="cellIs" dxfId="49" priority="28" operator="lessThan">
      <formula>0</formula>
    </cfRule>
  </conditionalFormatting>
  <conditionalFormatting sqref="I276:I277">
    <cfRule type="cellIs" dxfId="48" priority="29" operator="lessThan">
      <formula>0</formula>
    </cfRule>
  </conditionalFormatting>
  <conditionalFormatting sqref="M273 M275 M277">
    <cfRule type="cellIs" dxfId="47" priority="30" operator="lessThan">
      <formula>0</formula>
    </cfRule>
  </conditionalFormatting>
  <conditionalFormatting sqref="I270:I271">
    <cfRule type="cellIs" dxfId="46" priority="31" operator="lessThan">
      <formula>0</formula>
    </cfRule>
  </conditionalFormatting>
  <conditionalFormatting sqref="I266:I267">
    <cfRule type="cellIs" dxfId="45" priority="32" operator="lessThan">
      <formula>0</formula>
    </cfRule>
  </conditionalFormatting>
  <conditionalFormatting sqref="I262:I263">
    <cfRule type="cellIs" dxfId="44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43" priority="34" operator="lessThan">
      <formula>0</formula>
    </cfRule>
  </conditionalFormatting>
  <conditionalFormatting sqref="I258:I259">
    <cfRule type="cellIs" dxfId="42" priority="35" operator="lessThan">
      <formula>0</formula>
    </cfRule>
  </conditionalFormatting>
  <conditionalFormatting sqref="I254:I255">
    <cfRule type="cellIs" dxfId="41" priority="36" operator="lessThan">
      <formula>0</formula>
    </cfRule>
  </conditionalFormatting>
  <conditionalFormatting sqref="I248:I249">
    <cfRule type="cellIs" dxfId="40" priority="37" operator="lessThan">
      <formula>0</formula>
    </cfRule>
  </conditionalFormatting>
  <conditionalFormatting sqref="I250:I251">
    <cfRule type="cellIs" dxfId="39" priority="38" operator="lessThan">
      <formula>0</formula>
    </cfRule>
  </conditionalFormatting>
  <conditionalFormatting sqref="I246:I247">
    <cfRule type="cellIs" dxfId="38" priority="39" operator="lessThan">
      <formula>0</formula>
    </cfRule>
  </conditionalFormatting>
  <conditionalFormatting sqref="I242:I243">
    <cfRule type="cellIs" dxfId="37" priority="40" operator="lessThan">
      <formula>0</formula>
    </cfRule>
  </conditionalFormatting>
  <conditionalFormatting sqref="I240:I241">
    <cfRule type="cellIs" dxfId="36" priority="41" operator="lessThan">
      <formula>0</formula>
    </cfRule>
  </conditionalFormatting>
  <conditionalFormatting sqref="I238:I239">
    <cfRule type="cellIs" dxfId="35" priority="42" operator="lessThan">
      <formula>0</formula>
    </cfRule>
  </conditionalFormatting>
  <conditionalFormatting sqref="I234:I235">
    <cfRule type="cellIs" dxfId="34" priority="43" operator="lessThan">
      <formula>0</formula>
    </cfRule>
  </conditionalFormatting>
  <conditionalFormatting sqref="I125:I126">
    <cfRule type="cellIs" dxfId="33" priority="44" operator="lessThan">
      <formula>0</formula>
    </cfRule>
  </conditionalFormatting>
  <conditionalFormatting sqref="I129:I130">
    <cfRule type="cellIs" dxfId="32" priority="45" operator="lessThan">
      <formula>0</formula>
    </cfRule>
  </conditionalFormatting>
  <conditionalFormatting sqref="I127:I128">
    <cfRule type="cellIs" dxfId="31" priority="46" operator="lessThan">
      <formula>0</formula>
    </cfRule>
  </conditionalFormatting>
  <conditionalFormatting sqref="I230:I231 I363:I364 I405:I406 I409:I410">
    <cfRule type="cellIs" dxfId="30" priority="47" operator="lessThan">
      <formula>0</formula>
    </cfRule>
  </conditionalFormatting>
  <conditionalFormatting sqref="I228:I229">
    <cfRule type="cellIs" dxfId="29" priority="48" operator="lessThan">
      <formula>0</formula>
    </cfRule>
  </conditionalFormatting>
  <conditionalFormatting sqref="M231 M233 M235">
    <cfRule type="cellIs" dxfId="28" priority="49" operator="lessThan">
      <formula>0</formula>
    </cfRule>
  </conditionalFormatting>
  <conditionalFormatting sqref="I226:I227">
    <cfRule type="cellIs" dxfId="27" priority="50" operator="lessThan">
      <formula>0</formula>
    </cfRule>
  </conditionalFormatting>
  <conditionalFormatting sqref="I222:I223">
    <cfRule type="cellIs" dxfId="26" priority="51" operator="lessThan">
      <formula>0</formula>
    </cfRule>
  </conditionalFormatting>
  <conditionalFormatting sqref="I219">
    <cfRule type="cellIs" dxfId="25" priority="52" operator="lessThan">
      <formula>0</formula>
    </cfRule>
  </conditionalFormatting>
  <conditionalFormatting sqref="I213:I214">
    <cfRule type="cellIs" dxfId="24" priority="53" operator="lessThan">
      <formula>0</formula>
    </cfRule>
  </conditionalFormatting>
  <conditionalFormatting sqref="I209:I210">
    <cfRule type="cellIs" dxfId="23" priority="54" operator="lessThan">
      <formula>0</formula>
    </cfRule>
  </conditionalFormatting>
  <conditionalFormatting sqref="I205:I206">
    <cfRule type="cellIs" dxfId="22" priority="55" operator="lessThan">
      <formula>0</formula>
    </cfRule>
  </conditionalFormatting>
  <conditionalFormatting sqref="I201:I202 I205:I206">
    <cfRule type="cellIs" dxfId="21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20" priority="57" operator="lessThan">
      <formula>0</formula>
    </cfRule>
  </conditionalFormatting>
  <conditionalFormatting sqref="I199:I200">
    <cfRule type="cellIs" dxfId="19" priority="58" operator="lessThan">
      <formula>0</formula>
    </cfRule>
  </conditionalFormatting>
  <conditionalFormatting sqref="I197:I198 I201:I202 I205:I206">
    <cfRule type="cellIs" dxfId="18" priority="59" operator="lessThan">
      <formula>0</formula>
    </cfRule>
  </conditionalFormatting>
  <conditionalFormatting sqref="I195:I196">
    <cfRule type="cellIs" dxfId="17" priority="60" operator="lessThan">
      <formula>0</formula>
    </cfRule>
  </conditionalFormatting>
  <conditionalFormatting sqref="I91:I92">
    <cfRule type="cellIs" dxfId="16" priority="61" operator="lessThan">
      <formula>0</formula>
    </cfRule>
  </conditionalFormatting>
  <conditionalFormatting sqref="I46:I47">
    <cfRule type="cellIs" dxfId="15" priority="62" operator="lessThan">
      <formula>0</formula>
    </cfRule>
  </conditionalFormatting>
  <conditionalFormatting sqref="I17:I18">
    <cfRule type="cellIs" dxfId="14" priority="63" operator="lessThan">
      <formula>0</formula>
    </cfRule>
  </conditionalFormatting>
  <conditionalFormatting sqref="I15:I16">
    <cfRule type="cellIs" dxfId="13" priority="64" operator="lessThan">
      <formula>0</formula>
    </cfRule>
  </conditionalFormatting>
  <conditionalFormatting sqref="I193:I194 I197:I198 I201:I202 I205:I206">
    <cfRule type="cellIs" dxfId="12" priority="65" operator="lessThan">
      <formula>0</formula>
    </cfRule>
  </conditionalFormatting>
  <conditionalFormatting sqref="M186 M188 M190">
    <cfRule type="cellIs" dxfId="11" priority="66" operator="lessThan">
      <formula>0</formula>
    </cfRule>
  </conditionalFormatting>
  <conditionalFormatting sqref="M142 M144 M146">
    <cfRule type="cellIs" dxfId="10" priority="67" operator="lessThan">
      <formula>0</formula>
    </cfRule>
  </conditionalFormatting>
  <conditionalFormatting sqref="M109 M111 M113">
    <cfRule type="cellIs" dxfId="9" priority="68" operator="lessThan">
      <formula>0</formula>
    </cfRule>
  </conditionalFormatting>
  <conditionalFormatting sqref="M78 M80 M82">
    <cfRule type="cellIs" dxfId="8" priority="69" operator="lessThan">
      <formula>0</formula>
    </cfRule>
  </conditionalFormatting>
  <conditionalFormatting sqref="M61 M63 M65">
    <cfRule type="cellIs" dxfId="7" priority="70" operator="lessThan">
      <formula>0</formula>
    </cfRule>
  </conditionalFormatting>
  <conditionalFormatting sqref="M32 M34 M36">
    <cfRule type="cellIs" dxfId="6" priority="71" operator="lessThan">
      <formula>0</formula>
    </cfRule>
  </conditionalFormatting>
  <conditionalFormatting sqref="M5 M7 M9">
    <cfRule type="cellIs" dxfId="5" priority="72" operator="lessThan">
      <formula>0</formula>
    </cfRule>
  </conditionalFormatting>
  <conditionalFormatting sqref="I189:I190">
    <cfRule type="cellIs" dxfId="4" priority="73" operator="lessThan">
      <formula>0</formula>
    </cfRule>
  </conditionalFormatting>
  <conditionalFormatting sqref="I185:I186 I189:I190">
    <cfRule type="cellIs" dxfId="3" priority="74" operator="lessThan">
      <formula>0</formula>
    </cfRule>
  </conditionalFormatting>
  <conditionalFormatting sqref="I1:I14 I19:I45 I48:I90 I93:I124 I131:I184 I187:I188 I191:I192 I514:I1281">
    <cfRule type="cellIs" dxfId="2" priority="75" operator="lessThan">
      <formula>0</formula>
    </cfRule>
  </conditionalFormatting>
  <conditionalFormatting sqref="J2:K2">
    <cfRule type="cellIs" dxfId="1" priority="76" operator="lessThan">
      <formula>0</formula>
    </cfRule>
  </conditionalFormatting>
  <conditionalFormatting sqref="J2:K2">
    <cfRule type="cellIs" dxfId="0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ColWidth="14.453125" defaultRowHeight="15" customHeight="1"/>
  <cols>
    <col min="1" max="1" width="59.453125" customWidth="1"/>
    <col min="2" max="26" width="8.54296875" customWidth="1"/>
  </cols>
  <sheetData>
    <row r="1" spans="1:1">
      <c r="A1" s="39" t="s">
        <v>119</v>
      </c>
    </row>
    <row r="2" spans="1:1">
      <c r="A2" s="39" t="s">
        <v>120</v>
      </c>
    </row>
    <row r="3" spans="1:1">
      <c r="A3" s="39" t="s">
        <v>121</v>
      </c>
    </row>
    <row r="4" spans="1:1">
      <c r="A4" s="39" t="s">
        <v>122</v>
      </c>
    </row>
    <row r="5" spans="1:1">
      <c r="A5" s="39" t="s">
        <v>123</v>
      </c>
    </row>
    <row r="6" spans="1:1">
      <c r="A6" s="39" t="s">
        <v>124</v>
      </c>
    </row>
  </sheetData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1.54296875" customWidth="1"/>
    <col min="3" max="3" width="8" customWidth="1"/>
    <col min="4" max="4" width="7.453125" customWidth="1"/>
    <col min="5" max="5" width="10.453125" customWidth="1"/>
    <col min="6" max="6" width="7.54296875" customWidth="1"/>
    <col min="7" max="7" width="6.54296875" customWidth="1"/>
    <col min="8" max="8" width="10.54296875" customWidth="1"/>
    <col min="9" max="9" width="13" customWidth="1"/>
    <col min="10" max="10" width="7.453125" customWidth="1"/>
    <col min="11" max="11" width="2.54296875" customWidth="1"/>
    <col min="12" max="12" width="10.81640625" customWidth="1"/>
    <col min="13" max="13" width="20" customWidth="1"/>
    <col min="14" max="14" width="13.1796875" customWidth="1"/>
    <col min="15" max="17" width="28" customWidth="1"/>
    <col min="18" max="18" width="12" customWidth="1"/>
    <col min="19" max="19" width="10.54296875" customWidth="1"/>
    <col min="20" max="21" width="8.81640625" customWidth="1"/>
    <col min="22" max="26" width="28" customWidth="1"/>
  </cols>
  <sheetData>
    <row r="1" spans="1:26" ht="24.75" customHeight="1">
      <c r="A1" s="598" t="s">
        <v>0</v>
      </c>
      <c r="B1" s="599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77"/>
      <c r="K1" s="870"/>
      <c r="L1" s="878" t="s">
        <v>10</v>
      </c>
      <c r="M1" s="601" t="s">
        <v>11</v>
      </c>
      <c r="N1" s="602">
        <f>COUNTIF(I3:I289,"&gt;0")</f>
        <v>53</v>
      </c>
      <c r="O1" s="603"/>
      <c r="P1" s="603"/>
      <c r="Q1" s="603"/>
      <c r="R1" s="875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-6740.4599999999982</v>
      </c>
      <c r="J2" s="462">
        <f>SUM(J3:J1000)</f>
        <v>-21.999999999999996</v>
      </c>
      <c r="K2" s="463" t="s">
        <v>9</v>
      </c>
      <c r="L2" s="870"/>
      <c r="M2" s="607" t="s">
        <v>18</v>
      </c>
      <c r="N2" s="608">
        <f>COUNTIF(I3:I289,"&lt;0")</f>
        <v>19</v>
      </c>
      <c r="O2" s="609"/>
      <c r="P2" s="609"/>
      <c r="Q2" s="609"/>
      <c r="R2" s="870"/>
      <c r="S2" s="610"/>
      <c r="T2" s="609"/>
      <c r="U2" s="609"/>
      <c r="V2" s="20"/>
      <c r="W2" s="20"/>
      <c r="X2" s="20"/>
      <c r="Y2" s="20"/>
      <c r="Z2" s="20"/>
    </row>
    <row r="3" spans="1:26" ht="15" customHeight="1">
      <c r="A3" s="579">
        <v>43467</v>
      </c>
      <c r="B3" s="580" t="s">
        <v>47</v>
      </c>
      <c r="C3" s="581" t="s">
        <v>69</v>
      </c>
      <c r="D3" s="582" t="s">
        <v>115</v>
      </c>
      <c r="E3" s="581" t="s">
        <v>71</v>
      </c>
      <c r="F3" s="582">
        <v>1400</v>
      </c>
      <c r="G3" s="584">
        <v>25.46</v>
      </c>
      <c r="H3" s="584">
        <v>0</v>
      </c>
      <c r="I3" s="585">
        <v>0</v>
      </c>
      <c r="J3" s="586">
        <v>0</v>
      </c>
      <c r="K3" s="581" t="s">
        <v>9</v>
      </c>
      <c r="L3" s="585">
        <f t="shared" ref="L3:L102" si="0">IF(B3="Compra",(F3*G3)+10+(F3*G3*0.000325),"")</f>
        <v>35665.584300000002</v>
      </c>
      <c r="M3" s="876" t="s">
        <v>19</v>
      </c>
      <c r="N3" s="870"/>
      <c r="O3" s="611"/>
      <c r="P3" s="611"/>
      <c r="Q3" s="611"/>
      <c r="R3" s="464">
        <f>'Operações 2018'!R104</f>
        <v>1459.9637035297683</v>
      </c>
      <c r="S3" s="612">
        <f t="shared" ref="S3:S29" si="1">IF(R3&lt;&gt;R2,R3-R2,"")</f>
        <v>1459.9637035297683</v>
      </c>
      <c r="T3" s="611"/>
      <c r="U3" s="611"/>
      <c r="V3" s="88"/>
      <c r="W3" s="88"/>
      <c r="X3" s="88"/>
      <c r="Y3" s="88"/>
      <c r="Z3" s="88"/>
    </row>
    <row r="4" spans="1:26" ht="14.5">
      <c r="A4" s="579">
        <v>43482</v>
      </c>
      <c r="B4" s="580" t="s">
        <v>48</v>
      </c>
      <c r="C4" s="581" t="s">
        <v>69</v>
      </c>
      <c r="D4" s="582" t="s">
        <v>115</v>
      </c>
      <c r="E4" s="581" t="s">
        <v>71</v>
      </c>
      <c r="F4" s="582">
        <v>1400</v>
      </c>
      <c r="G4" s="584">
        <v>24.11</v>
      </c>
      <c r="H4" s="584">
        <v>25.47</v>
      </c>
      <c r="I4" s="585">
        <v>-1890.1</v>
      </c>
      <c r="J4" s="586">
        <v>-5.3</v>
      </c>
      <c r="K4" s="581" t="s">
        <v>9</v>
      </c>
      <c r="L4" s="585" t="str">
        <f t="shared" si="0"/>
        <v/>
      </c>
      <c r="M4" s="465" t="s">
        <v>21</v>
      </c>
      <c r="N4" s="466">
        <f>IFERROR(AVERAGE(L3:L10),0)</f>
        <v>30271.331737499997</v>
      </c>
      <c r="O4" s="611"/>
      <c r="P4" s="611"/>
      <c r="Q4" s="611"/>
      <c r="R4" s="464">
        <f t="shared" ref="R4:R29" si="2">R3*((J4/100)+1)</f>
        <v>1382.5856272426904</v>
      </c>
      <c r="S4" s="612">
        <f t="shared" si="1"/>
        <v>-77.378076287077874</v>
      </c>
      <c r="T4" s="611"/>
      <c r="U4" s="611"/>
      <c r="V4" s="88"/>
      <c r="W4" s="88"/>
      <c r="X4" s="88"/>
      <c r="Y4" s="88"/>
      <c r="Z4" s="88"/>
    </row>
    <row r="5" spans="1:26" ht="14.5">
      <c r="A5" s="613">
        <v>43482</v>
      </c>
      <c r="B5" s="614" t="s">
        <v>47</v>
      </c>
      <c r="C5" s="615" t="s">
        <v>69</v>
      </c>
      <c r="D5" s="615" t="s">
        <v>125</v>
      </c>
      <c r="E5" s="615" t="s">
        <v>71</v>
      </c>
      <c r="F5" s="616">
        <v>5300</v>
      </c>
      <c r="G5" s="617">
        <v>5.79</v>
      </c>
      <c r="H5" s="617">
        <v>0</v>
      </c>
      <c r="I5" s="618">
        <v>0</v>
      </c>
      <c r="J5" s="619">
        <v>0</v>
      </c>
      <c r="K5" s="615" t="s">
        <v>9</v>
      </c>
      <c r="L5" s="618">
        <f t="shared" si="0"/>
        <v>30706.973275</v>
      </c>
      <c r="M5" s="620" t="s">
        <v>24</v>
      </c>
      <c r="N5" s="467">
        <f>SUM(I3:I10)</f>
        <v>-6554.23</v>
      </c>
      <c r="O5" s="611"/>
      <c r="P5" s="611"/>
      <c r="Q5" s="611"/>
      <c r="R5" s="464">
        <f t="shared" si="2"/>
        <v>1382.5856272426904</v>
      </c>
      <c r="S5" s="612" t="str">
        <f t="shared" si="1"/>
        <v/>
      </c>
      <c r="T5" s="611"/>
      <c r="U5" s="611"/>
      <c r="V5" s="88"/>
      <c r="W5" s="88"/>
      <c r="X5" s="88"/>
      <c r="Y5" s="88"/>
      <c r="Z5" s="88"/>
    </row>
    <row r="6" spans="1:26" ht="14.5">
      <c r="A6" s="613">
        <v>43483</v>
      </c>
      <c r="B6" s="614" t="s">
        <v>48</v>
      </c>
      <c r="C6" s="615" t="s">
        <v>69</v>
      </c>
      <c r="D6" s="615" t="s">
        <v>125</v>
      </c>
      <c r="E6" s="615" t="s">
        <v>71</v>
      </c>
      <c r="F6" s="616">
        <v>5300</v>
      </c>
      <c r="G6" s="617">
        <v>6.07</v>
      </c>
      <c r="H6" s="617">
        <v>5.79</v>
      </c>
      <c r="I6" s="618">
        <v>1496.88</v>
      </c>
      <c r="J6" s="619">
        <v>4.87</v>
      </c>
      <c r="K6" s="615" t="s">
        <v>9</v>
      </c>
      <c r="L6" s="618" t="str">
        <f t="shared" si="0"/>
        <v/>
      </c>
      <c r="M6" s="468" t="s">
        <v>126</v>
      </c>
      <c r="N6" s="469">
        <f>SUM(J3:J10)/100</f>
        <v>-0.19800000000000001</v>
      </c>
      <c r="O6" s="611"/>
      <c r="P6" s="611"/>
      <c r="Q6" s="611"/>
      <c r="R6" s="464">
        <f t="shared" si="2"/>
        <v>1449.9175472894094</v>
      </c>
      <c r="S6" s="612">
        <f t="shared" si="1"/>
        <v>67.331920046719006</v>
      </c>
      <c r="T6" s="611"/>
      <c r="U6" s="611"/>
      <c r="V6" s="88"/>
      <c r="W6" s="88"/>
      <c r="X6" s="88"/>
      <c r="Y6" s="88"/>
      <c r="Z6" s="88"/>
    </row>
    <row r="7" spans="1:26" ht="14.5">
      <c r="A7" s="613">
        <v>43486</v>
      </c>
      <c r="B7" s="614" t="s">
        <v>47</v>
      </c>
      <c r="C7" s="615" t="s">
        <v>69</v>
      </c>
      <c r="D7" s="615" t="s">
        <v>125</v>
      </c>
      <c r="E7" s="615" t="s">
        <v>71</v>
      </c>
      <c r="F7" s="616">
        <v>5600</v>
      </c>
      <c r="G7" s="617">
        <v>5.6</v>
      </c>
      <c r="H7" s="617">
        <v>0</v>
      </c>
      <c r="I7" s="618">
        <v>0</v>
      </c>
      <c r="J7" s="619">
        <v>0</v>
      </c>
      <c r="K7" s="615" t="s">
        <v>9</v>
      </c>
      <c r="L7" s="618">
        <f t="shared" si="0"/>
        <v>31380.191999999995</v>
      </c>
      <c r="M7" s="876" t="s">
        <v>35</v>
      </c>
      <c r="N7" s="870"/>
      <c r="O7" s="611"/>
      <c r="P7" s="611"/>
      <c r="Q7" s="611"/>
      <c r="R7" s="464">
        <f t="shared" si="2"/>
        <v>1449.9175472894094</v>
      </c>
      <c r="S7" s="612" t="str">
        <f t="shared" si="1"/>
        <v/>
      </c>
      <c r="T7" s="611"/>
      <c r="U7" s="611"/>
      <c r="V7" s="88"/>
      <c r="W7" s="88"/>
      <c r="X7" s="88"/>
      <c r="Y7" s="88"/>
      <c r="Z7" s="88"/>
    </row>
    <row r="8" spans="1:26" ht="14.5">
      <c r="A8" s="613">
        <v>43494</v>
      </c>
      <c r="B8" s="614" t="s">
        <v>48</v>
      </c>
      <c r="C8" s="615" t="s">
        <v>69</v>
      </c>
      <c r="D8" s="615" t="s">
        <v>125</v>
      </c>
      <c r="E8" s="615" t="s">
        <v>71</v>
      </c>
      <c r="F8" s="616">
        <v>5600</v>
      </c>
      <c r="G8" s="617">
        <v>4.46</v>
      </c>
      <c r="H8" s="617">
        <v>5.6</v>
      </c>
      <c r="I8" s="618">
        <v>-6401.02</v>
      </c>
      <c r="J8" s="619">
        <v>-20.39</v>
      </c>
      <c r="K8" s="615" t="s">
        <v>9</v>
      </c>
      <c r="L8" s="618" t="str">
        <f t="shared" si="0"/>
        <v/>
      </c>
      <c r="M8" s="465" t="s">
        <v>21</v>
      </c>
      <c r="N8" s="466">
        <f>IFERROR(AVERAGE(L11:L25),0)</f>
        <v>21844.593937499998</v>
      </c>
      <c r="O8" s="611"/>
      <c r="P8" s="611"/>
      <c r="Q8" s="611"/>
      <c r="R8" s="464">
        <f t="shared" si="2"/>
        <v>1154.2793593970989</v>
      </c>
      <c r="S8" s="612">
        <f t="shared" si="1"/>
        <v>-295.6381878923105</v>
      </c>
      <c r="T8" s="611"/>
      <c r="U8" s="611"/>
      <c r="V8" s="88"/>
      <c r="W8" s="88"/>
      <c r="X8" s="88"/>
      <c r="Y8" s="88"/>
      <c r="Z8" s="88"/>
    </row>
    <row r="9" spans="1:26" ht="14.5">
      <c r="A9" s="621">
        <v>43495</v>
      </c>
      <c r="B9" s="622" t="s">
        <v>47</v>
      </c>
      <c r="C9" s="623" t="s">
        <v>69</v>
      </c>
      <c r="D9" s="623" t="s">
        <v>82</v>
      </c>
      <c r="E9" s="623" t="s">
        <v>71</v>
      </c>
      <c r="F9" s="624">
        <v>500</v>
      </c>
      <c r="G9" s="625">
        <v>46.63</v>
      </c>
      <c r="H9" s="625">
        <v>0</v>
      </c>
      <c r="I9" s="626">
        <v>0</v>
      </c>
      <c r="J9" s="627">
        <v>0</v>
      </c>
      <c r="K9" s="623" t="s">
        <v>9</v>
      </c>
      <c r="L9" s="626">
        <f t="shared" si="0"/>
        <v>23332.577375000001</v>
      </c>
      <c r="M9" s="620" t="s">
        <v>24</v>
      </c>
      <c r="N9" s="467">
        <f>SUM(I11:I25)</f>
        <v>2002.0700000000002</v>
      </c>
      <c r="O9" s="611"/>
      <c r="P9" s="611"/>
      <c r="Q9" s="611"/>
      <c r="R9" s="464">
        <f t="shared" si="2"/>
        <v>1154.2793593970989</v>
      </c>
      <c r="S9" s="612" t="str">
        <f t="shared" si="1"/>
        <v/>
      </c>
      <c r="T9" s="611"/>
      <c r="U9" s="611"/>
      <c r="V9" s="88"/>
      <c r="W9" s="88"/>
      <c r="X9" s="88"/>
      <c r="Y9" s="88"/>
      <c r="Z9" s="88"/>
    </row>
    <row r="10" spans="1:26" ht="14.5">
      <c r="A10" s="470">
        <v>43496</v>
      </c>
      <c r="B10" s="471" t="s">
        <v>48</v>
      </c>
      <c r="C10" s="472" t="s">
        <v>69</v>
      </c>
      <c r="D10" s="472" t="s">
        <v>82</v>
      </c>
      <c r="E10" s="472" t="s">
        <v>71</v>
      </c>
      <c r="F10" s="473">
        <v>500</v>
      </c>
      <c r="G10" s="474">
        <v>47.11</v>
      </c>
      <c r="H10" s="474">
        <v>46.63</v>
      </c>
      <c r="I10" s="475">
        <v>240.01</v>
      </c>
      <c r="J10" s="476">
        <v>1.02</v>
      </c>
      <c r="K10" s="472" t="s">
        <v>9</v>
      </c>
      <c r="L10" s="475" t="str">
        <f t="shared" si="0"/>
        <v/>
      </c>
      <c r="M10" s="468" t="s">
        <v>126</v>
      </c>
      <c r="N10" s="469">
        <f>SUM(J11:J25)/100</f>
        <v>7.0099999999999996E-2</v>
      </c>
      <c r="O10" s="611"/>
      <c r="P10" s="611"/>
      <c r="Q10" s="611"/>
      <c r="R10" s="464">
        <f t="shared" si="2"/>
        <v>1166.0530088629494</v>
      </c>
      <c r="S10" s="612">
        <f t="shared" si="1"/>
        <v>11.77364946585044</v>
      </c>
      <c r="T10" s="611"/>
      <c r="U10" s="611"/>
      <c r="V10" s="88"/>
      <c r="W10" s="88"/>
      <c r="X10" s="88"/>
      <c r="Y10" s="88"/>
      <c r="Z10" s="88"/>
    </row>
    <row r="11" spans="1:26" ht="14.5">
      <c r="A11" s="621">
        <v>43497</v>
      </c>
      <c r="B11" s="622" t="s">
        <v>47</v>
      </c>
      <c r="C11" s="623" t="s">
        <v>69</v>
      </c>
      <c r="D11" s="623" t="s">
        <v>82</v>
      </c>
      <c r="E11" s="623" t="s">
        <v>71</v>
      </c>
      <c r="F11" s="624">
        <v>600</v>
      </c>
      <c r="G11" s="625">
        <v>46.64</v>
      </c>
      <c r="H11" s="625">
        <v>0</v>
      </c>
      <c r="I11" s="626">
        <v>0</v>
      </c>
      <c r="J11" s="627">
        <v>0</v>
      </c>
      <c r="K11" s="623" t="s">
        <v>9</v>
      </c>
      <c r="L11" s="626">
        <f t="shared" si="0"/>
        <v>28003.094799999999</v>
      </c>
      <c r="M11" s="876" t="s">
        <v>36</v>
      </c>
      <c r="N11" s="870"/>
      <c r="O11" s="611"/>
      <c r="P11" s="611"/>
      <c r="Q11" s="611"/>
      <c r="R11" s="464">
        <f t="shared" si="2"/>
        <v>1166.0530088629494</v>
      </c>
      <c r="S11" s="612" t="str">
        <f t="shared" si="1"/>
        <v/>
      </c>
      <c r="T11" s="611"/>
      <c r="U11" s="611"/>
      <c r="V11" s="88"/>
      <c r="W11" s="88"/>
      <c r="X11" s="88"/>
      <c r="Y11" s="88"/>
      <c r="Z11" s="88"/>
    </row>
    <row r="12" spans="1:26" ht="14.5">
      <c r="A12" s="621">
        <v>43500</v>
      </c>
      <c r="B12" s="622" t="s">
        <v>48</v>
      </c>
      <c r="C12" s="623" t="s">
        <v>69</v>
      </c>
      <c r="D12" s="623" t="s">
        <v>82</v>
      </c>
      <c r="E12" s="623" t="s">
        <v>71</v>
      </c>
      <c r="F12" s="624">
        <v>600</v>
      </c>
      <c r="G12" s="625">
        <v>46.97</v>
      </c>
      <c r="H12" s="625">
        <v>46.64</v>
      </c>
      <c r="I12" s="626">
        <v>202.16</v>
      </c>
      <c r="J12" s="627">
        <v>0.71999999999999986</v>
      </c>
      <c r="K12" s="623" t="s">
        <v>9</v>
      </c>
      <c r="L12" s="626" t="str">
        <f t="shared" si="0"/>
        <v/>
      </c>
      <c r="M12" s="465" t="s">
        <v>21</v>
      </c>
      <c r="N12" s="466">
        <f>IFERROR(AVERAGE(L26:L34),0)</f>
        <v>20421.831689999999</v>
      </c>
      <c r="O12" s="611"/>
      <c r="P12" s="611"/>
      <c r="Q12" s="611"/>
      <c r="R12" s="464">
        <f t="shared" si="2"/>
        <v>1174.4485905267627</v>
      </c>
      <c r="S12" s="612">
        <f t="shared" si="1"/>
        <v>8.3955816638133456</v>
      </c>
      <c r="T12" s="611"/>
      <c r="U12" s="611"/>
      <c r="V12" s="88"/>
      <c r="W12" s="88"/>
      <c r="X12" s="88"/>
      <c r="Y12" s="88"/>
      <c r="Z12" s="88"/>
    </row>
    <row r="13" spans="1:26" ht="14.5">
      <c r="A13" s="621">
        <v>43501</v>
      </c>
      <c r="B13" s="622" t="s">
        <v>47</v>
      </c>
      <c r="C13" s="623" t="s">
        <v>69</v>
      </c>
      <c r="D13" s="623" t="s">
        <v>82</v>
      </c>
      <c r="E13" s="623" t="s">
        <v>71</v>
      </c>
      <c r="F13" s="624">
        <v>600</v>
      </c>
      <c r="G13" s="625">
        <v>47.32</v>
      </c>
      <c r="H13" s="625">
        <v>0</v>
      </c>
      <c r="I13" s="626">
        <v>0</v>
      </c>
      <c r="J13" s="627">
        <v>0</v>
      </c>
      <c r="K13" s="623" t="s">
        <v>9</v>
      </c>
      <c r="L13" s="626">
        <f t="shared" si="0"/>
        <v>28411.2274</v>
      </c>
      <c r="M13" s="620" t="s">
        <v>24</v>
      </c>
      <c r="N13" s="467">
        <f>SUM(I26:I34)</f>
        <v>-810.08999999999992</v>
      </c>
      <c r="O13" s="611"/>
      <c r="P13" s="611"/>
      <c r="Q13" s="611"/>
      <c r="R13" s="464">
        <f t="shared" si="2"/>
        <v>1174.4485905267627</v>
      </c>
      <c r="S13" s="612" t="str">
        <f t="shared" si="1"/>
        <v/>
      </c>
      <c r="T13" s="611"/>
      <c r="U13" s="611"/>
      <c r="V13" s="88"/>
      <c r="W13" s="88"/>
      <c r="X13" s="88"/>
      <c r="Y13" s="88"/>
      <c r="Z13" s="88"/>
    </row>
    <row r="14" spans="1:26" ht="14.5">
      <c r="A14" s="621">
        <v>43502</v>
      </c>
      <c r="B14" s="622" t="s">
        <v>48</v>
      </c>
      <c r="C14" s="623" t="s">
        <v>69</v>
      </c>
      <c r="D14" s="623" t="s">
        <v>82</v>
      </c>
      <c r="E14" s="623" t="s">
        <v>71</v>
      </c>
      <c r="F14" s="624">
        <v>600</v>
      </c>
      <c r="G14" s="625">
        <v>48.2</v>
      </c>
      <c r="H14" s="625">
        <v>47.32</v>
      </c>
      <c r="I14" s="626">
        <v>531.91999999999996</v>
      </c>
      <c r="J14" s="627">
        <v>1.87</v>
      </c>
      <c r="K14" s="623" t="s">
        <v>9</v>
      </c>
      <c r="L14" s="626" t="str">
        <f t="shared" si="0"/>
        <v/>
      </c>
      <c r="M14" s="468" t="s">
        <v>126</v>
      </c>
      <c r="N14" s="469">
        <f>SUM(J26:J34)/100</f>
        <v>-5.7899999999999993E-2</v>
      </c>
      <c r="O14" s="611"/>
      <c r="P14" s="611"/>
      <c r="Q14" s="611"/>
      <c r="R14" s="464">
        <f t="shared" si="2"/>
        <v>1196.4107791696131</v>
      </c>
      <c r="S14" s="612">
        <f t="shared" si="1"/>
        <v>21.962188642850379</v>
      </c>
      <c r="T14" s="611"/>
      <c r="U14" s="611"/>
      <c r="V14" s="88"/>
      <c r="W14" s="88"/>
      <c r="X14" s="88"/>
      <c r="Y14" s="88"/>
      <c r="Z14" s="88"/>
    </row>
    <row r="15" spans="1:26" ht="14.5">
      <c r="A15" s="621">
        <v>43507</v>
      </c>
      <c r="B15" s="622" t="s">
        <v>47</v>
      </c>
      <c r="C15" s="623" t="s">
        <v>69</v>
      </c>
      <c r="D15" s="623" t="s">
        <v>82</v>
      </c>
      <c r="E15" s="623" t="s">
        <v>71</v>
      </c>
      <c r="F15" s="624">
        <v>600</v>
      </c>
      <c r="G15" s="625">
        <v>46.72</v>
      </c>
      <c r="H15" s="625">
        <v>0</v>
      </c>
      <c r="I15" s="626">
        <v>0</v>
      </c>
      <c r="J15" s="627">
        <v>0</v>
      </c>
      <c r="K15" s="623" t="s">
        <v>9</v>
      </c>
      <c r="L15" s="626">
        <f t="shared" si="0"/>
        <v>28051.110400000001</v>
      </c>
      <c r="M15" s="876" t="s">
        <v>37</v>
      </c>
      <c r="N15" s="870"/>
      <c r="O15" s="611"/>
      <c r="P15" s="611"/>
      <c r="Q15" s="611"/>
      <c r="R15" s="464">
        <f t="shared" si="2"/>
        <v>1196.4107791696131</v>
      </c>
      <c r="S15" s="612" t="str">
        <f t="shared" si="1"/>
        <v/>
      </c>
      <c r="T15" s="611"/>
      <c r="U15" s="611"/>
      <c r="V15" s="88"/>
      <c r="W15" s="88"/>
      <c r="X15" s="88"/>
      <c r="Y15" s="88"/>
      <c r="Z15" s="88"/>
    </row>
    <row r="16" spans="1:26" ht="14.5">
      <c r="A16" s="621">
        <v>43516</v>
      </c>
      <c r="B16" s="622" t="s">
        <v>48</v>
      </c>
      <c r="C16" s="623" t="s">
        <v>69</v>
      </c>
      <c r="D16" s="623" t="s">
        <v>82</v>
      </c>
      <c r="E16" s="623" t="s">
        <v>71</v>
      </c>
      <c r="F16" s="624">
        <v>600</v>
      </c>
      <c r="G16" s="625">
        <v>47.31</v>
      </c>
      <c r="H16" s="625">
        <v>46.72</v>
      </c>
      <c r="I16" s="626">
        <v>358.2</v>
      </c>
      <c r="J16" s="627">
        <v>1.27</v>
      </c>
      <c r="K16" s="623" t="s">
        <v>9</v>
      </c>
      <c r="L16" s="626" t="str">
        <f t="shared" si="0"/>
        <v/>
      </c>
      <c r="M16" s="465" t="s">
        <v>21</v>
      </c>
      <c r="N16" s="466">
        <f>IFERROR(AVERAGE(L35:L44),0)</f>
        <v>12630.700395000002</v>
      </c>
      <c r="O16" s="611"/>
      <c r="P16" s="611"/>
      <c r="Q16" s="611"/>
      <c r="R16" s="464">
        <f t="shared" si="2"/>
        <v>1211.605196065067</v>
      </c>
      <c r="S16" s="612">
        <f t="shared" si="1"/>
        <v>15.194416895453969</v>
      </c>
      <c r="T16" s="611"/>
      <c r="U16" s="611"/>
      <c r="V16" s="88"/>
      <c r="W16" s="88"/>
      <c r="X16" s="88"/>
      <c r="Y16" s="88"/>
      <c r="Z16" s="88"/>
    </row>
    <row r="17" spans="1:26" ht="14.5">
      <c r="A17" s="628">
        <v>43517</v>
      </c>
      <c r="B17" s="629" t="s">
        <v>47</v>
      </c>
      <c r="C17" s="630" t="s">
        <v>69</v>
      </c>
      <c r="D17" s="631" t="s">
        <v>127</v>
      </c>
      <c r="E17" s="630" t="s">
        <v>71</v>
      </c>
      <c r="F17" s="631">
        <v>6000</v>
      </c>
      <c r="G17" s="632">
        <v>3.4</v>
      </c>
      <c r="H17" s="632">
        <v>0</v>
      </c>
      <c r="I17" s="633">
        <v>0</v>
      </c>
      <c r="J17" s="634">
        <v>0</v>
      </c>
      <c r="K17" s="630" t="s">
        <v>9</v>
      </c>
      <c r="L17" s="633">
        <f t="shared" si="0"/>
        <v>20416.63</v>
      </c>
      <c r="M17" s="620" t="s">
        <v>24</v>
      </c>
      <c r="N17" s="467">
        <f>SUM(I35:I44)</f>
        <v>383.59</v>
      </c>
      <c r="O17" s="611"/>
      <c r="P17" s="611"/>
      <c r="Q17" s="611"/>
      <c r="R17" s="464">
        <f t="shared" si="2"/>
        <v>1211.605196065067</v>
      </c>
      <c r="S17" s="612" t="str">
        <f t="shared" si="1"/>
        <v/>
      </c>
      <c r="T17" s="611"/>
      <c r="U17" s="611"/>
      <c r="V17" s="88"/>
      <c r="W17" s="88"/>
      <c r="X17" s="88"/>
      <c r="Y17" s="88"/>
      <c r="Z17" s="88"/>
    </row>
    <row r="18" spans="1:26" ht="14.5">
      <c r="A18" s="628">
        <v>43518</v>
      </c>
      <c r="B18" s="629" t="s">
        <v>48</v>
      </c>
      <c r="C18" s="630" t="s">
        <v>69</v>
      </c>
      <c r="D18" s="631" t="s">
        <v>127</v>
      </c>
      <c r="E18" s="630" t="s">
        <v>71</v>
      </c>
      <c r="F18" s="631">
        <v>6000</v>
      </c>
      <c r="G18" s="632">
        <v>3.29</v>
      </c>
      <c r="H18" s="632">
        <v>3.4</v>
      </c>
      <c r="I18" s="633">
        <v>-660.66</v>
      </c>
      <c r="J18" s="634">
        <v>-3.23</v>
      </c>
      <c r="K18" s="630" t="s">
        <v>9</v>
      </c>
      <c r="L18" s="633" t="str">
        <f t="shared" si="0"/>
        <v/>
      </c>
      <c r="M18" s="468" t="s">
        <v>126</v>
      </c>
      <c r="N18" s="469">
        <f>SUM(J35:J44)/100</f>
        <v>3.9899999999999998E-2</v>
      </c>
      <c r="O18" s="611"/>
      <c r="P18" s="611"/>
      <c r="Q18" s="611"/>
      <c r="R18" s="464">
        <f t="shared" si="2"/>
        <v>1172.4703482321654</v>
      </c>
      <c r="S18" s="612">
        <f t="shared" si="1"/>
        <v>-39.134847832901642</v>
      </c>
      <c r="T18" s="611"/>
      <c r="U18" s="611"/>
      <c r="V18" s="88"/>
      <c r="W18" s="88"/>
      <c r="X18" s="88"/>
      <c r="Y18" s="88"/>
      <c r="Z18" s="88"/>
    </row>
    <row r="19" spans="1:26" ht="14.5">
      <c r="A19" s="635">
        <v>43517</v>
      </c>
      <c r="B19" s="636" t="s">
        <v>47</v>
      </c>
      <c r="C19" s="637" t="s">
        <v>69</v>
      </c>
      <c r="D19" s="638" t="s">
        <v>128</v>
      </c>
      <c r="E19" s="637" t="s">
        <v>71</v>
      </c>
      <c r="F19" s="638">
        <v>700</v>
      </c>
      <c r="G19" s="639">
        <v>13.24</v>
      </c>
      <c r="H19" s="639">
        <v>0</v>
      </c>
      <c r="I19" s="640">
        <v>0</v>
      </c>
      <c r="J19" s="641">
        <v>0</v>
      </c>
      <c r="K19" s="637" t="s">
        <v>9</v>
      </c>
      <c r="L19" s="640">
        <f t="shared" si="0"/>
        <v>9281.0120999999999</v>
      </c>
      <c r="M19" s="876" t="s">
        <v>38</v>
      </c>
      <c r="N19" s="870"/>
      <c r="O19" s="611"/>
      <c r="P19" s="611"/>
      <c r="Q19" s="611"/>
      <c r="R19" s="464">
        <f t="shared" si="2"/>
        <v>1172.4703482321654</v>
      </c>
      <c r="S19" s="612" t="str">
        <f t="shared" si="1"/>
        <v/>
      </c>
      <c r="T19" s="611"/>
      <c r="U19" s="611"/>
      <c r="V19" s="88"/>
      <c r="W19" s="88"/>
      <c r="X19" s="88"/>
      <c r="Y19" s="88"/>
      <c r="Z19" s="88"/>
    </row>
    <row r="20" spans="1:26" ht="14.5">
      <c r="A20" s="635">
        <v>43521</v>
      </c>
      <c r="B20" s="636" t="s">
        <v>48</v>
      </c>
      <c r="C20" s="637" t="s">
        <v>69</v>
      </c>
      <c r="D20" s="638" t="s">
        <v>128</v>
      </c>
      <c r="E20" s="637" t="s">
        <v>71</v>
      </c>
      <c r="F20" s="638">
        <v>700</v>
      </c>
      <c r="G20" s="639">
        <v>13.48</v>
      </c>
      <c r="H20" s="639">
        <v>13.25</v>
      </c>
      <c r="I20" s="640">
        <v>163.1</v>
      </c>
      <c r="J20" s="641">
        <v>1.75</v>
      </c>
      <c r="K20" s="637" t="s">
        <v>9</v>
      </c>
      <c r="L20" s="640" t="str">
        <f t="shared" si="0"/>
        <v/>
      </c>
      <c r="M20" s="465" t="s">
        <v>21</v>
      </c>
      <c r="N20" s="466">
        <f>IFERROR(AVERAGE(L45:L59),0)</f>
        <v>11919.583642857144</v>
      </c>
      <c r="O20" s="611"/>
      <c r="P20" s="611"/>
      <c r="Q20" s="611"/>
      <c r="R20" s="464">
        <f t="shared" si="2"/>
        <v>1192.9885793262283</v>
      </c>
      <c r="S20" s="612">
        <f t="shared" si="1"/>
        <v>20.518231094062912</v>
      </c>
      <c r="T20" s="611"/>
      <c r="U20" s="611"/>
      <c r="V20" s="88"/>
      <c r="W20" s="88"/>
      <c r="X20" s="88"/>
      <c r="Y20" s="88"/>
      <c r="Z20" s="88"/>
    </row>
    <row r="21" spans="1:26" ht="14.5">
      <c r="A21" s="642">
        <v>43518</v>
      </c>
      <c r="B21" s="643" t="s">
        <v>47</v>
      </c>
      <c r="C21" s="644" t="s">
        <v>69</v>
      </c>
      <c r="D21" s="645" t="s">
        <v>129</v>
      </c>
      <c r="E21" s="644" t="s">
        <v>71</v>
      </c>
      <c r="F21" s="645">
        <v>1600</v>
      </c>
      <c r="G21" s="646">
        <v>12.41</v>
      </c>
      <c r="H21" s="646">
        <v>0</v>
      </c>
      <c r="I21" s="647">
        <v>0</v>
      </c>
      <c r="J21" s="648">
        <v>0</v>
      </c>
      <c r="K21" s="644" t="s">
        <v>9</v>
      </c>
      <c r="L21" s="647">
        <f t="shared" si="0"/>
        <v>19872.4532</v>
      </c>
      <c r="M21" s="620" t="s">
        <v>24</v>
      </c>
      <c r="N21" s="467">
        <f>SUM(I45:I59)</f>
        <v>-250.78999999999996</v>
      </c>
      <c r="O21" s="611"/>
      <c r="P21" s="611"/>
      <c r="Q21" s="611"/>
      <c r="R21" s="464">
        <f t="shared" si="2"/>
        <v>1192.9885793262283</v>
      </c>
      <c r="S21" s="612" t="str">
        <f t="shared" si="1"/>
        <v/>
      </c>
      <c r="T21" s="611"/>
      <c r="U21" s="611"/>
      <c r="V21" s="88"/>
      <c r="W21" s="88"/>
      <c r="X21" s="88"/>
      <c r="Y21" s="88"/>
      <c r="Z21" s="88"/>
    </row>
    <row r="22" spans="1:26" ht="14.5">
      <c r="A22" s="642">
        <v>43521</v>
      </c>
      <c r="B22" s="643" t="s">
        <v>47</v>
      </c>
      <c r="C22" s="644" t="s">
        <v>69</v>
      </c>
      <c r="D22" s="645" t="s">
        <v>129</v>
      </c>
      <c r="E22" s="644" t="s">
        <v>71</v>
      </c>
      <c r="F22" s="645">
        <v>800</v>
      </c>
      <c r="G22" s="646">
        <v>13.11</v>
      </c>
      <c r="H22" s="646">
        <v>0</v>
      </c>
      <c r="I22" s="647">
        <v>0</v>
      </c>
      <c r="J22" s="648">
        <v>0</v>
      </c>
      <c r="K22" s="644" t="s">
        <v>9</v>
      </c>
      <c r="L22" s="647">
        <f t="shared" si="0"/>
        <v>10501.408600000001</v>
      </c>
      <c r="M22" s="468" t="s">
        <v>126</v>
      </c>
      <c r="N22" s="469">
        <f>SUM(J45:J59)/100</f>
        <v>-1.100000000000002E-3</v>
      </c>
      <c r="O22" s="611"/>
      <c r="P22" s="611"/>
      <c r="Q22" s="611"/>
      <c r="R22" s="464">
        <f t="shared" si="2"/>
        <v>1192.9885793262283</v>
      </c>
      <c r="S22" s="612" t="str">
        <f t="shared" si="1"/>
        <v/>
      </c>
      <c r="T22" s="611"/>
      <c r="U22" s="611"/>
      <c r="V22" s="88"/>
      <c r="W22" s="88"/>
      <c r="X22" s="88"/>
      <c r="Y22" s="88"/>
      <c r="Z22" s="88"/>
    </row>
    <row r="23" spans="1:26" ht="14.5">
      <c r="A23" s="642">
        <v>43522</v>
      </c>
      <c r="B23" s="643" t="s">
        <v>48</v>
      </c>
      <c r="C23" s="644" t="s">
        <v>69</v>
      </c>
      <c r="D23" s="645" t="s">
        <v>129</v>
      </c>
      <c r="E23" s="644" t="s">
        <v>71</v>
      </c>
      <c r="F23" s="645">
        <v>2400</v>
      </c>
      <c r="G23" s="646">
        <v>13.13</v>
      </c>
      <c r="H23" s="646">
        <v>12.65</v>
      </c>
      <c r="I23" s="647">
        <v>1166.49</v>
      </c>
      <c r="J23" s="648">
        <v>3.84</v>
      </c>
      <c r="K23" s="644" t="s">
        <v>9</v>
      </c>
      <c r="L23" s="647" t="str">
        <f t="shared" si="0"/>
        <v/>
      </c>
      <c r="M23" s="876" t="s">
        <v>39</v>
      </c>
      <c r="N23" s="870"/>
      <c r="O23" s="611"/>
      <c r="P23" s="611"/>
      <c r="Q23" s="611"/>
      <c r="R23" s="464">
        <f t="shared" si="2"/>
        <v>1238.7993407723554</v>
      </c>
      <c r="S23" s="612">
        <f t="shared" si="1"/>
        <v>45.810761446127117</v>
      </c>
      <c r="T23" s="611"/>
      <c r="U23" s="611"/>
      <c r="V23" s="88"/>
      <c r="W23" s="88"/>
      <c r="X23" s="88"/>
      <c r="Y23" s="88"/>
      <c r="Z23" s="88"/>
    </row>
    <row r="24" spans="1:26" ht="14.5">
      <c r="A24" s="635">
        <v>43523</v>
      </c>
      <c r="B24" s="636" t="s">
        <v>47</v>
      </c>
      <c r="C24" s="637" t="s">
        <v>69</v>
      </c>
      <c r="D24" s="638" t="s">
        <v>128</v>
      </c>
      <c r="E24" s="637" t="s">
        <v>71</v>
      </c>
      <c r="F24" s="638">
        <v>2000</v>
      </c>
      <c r="G24" s="639">
        <v>15.1</v>
      </c>
      <c r="H24" s="639">
        <v>0</v>
      </c>
      <c r="I24" s="640">
        <v>0</v>
      </c>
      <c r="J24" s="641">
        <v>0</v>
      </c>
      <c r="K24" s="637" t="s">
        <v>9</v>
      </c>
      <c r="L24" s="640">
        <f t="shared" si="0"/>
        <v>30219.814999999999</v>
      </c>
      <c r="M24" s="465" t="s">
        <v>21</v>
      </c>
      <c r="N24" s="466">
        <f>IFERROR(AVERAGE(L60:L73),0)</f>
        <v>17125.132039285712</v>
      </c>
      <c r="O24" s="611"/>
      <c r="P24" s="611"/>
      <c r="Q24" s="611"/>
      <c r="R24" s="464">
        <f t="shared" si="2"/>
        <v>1238.7993407723554</v>
      </c>
      <c r="S24" s="612" t="str">
        <f t="shared" si="1"/>
        <v/>
      </c>
      <c r="T24" s="611"/>
      <c r="U24" s="611"/>
      <c r="V24" s="88"/>
      <c r="W24" s="88"/>
      <c r="X24" s="88"/>
      <c r="Y24" s="88"/>
      <c r="Z24" s="88"/>
    </row>
    <row r="25" spans="1:26" ht="14.5">
      <c r="A25" s="477">
        <v>43524</v>
      </c>
      <c r="B25" s="478" t="s">
        <v>48</v>
      </c>
      <c r="C25" s="479" t="s">
        <v>69</v>
      </c>
      <c r="D25" s="480" t="s">
        <v>128</v>
      </c>
      <c r="E25" s="479" t="s">
        <v>71</v>
      </c>
      <c r="F25" s="480">
        <v>2000</v>
      </c>
      <c r="G25" s="481">
        <v>15.23</v>
      </c>
      <c r="H25" s="481">
        <v>15.11</v>
      </c>
      <c r="I25" s="482">
        <v>240.86</v>
      </c>
      <c r="J25" s="483">
        <v>0.79</v>
      </c>
      <c r="K25" s="479" t="s">
        <v>9</v>
      </c>
      <c r="L25" s="482" t="str">
        <f t="shared" si="0"/>
        <v/>
      </c>
      <c r="M25" s="620" t="s">
        <v>24</v>
      </c>
      <c r="N25" s="467">
        <f>SUM(I60:I73)</f>
        <v>-1112.32</v>
      </c>
      <c r="O25" s="611"/>
      <c r="P25" s="611"/>
      <c r="Q25" s="611"/>
      <c r="R25" s="464">
        <f t="shared" si="2"/>
        <v>1248.585855564457</v>
      </c>
      <c r="S25" s="612">
        <f t="shared" si="1"/>
        <v>9.7865147921015705</v>
      </c>
      <c r="T25" s="611"/>
      <c r="U25" s="611"/>
      <c r="V25" s="88"/>
      <c r="W25" s="88"/>
      <c r="X25" s="88"/>
      <c r="Y25" s="88"/>
      <c r="Z25" s="88"/>
    </row>
    <row r="26" spans="1:26" ht="14.5">
      <c r="A26" s="642">
        <v>43531</v>
      </c>
      <c r="B26" s="643" t="s">
        <v>47</v>
      </c>
      <c r="C26" s="644" t="s">
        <v>69</v>
      </c>
      <c r="D26" s="645" t="s">
        <v>129</v>
      </c>
      <c r="E26" s="644" t="s">
        <v>71</v>
      </c>
      <c r="F26" s="645">
        <v>2700</v>
      </c>
      <c r="G26" s="646">
        <v>14.74</v>
      </c>
      <c r="H26" s="646">
        <v>0</v>
      </c>
      <c r="I26" s="647">
        <v>0</v>
      </c>
      <c r="J26" s="648">
        <v>0</v>
      </c>
      <c r="K26" s="644" t="s">
        <v>9</v>
      </c>
      <c r="L26" s="647">
        <f t="shared" si="0"/>
        <v>39820.934350000003</v>
      </c>
      <c r="M26" s="468" t="s">
        <v>126</v>
      </c>
      <c r="N26" s="469">
        <f>SUM(J60:J73)/100</f>
        <v>-5.9900000000000002E-2</v>
      </c>
      <c r="O26" s="611"/>
      <c r="P26" s="611"/>
      <c r="Q26" s="611"/>
      <c r="R26" s="464">
        <f t="shared" si="2"/>
        <v>1248.585855564457</v>
      </c>
      <c r="S26" s="612" t="str">
        <f t="shared" si="1"/>
        <v/>
      </c>
      <c r="T26" s="611"/>
      <c r="U26" s="611"/>
      <c r="V26" s="88"/>
      <c r="W26" s="88"/>
      <c r="X26" s="88"/>
      <c r="Y26" s="88"/>
      <c r="Z26" s="88"/>
    </row>
    <row r="27" spans="1:26" ht="14.5">
      <c r="A27" s="642">
        <v>43536</v>
      </c>
      <c r="B27" s="643" t="s">
        <v>48</v>
      </c>
      <c r="C27" s="644" t="s">
        <v>69</v>
      </c>
      <c r="D27" s="645" t="s">
        <v>129</v>
      </c>
      <c r="E27" s="644" t="s">
        <v>71</v>
      </c>
      <c r="F27" s="645">
        <v>2700</v>
      </c>
      <c r="G27" s="646">
        <v>14.76</v>
      </c>
      <c r="H27" s="646">
        <v>14.75</v>
      </c>
      <c r="I27" s="647">
        <v>35.770000000000003</v>
      </c>
      <c r="J27" s="648">
        <v>0.08</v>
      </c>
      <c r="K27" s="644" t="s">
        <v>9</v>
      </c>
      <c r="L27" s="647" t="str">
        <f t="shared" si="0"/>
        <v/>
      </c>
      <c r="M27" s="876" t="s">
        <v>40</v>
      </c>
      <c r="N27" s="870"/>
      <c r="O27" s="611"/>
      <c r="P27" s="611"/>
      <c r="Q27" s="611"/>
      <c r="R27" s="464">
        <f t="shared" si="2"/>
        <v>1249.5847242489085</v>
      </c>
      <c r="S27" s="612">
        <f t="shared" si="1"/>
        <v>0.99886868445150867</v>
      </c>
      <c r="T27" s="611"/>
      <c r="U27" s="611"/>
      <c r="V27" s="88"/>
      <c r="W27" s="88"/>
      <c r="X27" s="88"/>
      <c r="Y27" s="88"/>
      <c r="Z27" s="88"/>
    </row>
    <row r="28" spans="1:26" ht="14.5">
      <c r="A28" s="642">
        <v>43544</v>
      </c>
      <c r="B28" s="643" t="s">
        <v>47</v>
      </c>
      <c r="C28" s="644" t="s">
        <v>69</v>
      </c>
      <c r="D28" s="645" t="s">
        <v>129</v>
      </c>
      <c r="E28" s="644" t="s">
        <v>71</v>
      </c>
      <c r="F28" s="645">
        <v>1100</v>
      </c>
      <c r="G28" s="646">
        <v>15.91</v>
      </c>
      <c r="H28" s="646">
        <v>0</v>
      </c>
      <c r="I28" s="647">
        <v>0</v>
      </c>
      <c r="J28" s="648">
        <v>0</v>
      </c>
      <c r="K28" s="644" t="s">
        <v>9</v>
      </c>
      <c r="L28" s="647">
        <f t="shared" si="0"/>
        <v>17516.687825000001</v>
      </c>
      <c r="M28" s="465" t="s">
        <v>21</v>
      </c>
      <c r="N28" s="466">
        <f>IFERROR(AVERAGE(L74:L83),0)</f>
        <v>13065.841770000001</v>
      </c>
      <c r="O28" s="611"/>
      <c r="P28" s="611"/>
      <c r="Q28" s="611"/>
      <c r="R28" s="464">
        <f t="shared" si="2"/>
        <v>1249.5847242489085</v>
      </c>
      <c r="S28" s="612" t="str">
        <f t="shared" si="1"/>
        <v/>
      </c>
      <c r="T28" s="611"/>
      <c r="U28" s="611"/>
      <c r="V28" s="88"/>
      <c r="W28" s="88"/>
      <c r="X28" s="88"/>
      <c r="Y28" s="88"/>
      <c r="Z28" s="88"/>
    </row>
    <row r="29" spans="1:26" ht="14.5">
      <c r="A29" s="642">
        <v>43545</v>
      </c>
      <c r="B29" s="643" t="s">
        <v>48</v>
      </c>
      <c r="C29" s="644" t="s">
        <v>69</v>
      </c>
      <c r="D29" s="645" t="s">
        <v>129</v>
      </c>
      <c r="E29" s="644" t="s">
        <v>71</v>
      </c>
      <c r="F29" s="645">
        <v>1100</v>
      </c>
      <c r="G29" s="646">
        <v>16.2</v>
      </c>
      <c r="H29" s="646">
        <v>15.91</v>
      </c>
      <c r="I29" s="647">
        <v>320.81</v>
      </c>
      <c r="J29" s="648">
        <v>1.83</v>
      </c>
      <c r="K29" s="644" t="s">
        <v>9</v>
      </c>
      <c r="L29" s="647" t="str">
        <f t="shared" si="0"/>
        <v/>
      </c>
      <c r="M29" s="620" t="s">
        <v>24</v>
      </c>
      <c r="N29" s="467">
        <f>SUM(I74:I83)</f>
        <v>916.31000000000006</v>
      </c>
      <c r="O29" s="611"/>
      <c r="P29" s="611"/>
      <c r="Q29" s="611"/>
      <c r="R29" s="464">
        <f t="shared" si="2"/>
        <v>1272.4521247026635</v>
      </c>
      <c r="S29" s="612">
        <f t="shared" si="1"/>
        <v>22.867400453754954</v>
      </c>
      <c r="T29" s="611"/>
      <c r="U29" s="611"/>
      <c r="V29" s="88"/>
      <c r="W29" s="88"/>
      <c r="X29" s="88"/>
      <c r="Y29" s="88"/>
      <c r="Z29" s="88"/>
    </row>
    <row r="30" spans="1:26" ht="14.5">
      <c r="A30" s="642">
        <v>43550</v>
      </c>
      <c r="B30" s="643" t="s">
        <v>47</v>
      </c>
      <c r="C30" s="644" t="s">
        <v>69</v>
      </c>
      <c r="D30" s="645" t="s">
        <v>129</v>
      </c>
      <c r="E30" s="644" t="s">
        <v>71</v>
      </c>
      <c r="F30" s="645">
        <v>1000</v>
      </c>
      <c r="G30" s="646">
        <v>15.84</v>
      </c>
      <c r="H30" s="646">
        <v>0</v>
      </c>
      <c r="I30" s="647">
        <v>0</v>
      </c>
      <c r="J30" s="648">
        <v>0</v>
      </c>
      <c r="K30" s="644" t="s">
        <v>9</v>
      </c>
      <c r="L30" s="647">
        <f t="shared" si="0"/>
        <v>15855.147999999999</v>
      </c>
      <c r="M30" s="468" t="s">
        <v>126</v>
      </c>
      <c r="N30" s="469">
        <f>SUM(J74:J83)/100</f>
        <v>6.7400000000000002E-2</v>
      </c>
      <c r="O30" s="611"/>
      <c r="P30" s="611"/>
      <c r="Q30" s="611"/>
      <c r="R30" s="464">
        <f>R29*((J30/100)+1)-715</f>
        <v>557.45212470266347</v>
      </c>
      <c r="S30" s="612">
        <v>-715</v>
      </c>
      <c r="T30" s="611"/>
      <c r="U30" s="611"/>
      <c r="V30" s="88"/>
      <c r="W30" s="88"/>
      <c r="X30" s="88"/>
      <c r="Y30" s="88"/>
      <c r="Z30" s="88"/>
    </row>
    <row r="31" spans="1:26" ht="14.5">
      <c r="A31" s="642">
        <v>43551</v>
      </c>
      <c r="B31" s="643" t="s">
        <v>48</v>
      </c>
      <c r="C31" s="644" t="s">
        <v>69</v>
      </c>
      <c r="D31" s="645" t="s">
        <v>129</v>
      </c>
      <c r="E31" s="644" t="s">
        <v>71</v>
      </c>
      <c r="F31" s="645">
        <v>1000</v>
      </c>
      <c r="G31" s="646">
        <v>15.17</v>
      </c>
      <c r="H31" s="646">
        <v>15.85</v>
      </c>
      <c r="I31" s="647">
        <v>-669.81</v>
      </c>
      <c r="J31" s="648">
        <v>-4.22</v>
      </c>
      <c r="K31" s="644" t="s">
        <v>9</v>
      </c>
      <c r="L31" s="647" t="str">
        <f t="shared" si="0"/>
        <v/>
      </c>
      <c r="M31" s="876" t="s">
        <v>41</v>
      </c>
      <c r="N31" s="870"/>
      <c r="O31" s="611"/>
      <c r="P31" s="611"/>
      <c r="Q31" s="611"/>
      <c r="R31" s="464">
        <f t="shared" ref="R31:R195" si="3">R30*((J31/100)+1)</f>
        <v>533.92764504021102</v>
      </c>
      <c r="S31" s="612">
        <f t="shared" ref="S31:S195" si="4">IF(R31&lt;&gt;R30,R31-R30,"")</f>
        <v>-23.52447966245245</v>
      </c>
      <c r="T31" s="611"/>
      <c r="U31" s="611"/>
      <c r="V31" s="88"/>
      <c r="W31" s="88"/>
      <c r="X31" s="88"/>
      <c r="Y31" s="88"/>
      <c r="Z31" s="88"/>
    </row>
    <row r="32" spans="1:26" ht="14.5">
      <c r="A32" s="621">
        <v>43551</v>
      </c>
      <c r="B32" s="622" t="s">
        <v>47</v>
      </c>
      <c r="C32" s="623" t="s">
        <v>69</v>
      </c>
      <c r="D32" s="623" t="s">
        <v>82</v>
      </c>
      <c r="E32" s="623" t="s">
        <v>71</v>
      </c>
      <c r="F32" s="624">
        <v>300</v>
      </c>
      <c r="G32" s="625">
        <v>47.51</v>
      </c>
      <c r="H32" s="625">
        <v>0</v>
      </c>
      <c r="I32" s="626">
        <v>0</v>
      </c>
      <c r="J32" s="627">
        <v>0</v>
      </c>
      <c r="K32" s="623" t="s">
        <v>9</v>
      </c>
      <c r="L32" s="626">
        <f t="shared" si="0"/>
        <v>14267.632224999999</v>
      </c>
      <c r="M32" s="465" t="s">
        <v>21</v>
      </c>
      <c r="N32" s="466">
        <f>IFERROR(AVERAGE(L84:L95),0)</f>
        <v>12055.91365</v>
      </c>
      <c r="O32" s="611"/>
      <c r="P32" s="611"/>
      <c r="Q32" s="611"/>
      <c r="R32" s="464">
        <f t="shared" si="3"/>
        <v>533.92764504021102</v>
      </c>
      <c r="S32" s="612" t="str">
        <f t="shared" si="4"/>
        <v/>
      </c>
      <c r="T32" s="611"/>
      <c r="U32" s="611"/>
      <c r="V32" s="88"/>
      <c r="W32" s="88"/>
      <c r="X32" s="88"/>
      <c r="Y32" s="88"/>
      <c r="Z32" s="88"/>
    </row>
    <row r="33" spans="1:26" ht="14.5">
      <c r="A33" s="621">
        <v>43553</v>
      </c>
      <c r="B33" s="622" t="s">
        <v>48</v>
      </c>
      <c r="C33" s="623" t="s">
        <v>69</v>
      </c>
      <c r="D33" s="623" t="s">
        <v>82</v>
      </c>
      <c r="E33" s="623" t="s">
        <v>71</v>
      </c>
      <c r="F33" s="624">
        <v>300</v>
      </c>
      <c r="G33" s="625">
        <v>45.86</v>
      </c>
      <c r="H33" s="625">
        <v>47.52</v>
      </c>
      <c r="I33" s="626">
        <v>-496.86</v>
      </c>
      <c r="J33" s="627">
        <v>-3.48</v>
      </c>
      <c r="K33" s="623" t="s">
        <v>9</v>
      </c>
      <c r="L33" s="626" t="str">
        <f t="shared" si="0"/>
        <v/>
      </c>
      <c r="M33" s="620" t="s">
        <v>24</v>
      </c>
      <c r="N33" s="467">
        <f>SUM(I84:I95)</f>
        <v>-139.68000000000006</v>
      </c>
      <c r="O33" s="611"/>
      <c r="P33" s="611"/>
      <c r="Q33" s="611"/>
      <c r="R33" s="464">
        <f t="shared" si="3"/>
        <v>515.34696299281165</v>
      </c>
      <c r="S33" s="612">
        <f t="shared" si="4"/>
        <v>-18.580682047399364</v>
      </c>
      <c r="T33" s="611"/>
      <c r="U33" s="611"/>
      <c r="V33" s="88"/>
      <c r="W33" s="88"/>
      <c r="X33" s="88"/>
      <c r="Y33" s="88"/>
      <c r="Z33" s="88"/>
    </row>
    <row r="34" spans="1:26" ht="14.5">
      <c r="A34" s="484">
        <v>43553</v>
      </c>
      <c r="B34" s="485" t="s">
        <v>47</v>
      </c>
      <c r="C34" s="486" t="s">
        <v>69</v>
      </c>
      <c r="D34" s="487" t="s">
        <v>129</v>
      </c>
      <c r="E34" s="486" t="s">
        <v>71</v>
      </c>
      <c r="F34" s="487">
        <v>900</v>
      </c>
      <c r="G34" s="488">
        <v>16.260000000000002</v>
      </c>
      <c r="H34" s="488">
        <v>0</v>
      </c>
      <c r="I34" s="489">
        <v>0</v>
      </c>
      <c r="J34" s="490">
        <v>0</v>
      </c>
      <c r="K34" s="486" t="s">
        <v>9</v>
      </c>
      <c r="L34" s="489">
        <f t="shared" si="0"/>
        <v>14648.756050000002</v>
      </c>
      <c r="M34" s="468" t="s">
        <v>126</v>
      </c>
      <c r="N34" s="469">
        <f>SUM(J84:J95)/100</f>
        <v>-7.4999999999999997E-3</v>
      </c>
      <c r="O34" s="611"/>
      <c r="P34" s="611"/>
      <c r="Q34" s="611"/>
      <c r="R34" s="464">
        <f t="shared" si="3"/>
        <v>515.34696299281165</v>
      </c>
      <c r="S34" s="612" t="str">
        <f t="shared" si="4"/>
        <v/>
      </c>
      <c r="T34" s="611"/>
      <c r="U34" s="611"/>
      <c r="V34" s="88"/>
      <c r="W34" s="88"/>
      <c r="X34" s="88"/>
      <c r="Y34" s="88"/>
      <c r="Z34" s="88"/>
    </row>
    <row r="35" spans="1:26" ht="14.5">
      <c r="A35" s="642">
        <v>43557</v>
      </c>
      <c r="B35" s="643" t="s">
        <v>48</v>
      </c>
      <c r="C35" s="644" t="s">
        <v>69</v>
      </c>
      <c r="D35" s="645" t="s">
        <v>129</v>
      </c>
      <c r="E35" s="644" t="s">
        <v>71</v>
      </c>
      <c r="F35" s="645">
        <v>900</v>
      </c>
      <c r="G35" s="646">
        <v>16.68</v>
      </c>
      <c r="H35" s="646">
        <v>16.27</v>
      </c>
      <c r="I35" s="647">
        <v>375.62</v>
      </c>
      <c r="J35" s="648">
        <v>2.56</v>
      </c>
      <c r="K35" s="644" t="s">
        <v>9</v>
      </c>
      <c r="L35" s="647" t="str">
        <f t="shared" si="0"/>
        <v/>
      </c>
      <c r="M35" s="876" t="s">
        <v>42</v>
      </c>
      <c r="N35" s="870"/>
      <c r="O35" s="649"/>
      <c r="P35" s="649"/>
      <c r="Q35" s="649"/>
      <c r="R35" s="464">
        <f t="shared" si="3"/>
        <v>528.53984524542761</v>
      </c>
      <c r="S35" s="612">
        <f t="shared" si="4"/>
        <v>13.192882252615959</v>
      </c>
      <c r="T35" s="649"/>
      <c r="U35" s="649"/>
    </row>
    <row r="36" spans="1:26" ht="14.5">
      <c r="A36" s="642">
        <v>43558</v>
      </c>
      <c r="B36" s="643" t="s">
        <v>47</v>
      </c>
      <c r="C36" s="644" t="s">
        <v>69</v>
      </c>
      <c r="D36" s="645" t="s">
        <v>129</v>
      </c>
      <c r="E36" s="644" t="s">
        <v>71</v>
      </c>
      <c r="F36" s="645">
        <v>900</v>
      </c>
      <c r="G36" s="646">
        <v>17.16</v>
      </c>
      <c r="H36" s="646">
        <v>0</v>
      </c>
      <c r="I36" s="647">
        <v>0</v>
      </c>
      <c r="J36" s="648">
        <v>0</v>
      </c>
      <c r="K36" s="644" t="s">
        <v>9</v>
      </c>
      <c r="L36" s="647">
        <f t="shared" si="0"/>
        <v>15459.0193</v>
      </c>
      <c r="M36" s="465" t="s">
        <v>21</v>
      </c>
      <c r="N36" s="466">
        <f>IFERROR(AVERAGE(L96:L104),0)</f>
        <v>18848.870262500001</v>
      </c>
      <c r="O36" s="650"/>
      <c r="P36" s="650"/>
      <c r="Q36" s="650"/>
      <c r="R36" s="464">
        <f t="shared" si="3"/>
        <v>528.53984524542761</v>
      </c>
      <c r="S36" s="612" t="str">
        <f t="shared" si="4"/>
        <v/>
      </c>
      <c r="T36" s="650"/>
      <c r="U36" s="650"/>
      <c r="V36" s="136"/>
      <c r="W36" s="136"/>
      <c r="X36" s="136"/>
      <c r="Y36" s="136"/>
      <c r="Z36" s="136"/>
    </row>
    <row r="37" spans="1:26" ht="14.5">
      <c r="A37" s="642">
        <v>43565</v>
      </c>
      <c r="B37" s="643" t="s">
        <v>48</v>
      </c>
      <c r="C37" s="644" t="s">
        <v>69</v>
      </c>
      <c r="D37" s="645" t="s">
        <v>129</v>
      </c>
      <c r="E37" s="644" t="s">
        <v>71</v>
      </c>
      <c r="F37" s="645">
        <v>900</v>
      </c>
      <c r="G37" s="646">
        <v>16.61</v>
      </c>
      <c r="H37" s="646">
        <v>17.170000000000002</v>
      </c>
      <c r="I37" s="647">
        <v>-497.6</v>
      </c>
      <c r="J37" s="648">
        <v>-3.22</v>
      </c>
      <c r="K37" s="644" t="s">
        <v>9</v>
      </c>
      <c r="L37" s="647" t="str">
        <f t="shared" si="0"/>
        <v/>
      </c>
      <c r="M37" s="620" t="s">
        <v>24</v>
      </c>
      <c r="N37" s="467">
        <f>SUM(I96:I104)</f>
        <v>-2269.5</v>
      </c>
      <c r="O37" s="650"/>
      <c r="P37" s="650"/>
      <c r="Q37" s="650"/>
      <c r="R37" s="464">
        <f t="shared" si="3"/>
        <v>511.52086222852483</v>
      </c>
      <c r="S37" s="612">
        <f t="shared" si="4"/>
        <v>-17.01898301690278</v>
      </c>
      <c r="T37" s="650"/>
      <c r="U37" s="650"/>
      <c r="V37" s="136"/>
      <c r="W37" s="136"/>
      <c r="X37" s="136"/>
      <c r="Y37" s="136"/>
      <c r="Z37" s="136"/>
    </row>
    <row r="38" spans="1:26" ht="14.5">
      <c r="A38" s="651">
        <v>43572</v>
      </c>
      <c r="B38" s="652" t="s">
        <v>47</v>
      </c>
      <c r="C38" s="653" t="s">
        <v>69</v>
      </c>
      <c r="D38" s="654" t="s">
        <v>130</v>
      </c>
      <c r="E38" s="653" t="s">
        <v>71</v>
      </c>
      <c r="F38" s="654">
        <v>6100</v>
      </c>
      <c r="G38" s="655">
        <v>1.61</v>
      </c>
      <c r="H38" s="655">
        <v>0</v>
      </c>
      <c r="I38" s="656">
        <v>0</v>
      </c>
      <c r="J38" s="657">
        <v>0</v>
      </c>
      <c r="K38" s="653" t="s">
        <v>9</v>
      </c>
      <c r="L38" s="656">
        <f t="shared" si="0"/>
        <v>9834.1918249999999</v>
      </c>
      <c r="M38" s="468" t="s">
        <v>126</v>
      </c>
      <c r="N38" s="469">
        <f>SUM(J96:J104)/100</f>
        <v>-0.14069999999999999</v>
      </c>
      <c r="O38" s="650"/>
      <c r="P38" s="650"/>
      <c r="Q38" s="650"/>
      <c r="R38" s="464">
        <f t="shared" si="3"/>
        <v>511.52086222852483</v>
      </c>
      <c r="S38" s="612" t="str">
        <f t="shared" si="4"/>
        <v/>
      </c>
      <c r="T38" s="650"/>
      <c r="U38" s="650"/>
      <c r="V38" s="136"/>
      <c r="W38" s="136"/>
      <c r="X38" s="136"/>
      <c r="Y38" s="136"/>
      <c r="Z38" s="136"/>
    </row>
    <row r="39" spans="1:26" ht="14.5">
      <c r="A39" s="651">
        <v>43573</v>
      </c>
      <c r="B39" s="652" t="s">
        <v>48</v>
      </c>
      <c r="C39" s="653" t="s">
        <v>69</v>
      </c>
      <c r="D39" s="654" t="s">
        <v>130</v>
      </c>
      <c r="E39" s="653" t="s">
        <v>71</v>
      </c>
      <c r="F39" s="654">
        <v>6100</v>
      </c>
      <c r="G39" s="655">
        <v>1.6299999999999997</v>
      </c>
      <c r="H39" s="655">
        <v>1.61</v>
      </c>
      <c r="I39" s="656">
        <v>156.72999999999999</v>
      </c>
      <c r="J39" s="657">
        <v>1.59</v>
      </c>
      <c r="K39" s="653" t="s">
        <v>9</v>
      </c>
      <c r="L39" s="656" t="str">
        <f t="shared" si="0"/>
        <v/>
      </c>
      <c r="M39" s="876" t="s">
        <v>43</v>
      </c>
      <c r="N39" s="870"/>
      <c r="O39" s="650"/>
      <c r="P39" s="650"/>
      <c r="Q39" s="650"/>
      <c r="R39" s="464">
        <f t="shared" si="3"/>
        <v>519.65404393795836</v>
      </c>
      <c r="S39" s="612">
        <f t="shared" si="4"/>
        <v>8.1331817094335292</v>
      </c>
      <c r="T39" s="650"/>
      <c r="U39" s="650"/>
      <c r="V39" s="136"/>
      <c r="W39" s="136"/>
      <c r="X39" s="136"/>
      <c r="Y39" s="136"/>
      <c r="Z39" s="136"/>
    </row>
    <row r="40" spans="1:26" ht="14.5">
      <c r="A40" s="651">
        <v>43577</v>
      </c>
      <c r="B40" s="652" t="s">
        <v>47</v>
      </c>
      <c r="C40" s="653" t="s">
        <v>69</v>
      </c>
      <c r="D40" s="654" t="s">
        <v>130</v>
      </c>
      <c r="E40" s="653" t="s">
        <v>71</v>
      </c>
      <c r="F40" s="654">
        <v>6100</v>
      </c>
      <c r="G40" s="655">
        <v>1.71</v>
      </c>
      <c r="H40" s="655">
        <v>0</v>
      </c>
      <c r="I40" s="656">
        <v>0</v>
      </c>
      <c r="J40" s="657">
        <v>0</v>
      </c>
      <c r="K40" s="653" t="s">
        <v>9</v>
      </c>
      <c r="L40" s="656">
        <f t="shared" si="0"/>
        <v>10444.390074999999</v>
      </c>
      <c r="M40" s="465" t="s">
        <v>21</v>
      </c>
      <c r="N40" s="466">
        <f>IFERROR(AVERAGE(L105:L112),0)</f>
        <v>13116.510000000002</v>
      </c>
      <c r="O40" s="650"/>
      <c r="P40" s="650"/>
      <c r="Q40" s="650"/>
      <c r="R40" s="464">
        <f t="shared" si="3"/>
        <v>519.65404393795836</v>
      </c>
      <c r="S40" s="612" t="str">
        <f t="shared" si="4"/>
        <v/>
      </c>
      <c r="T40" s="650"/>
      <c r="U40" s="650"/>
      <c r="V40" s="136"/>
      <c r="W40" s="136"/>
      <c r="X40" s="136"/>
      <c r="Y40" s="136"/>
      <c r="Z40" s="136"/>
    </row>
    <row r="41" spans="1:26" ht="14.5">
      <c r="A41" s="651">
        <v>43578</v>
      </c>
      <c r="B41" s="652" t="s">
        <v>48</v>
      </c>
      <c r="C41" s="653" t="s">
        <v>69</v>
      </c>
      <c r="D41" s="654" t="s">
        <v>130</v>
      </c>
      <c r="E41" s="653" t="s">
        <v>71</v>
      </c>
      <c r="F41" s="654">
        <v>6100</v>
      </c>
      <c r="G41" s="655">
        <v>1.74</v>
      </c>
      <c r="H41" s="655">
        <v>1.71</v>
      </c>
      <c r="I41" s="656">
        <v>217.33</v>
      </c>
      <c r="J41" s="657">
        <v>2.08</v>
      </c>
      <c r="K41" s="653" t="s">
        <v>9</v>
      </c>
      <c r="L41" s="656" t="str">
        <f t="shared" si="0"/>
        <v/>
      </c>
      <c r="M41" s="620" t="s">
        <v>24</v>
      </c>
      <c r="N41" s="467">
        <f>SUM(I105:I112)</f>
        <v>-147.12000000000006</v>
      </c>
      <c r="O41" s="650"/>
      <c r="P41" s="650"/>
      <c r="Q41" s="650"/>
      <c r="R41" s="464">
        <f t="shared" si="3"/>
        <v>530.46284805186781</v>
      </c>
      <c r="S41" s="612">
        <f t="shared" si="4"/>
        <v>10.808804113909446</v>
      </c>
      <c r="T41" s="650"/>
      <c r="U41" s="650"/>
      <c r="V41" s="136"/>
      <c r="W41" s="136"/>
      <c r="X41" s="136"/>
      <c r="Y41" s="136"/>
      <c r="Z41" s="136"/>
    </row>
    <row r="42" spans="1:26" ht="14.5">
      <c r="A42" s="651">
        <v>43581</v>
      </c>
      <c r="B42" s="652" t="s">
        <v>47</v>
      </c>
      <c r="C42" s="653" t="s">
        <v>69</v>
      </c>
      <c r="D42" s="654" t="s">
        <v>130</v>
      </c>
      <c r="E42" s="653" t="s">
        <v>71</v>
      </c>
      <c r="F42" s="654">
        <v>8000</v>
      </c>
      <c r="G42" s="655">
        <v>1.67</v>
      </c>
      <c r="H42" s="655">
        <v>0</v>
      </c>
      <c r="I42" s="656">
        <v>0</v>
      </c>
      <c r="J42" s="657">
        <v>0</v>
      </c>
      <c r="K42" s="653" t="s">
        <v>9</v>
      </c>
      <c r="L42" s="656">
        <f t="shared" si="0"/>
        <v>13374.342000000001</v>
      </c>
      <c r="M42" s="468" t="s">
        <v>126</v>
      </c>
      <c r="N42" s="469">
        <f>SUM(J105:J112)/100</f>
        <v>-1.1000000000000001E-2</v>
      </c>
      <c r="O42" s="650"/>
      <c r="P42" s="650"/>
      <c r="Q42" s="650"/>
      <c r="R42" s="464">
        <f t="shared" si="3"/>
        <v>530.46284805186781</v>
      </c>
      <c r="S42" s="612" t="str">
        <f t="shared" si="4"/>
        <v/>
      </c>
      <c r="T42" s="650"/>
      <c r="U42" s="650"/>
      <c r="V42" s="136"/>
      <c r="W42" s="136"/>
      <c r="X42" s="136"/>
      <c r="Y42" s="136"/>
      <c r="Z42" s="136"/>
    </row>
    <row r="43" spans="1:26" ht="14.5">
      <c r="A43" s="651">
        <v>43584</v>
      </c>
      <c r="B43" s="652" t="s">
        <v>48</v>
      </c>
      <c r="C43" s="653" t="s">
        <v>69</v>
      </c>
      <c r="D43" s="654" t="s">
        <v>130</v>
      </c>
      <c r="E43" s="653" t="s">
        <v>71</v>
      </c>
      <c r="F43" s="654">
        <v>8000</v>
      </c>
      <c r="G43" s="655">
        <v>1.6799999999999997</v>
      </c>
      <c r="H43" s="655">
        <v>1.67</v>
      </c>
      <c r="I43" s="656">
        <v>131.51</v>
      </c>
      <c r="J43" s="657">
        <v>0.98000000000000009</v>
      </c>
      <c r="K43" s="653" t="s">
        <v>9</v>
      </c>
      <c r="L43" s="656" t="str">
        <f t="shared" si="0"/>
        <v/>
      </c>
      <c r="M43" s="876" t="s">
        <v>44</v>
      </c>
      <c r="N43" s="870"/>
      <c r="O43" s="650"/>
      <c r="P43" s="650"/>
      <c r="Q43" s="650"/>
      <c r="R43" s="464">
        <f t="shared" si="3"/>
        <v>535.66138396277609</v>
      </c>
      <c r="S43" s="612">
        <f t="shared" si="4"/>
        <v>5.1985359109082765</v>
      </c>
      <c r="T43" s="650"/>
      <c r="U43" s="650"/>
      <c r="V43" s="136"/>
      <c r="W43" s="136"/>
      <c r="X43" s="136"/>
      <c r="Y43" s="136"/>
      <c r="Z43" s="136"/>
    </row>
    <row r="44" spans="1:26" ht="14.5">
      <c r="A44" s="491">
        <v>43585</v>
      </c>
      <c r="B44" s="492" t="s">
        <v>47</v>
      </c>
      <c r="C44" s="493" t="s">
        <v>69</v>
      </c>
      <c r="D44" s="494" t="s">
        <v>130</v>
      </c>
      <c r="E44" s="493" t="s">
        <v>71</v>
      </c>
      <c r="F44" s="494">
        <v>8300</v>
      </c>
      <c r="G44" s="495">
        <v>1.69</v>
      </c>
      <c r="H44" s="495">
        <v>0</v>
      </c>
      <c r="I44" s="496">
        <v>0</v>
      </c>
      <c r="J44" s="497">
        <v>0</v>
      </c>
      <c r="K44" s="493" t="s">
        <v>9</v>
      </c>
      <c r="L44" s="496">
        <f t="shared" si="0"/>
        <v>14041.558775</v>
      </c>
      <c r="M44" s="465" t="s">
        <v>21</v>
      </c>
      <c r="N44" s="466">
        <f>IFERROR(AVERAGE(L113:L117),0)</f>
        <v>11041.583333333334</v>
      </c>
      <c r="O44" s="650"/>
      <c r="P44" s="650"/>
      <c r="Q44" s="650"/>
      <c r="R44" s="464">
        <f t="shared" si="3"/>
        <v>535.66138396277609</v>
      </c>
      <c r="S44" s="612" t="str">
        <f t="shared" si="4"/>
        <v/>
      </c>
      <c r="T44" s="650"/>
      <c r="U44" s="650"/>
      <c r="V44" s="136"/>
      <c r="W44" s="136"/>
      <c r="X44" s="136"/>
      <c r="Y44" s="136"/>
      <c r="Z44" s="136"/>
    </row>
    <row r="45" spans="1:26" ht="14.5">
      <c r="A45" s="651">
        <v>43587</v>
      </c>
      <c r="B45" s="652" t="s">
        <v>48</v>
      </c>
      <c r="C45" s="653" t="s">
        <v>69</v>
      </c>
      <c r="D45" s="654" t="s">
        <v>130</v>
      </c>
      <c r="E45" s="653" t="s">
        <v>71</v>
      </c>
      <c r="F45" s="654">
        <v>8300</v>
      </c>
      <c r="G45" s="655">
        <v>1.71</v>
      </c>
      <c r="H45" s="655">
        <v>1.69</v>
      </c>
      <c r="I45" s="656">
        <v>220.06</v>
      </c>
      <c r="J45" s="657">
        <v>1.56</v>
      </c>
      <c r="K45" s="653" t="s">
        <v>9</v>
      </c>
      <c r="L45" s="656" t="str">
        <f t="shared" si="0"/>
        <v/>
      </c>
      <c r="M45" s="620" t="s">
        <v>24</v>
      </c>
      <c r="N45" s="467">
        <f>SUM(I113:I117)</f>
        <v>-529.06000000000006</v>
      </c>
      <c r="O45" s="650"/>
      <c r="P45" s="650"/>
      <c r="Q45" s="650"/>
      <c r="R45" s="464">
        <f t="shared" si="3"/>
        <v>544.01770155259544</v>
      </c>
      <c r="S45" s="612">
        <f t="shared" si="4"/>
        <v>8.3563175898193549</v>
      </c>
      <c r="T45" s="650"/>
      <c r="U45" s="650"/>
      <c r="V45" s="136"/>
      <c r="W45" s="136"/>
      <c r="X45" s="136"/>
      <c r="Y45" s="136"/>
      <c r="Z45" s="136"/>
    </row>
    <row r="46" spans="1:26" ht="14.5">
      <c r="A46" s="642">
        <v>43588</v>
      </c>
      <c r="B46" s="643" t="s">
        <v>47</v>
      </c>
      <c r="C46" s="644" t="s">
        <v>69</v>
      </c>
      <c r="D46" s="645" t="s">
        <v>129</v>
      </c>
      <c r="E46" s="644" t="s">
        <v>71</v>
      </c>
      <c r="F46" s="645">
        <v>1100</v>
      </c>
      <c r="G46" s="646">
        <v>14.31</v>
      </c>
      <c r="H46" s="646">
        <v>0</v>
      </c>
      <c r="I46" s="647">
        <v>0</v>
      </c>
      <c r="J46" s="648">
        <v>0</v>
      </c>
      <c r="K46" s="644" t="s">
        <v>9</v>
      </c>
      <c r="L46" s="647">
        <f t="shared" si="0"/>
        <v>15756.115825000001</v>
      </c>
      <c r="M46" s="468" t="s">
        <v>126</v>
      </c>
      <c r="N46" s="469">
        <f>SUM(J113:J117)/100</f>
        <v>-5.1500000000000004E-2</v>
      </c>
      <c r="O46" s="650"/>
      <c r="P46" s="650"/>
      <c r="Q46" s="650"/>
      <c r="R46" s="464">
        <f t="shared" si="3"/>
        <v>544.01770155259544</v>
      </c>
      <c r="S46" s="612" t="str">
        <f t="shared" si="4"/>
        <v/>
      </c>
      <c r="T46" s="650"/>
      <c r="U46" s="650"/>
      <c r="V46" s="136"/>
      <c r="W46" s="136"/>
      <c r="X46" s="136"/>
      <c r="Y46" s="136"/>
      <c r="Z46" s="136"/>
    </row>
    <row r="47" spans="1:26" ht="14.5">
      <c r="A47" s="642">
        <v>43591</v>
      </c>
      <c r="B47" s="643" t="s">
        <v>48</v>
      </c>
      <c r="C47" s="644" t="s">
        <v>69</v>
      </c>
      <c r="D47" s="645" t="s">
        <v>129</v>
      </c>
      <c r="E47" s="644" t="s">
        <v>71</v>
      </c>
      <c r="F47" s="645">
        <v>1100</v>
      </c>
      <c r="G47" s="646">
        <v>13.95</v>
      </c>
      <c r="H47" s="646">
        <v>14.31</v>
      </c>
      <c r="I47" s="647">
        <v>-392.92</v>
      </c>
      <c r="J47" s="648">
        <v>-2.4900000000000002</v>
      </c>
      <c r="K47" s="644" t="s">
        <v>9</v>
      </c>
      <c r="L47" s="647" t="str">
        <f t="shared" si="0"/>
        <v/>
      </c>
      <c r="M47" s="876" t="s">
        <v>45</v>
      </c>
      <c r="N47" s="870"/>
      <c r="O47" s="650"/>
      <c r="P47" s="650"/>
      <c r="Q47" s="650"/>
      <c r="R47" s="464">
        <f t="shared" si="3"/>
        <v>530.47166078393582</v>
      </c>
      <c r="S47" s="612">
        <f t="shared" si="4"/>
        <v>-13.546040768659623</v>
      </c>
      <c r="T47" s="650"/>
      <c r="U47" s="650"/>
      <c r="V47" s="136"/>
      <c r="W47" s="136"/>
      <c r="X47" s="136"/>
      <c r="Y47" s="136"/>
      <c r="Z47" s="136"/>
    </row>
    <row r="48" spans="1:26" ht="14.5">
      <c r="A48" s="651">
        <v>43591</v>
      </c>
      <c r="B48" s="652" t="s">
        <v>47</v>
      </c>
      <c r="C48" s="653" t="s">
        <v>69</v>
      </c>
      <c r="D48" s="654" t="s">
        <v>130</v>
      </c>
      <c r="E48" s="653" t="s">
        <v>71</v>
      </c>
      <c r="F48" s="654">
        <v>7000</v>
      </c>
      <c r="G48" s="655">
        <v>1.74</v>
      </c>
      <c r="H48" s="655">
        <v>0</v>
      </c>
      <c r="I48" s="656">
        <v>0</v>
      </c>
      <c r="J48" s="657">
        <v>0</v>
      </c>
      <c r="K48" s="653" t="s">
        <v>9</v>
      </c>
      <c r="L48" s="656">
        <f t="shared" si="0"/>
        <v>12193.958500000001</v>
      </c>
      <c r="M48" s="465" t="s">
        <v>21</v>
      </c>
      <c r="N48" s="466">
        <f>IFERROR(AVERAGE(L118:L146),0)</f>
        <v>14640.538571428575</v>
      </c>
      <c r="O48" s="650"/>
      <c r="P48" s="650"/>
      <c r="Q48" s="650"/>
      <c r="R48" s="464">
        <f t="shared" si="3"/>
        <v>530.47166078393582</v>
      </c>
      <c r="S48" s="612" t="str">
        <f t="shared" si="4"/>
        <v/>
      </c>
      <c r="T48" s="650"/>
      <c r="U48" s="650"/>
      <c r="V48" s="136"/>
      <c r="W48" s="136"/>
      <c r="X48" s="136"/>
      <c r="Y48" s="136"/>
      <c r="Z48" s="136"/>
    </row>
    <row r="49" spans="1:26" ht="14.5">
      <c r="A49" s="651">
        <v>43594</v>
      </c>
      <c r="B49" s="652" t="s">
        <v>48</v>
      </c>
      <c r="C49" s="653" t="s">
        <v>69</v>
      </c>
      <c r="D49" s="654" t="s">
        <v>130</v>
      </c>
      <c r="E49" s="653" t="s">
        <v>71</v>
      </c>
      <c r="F49" s="654">
        <v>7000</v>
      </c>
      <c r="G49" s="655">
        <v>1.55</v>
      </c>
      <c r="H49" s="655">
        <v>1.74</v>
      </c>
      <c r="I49" s="656">
        <v>-1287.3699999999999</v>
      </c>
      <c r="J49" s="657">
        <v>-10.55</v>
      </c>
      <c r="K49" s="653" t="s">
        <v>9</v>
      </c>
      <c r="L49" s="656" t="str">
        <f t="shared" si="0"/>
        <v/>
      </c>
      <c r="M49" s="620" t="s">
        <v>24</v>
      </c>
      <c r="N49" s="498">
        <f>SUM(I118:I146)</f>
        <v>1770.36</v>
      </c>
      <c r="O49" s="650"/>
      <c r="P49" s="650"/>
      <c r="Q49" s="650"/>
      <c r="R49" s="464">
        <f t="shared" si="3"/>
        <v>474.50690057123057</v>
      </c>
      <c r="S49" s="612">
        <f t="shared" si="4"/>
        <v>-55.964760212705244</v>
      </c>
      <c r="T49" s="650"/>
      <c r="U49" s="650"/>
      <c r="V49" s="136"/>
      <c r="W49" s="136"/>
      <c r="X49" s="136"/>
      <c r="Y49" s="136"/>
      <c r="Z49" s="136"/>
    </row>
    <row r="50" spans="1:26" ht="14.5">
      <c r="A50" s="651">
        <v>43606</v>
      </c>
      <c r="B50" s="652" t="s">
        <v>47</v>
      </c>
      <c r="C50" s="653" t="s">
        <v>69</v>
      </c>
      <c r="D50" s="654" t="s">
        <v>130</v>
      </c>
      <c r="E50" s="653" t="s">
        <v>71</v>
      </c>
      <c r="F50" s="654">
        <v>7000</v>
      </c>
      <c r="G50" s="655">
        <v>1.45</v>
      </c>
      <c r="H50" s="655">
        <v>0</v>
      </c>
      <c r="I50" s="656">
        <v>0</v>
      </c>
      <c r="J50" s="657">
        <v>0</v>
      </c>
      <c r="K50" s="653" t="s">
        <v>9</v>
      </c>
      <c r="L50" s="656">
        <f t="shared" si="0"/>
        <v>10163.29875</v>
      </c>
      <c r="M50" s="468" t="s">
        <v>126</v>
      </c>
      <c r="N50" s="469">
        <f>SUM(J118:J146)/100</f>
        <v>0.13019999999999998</v>
      </c>
      <c r="O50" s="650"/>
      <c r="P50" s="650"/>
      <c r="Q50" s="650"/>
      <c r="R50" s="464">
        <f t="shared" si="3"/>
        <v>474.50690057123057</v>
      </c>
      <c r="S50" s="612" t="str">
        <f t="shared" si="4"/>
        <v/>
      </c>
      <c r="T50" s="650"/>
      <c r="U50" s="650"/>
      <c r="V50" s="136"/>
      <c r="W50" s="136"/>
      <c r="X50" s="136"/>
      <c r="Y50" s="136"/>
      <c r="Z50" s="136"/>
    </row>
    <row r="51" spans="1:26" ht="14.5">
      <c r="A51" s="651">
        <v>43607</v>
      </c>
      <c r="B51" s="652" t="s">
        <v>48</v>
      </c>
      <c r="C51" s="653" t="s">
        <v>69</v>
      </c>
      <c r="D51" s="654" t="s">
        <v>130</v>
      </c>
      <c r="E51" s="653" t="s">
        <v>71</v>
      </c>
      <c r="F51" s="654">
        <v>7000</v>
      </c>
      <c r="G51" s="655">
        <v>1.47</v>
      </c>
      <c r="H51" s="655">
        <v>1.45</v>
      </c>
      <c r="I51" s="656">
        <v>183.45</v>
      </c>
      <c r="J51" s="657">
        <v>1.8</v>
      </c>
      <c r="K51" s="653" t="s">
        <v>9</v>
      </c>
      <c r="L51" s="656" t="str">
        <f t="shared" si="0"/>
        <v/>
      </c>
      <c r="M51" s="649"/>
      <c r="N51" s="650"/>
      <c r="O51" s="650"/>
      <c r="P51" s="650"/>
      <c r="Q51" s="650"/>
      <c r="R51" s="464">
        <f t="shared" si="3"/>
        <v>483.04802478151271</v>
      </c>
      <c r="S51" s="612">
        <f t="shared" si="4"/>
        <v>8.5411242102821348</v>
      </c>
      <c r="T51" s="650"/>
      <c r="U51" s="650"/>
      <c r="V51" s="136"/>
      <c r="W51" s="136"/>
      <c r="X51" s="136"/>
      <c r="Y51" s="136"/>
      <c r="Z51" s="136"/>
    </row>
    <row r="52" spans="1:26" ht="14.5">
      <c r="A52" s="628">
        <v>43612</v>
      </c>
      <c r="B52" s="629" t="s">
        <v>47</v>
      </c>
      <c r="C52" s="630" t="s">
        <v>69</v>
      </c>
      <c r="D52" s="631" t="s">
        <v>127</v>
      </c>
      <c r="E52" s="630" t="s">
        <v>71</v>
      </c>
      <c r="F52" s="631">
        <v>2000</v>
      </c>
      <c r="G52" s="632">
        <v>5.35</v>
      </c>
      <c r="H52" s="632">
        <v>0</v>
      </c>
      <c r="I52" s="633">
        <v>0</v>
      </c>
      <c r="J52" s="634">
        <v>0</v>
      </c>
      <c r="K52" s="630" t="s">
        <v>9</v>
      </c>
      <c r="L52" s="633">
        <f t="shared" si="0"/>
        <v>10713.477500000001</v>
      </c>
      <c r="M52" s="649"/>
      <c r="N52" s="650"/>
      <c r="O52" s="650"/>
      <c r="P52" s="650"/>
      <c r="Q52" s="650"/>
      <c r="R52" s="464">
        <f t="shared" si="3"/>
        <v>483.04802478151271</v>
      </c>
      <c r="S52" s="612" t="str">
        <f t="shared" si="4"/>
        <v/>
      </c>
      <c r="T52" s="650"/>
      <c r="U52" s="650"/>
      <c r="V52" s="136"/>
      <c r="W52" s="136"/>
      <c r="X52" s="136"/>
      <c r="Y52" s="136"/>
      <c r="Z52" s="136"/>
    </row>
    <row r="53" spans="1:26" ht="14.5">
      <c r="A53" s="628">
        <v>43613</v>
      </c>
      <c r="B53" s="629" t="s">
        <v>48</v>
      </c>
      <c r="C53" s="630" t="s">
        <v>69</v>
      </c>
      <c r="D53" s="631" t="s">
        <v>127</v>
      </c>
      <c r="E53" s="630" t="s">
        <v>71</v>
      </c>
      <c r="F53" s="631">
        <v>2000</v>
      </c>
      <c r="G53" s="632">
        <v>5.45</v>
      </c>
      <c r="H53" s="632">
        <v>5.36</v>
      </c>
      <c r="I53" s="633">
        <v>200</v>
      </c>
      <c r="J53" s="634">
        <v>1.86</v>
      </c>
      <c r="K53" s="630" t="s">
        <v>9</v>
      </c>
      <c r="L53" s="633" t="str">
        <f t="shared" si="0"/>
        <v/>
      </c>
      <c r="M53" s="649"/>
      <c r="N53" s="650"/>
      <c r="O53" s="650"/>
      <c r="P53" s="650"/>
      <c r="Q53" s="650"/>
      <c r="R53" s="464">
        <f t="shared" si="3"/>
        <v>492.03271804244883</v>
      </c>
      <c r="S53" s="612">
        <f t="shared" si="4"/>
        <v>8.9846932609361261</v>
      </c>
      <c r="T53" s="650"/>
      <c r="U53" s="650"/>
      <c r="V53" s="136"/>
      <c r="W53" s="136"/>
      <c r="X53" s="136"/>
      <c r="Y53" s="136"/>
      <c r="Z53" s="136"/>
    </row>
    <row r="54" spans="1:26" ht="14.5">
      <c r="A54" s="579">
        <v>43613</v>
      </c>
      <c r="B54" s="580" t="s">
        <v>47</v>
      </c>
      <c r="C54" s="581" t="s">
        <v>69</v>
      </c>
      <c r="D54" s="582" t="s">
        <v>115</v>
      </c>
      <c r="E54" s="581" t="s">
        <v>71</v>
      </c>
      <c r="F54" s="582">
        <v>400</v>
      </c>
      <c r="G54" s="584">
        <v>26.51</v>
      </c>
      <c r="H54" s="584">
        <v>0</v>
      </c>
      <c r="I54" s="585">
        <v>0</v>
      </c>
      <c r="J54" s="586">
        <v>0</v>
      </c>
      <c r="K54" s="581" t="s">
        <v>9</v>
      </c>
      <c r="L54" s="585">
        <f t="shared" si="0"/>
        <v>10617.4463</v>
      </c>
      <c r="M54" s="649"/>
      <c r="N54" s="650"/>
      <c r="O54" s="650"/>
      <c r="P54" s="650"/>
      <c r="Q54" s="650"/>
      <c r="R54" s="464">
        <f t="shared" si="3"/>
        <v>492.03271804244883</v>
      </c>
      <c r="S54" s="612" t="str">
        <f t="shared" si="4"/>
        <v/>
      </c>
      <c r="T54" s="650"/>
      <c r="U54" s="650"/>
      <c r="V54" s="136"/>
      <c r="W54" s="136"/>
      <c r="X54" s="136"/>
      <c r="Y54" s="136"/>
      <c r="Z54" s="136"/>
    </row>
    <row r="55" spans="1:26" ht="14.5">
      <c r="A55" s="579">
        <v>43614</v>
      </c>
      <c r="B55" s="580" t="s">
        <v>48</v>
      </c>
      <c r="C55" s="581" t="s">
        <v>69</v>
      </c>
      <c r="D55" s="582" t="s">
        <v>115</v>
      </c>
      <c r="E55" s="581" t="s">
        <v>71</v>
      </c>
      <c r="F55" s="582">
        <v>400</v>
      </c>
      <c r="G55" s="584">
        <v>26.67</v>
      </c>
      <c r="H55" s="584">
        <v>26.52</v>
      </c>
      <c r="I55" s="585">
        <v>64</v>
      </c>
      <c r="J55" s="586">
        <v>0.6</v>
      </c>
      <c r="K55" s="581" t="s">
        <v>9</v>
      </c>
      <c r="L55" s="585" t="str">
        <f t="shared" si="0"/>
        <v/>
      </c>
      <c r="M55" s="649"/>
      <c r="N55" s="650"/>
      <c r="O55" s="650"/>
      <c r="P55" s="650"/>
      <c r="Q55" s="650"/>
      <c r="R55" s="464">
        <f t="shared" si="3"/>
        <v>494.98491435070355</v>
      </c>
      <c r="S55" s="612">
        <f t="shared" si="4"/>
        <v>2.9521963082547131</v>
      </c>
      <c r="T55" s="650"/>
      <c r="U55" s="650"/>
      <c r="V55" s="136"/>
      <c r="W55" s="136"/>
      <c r="X55" s="136"/>
      <c r="Y55" s="136"/>
      <c r="Z55" s="136"/>
    </row>
    <row r="56" spans="1:26" ht="14.5">
      <c r="A56" s="628">
        <v>43614</v>
      </c>
      <c r="B56" s="629" t="s">
        <v>47</v>
      </c>
      <c r="C56" s="630" t="s">
        <v>69</v>
      </c>
      <c r="D56" s="631" t="s">
        <v>127</v>
      </c>
      <c r="E56" s="630" t="s">
        <v>71</v>
      </c>
      <c r="F56" s="631">
        <v>1800</v>
      </c>
      <c r="G56" s="632">
        <v>5.8</v>
      </c>
      <c r="H56" s="632">
        <v>0</v>
      </c>
      <c r="I56" s="633">
        <v>0</v>
      </c>
      <c r="J56" s="634">
        <v>0</v>
      </c>
      <c r="K56" s="630" t="s">
        <v>9</v>
      </c>
      <c r="L56" s="633">
        <f t="shared" si="0"/>
        <v>10453.393</v>
      </c>
      <c r="M56" s="649"/>
      <c r="N56" s="650"/>
      <c r="O56" s="650"/>
      <c r="P56" s="650"/>
      <c r="Q56" s="650"/>
      <c r="R56" s="464">
        <f t="shared" si="3"/>
        <v>494.98491435070355</v>
      </c>
      <c r="S56" s="612" t="str">
        <f t="shared" si="4"/>
        <v/>
      </c>
      <c r="T56" s="650"/>
      <c r="U56" s="650"/>
      <c r="V56" s="136"/>
      <c r="W56" s="136"/>
      <c r="X56" s="136"/>
      <c r="Y56" s="136"/>
      <c r="Z56" s="136"/>
    </row>
    <row r="57" spans="1:26" ht="14.5">
      <c r="A57" s="628">
        <v>43615</v>
      </c>
      <c r="B57" s="629" t="s">
        <v>48</v>
      </c>
      <c r="C57" s="630" t="s">
        <v>69</v>
      </c>
      <c r="D57" s="631" t="s">
        <v>127</v>
      </c>
      <c r="E57" s="630" t="s">
        <v>71</v>
      </c>
      <c r="F57" s="631">
        <v>1800</v>
      </c>
      <c r="G57" s="632">
        <v>6.18</v>
      </c>
      <c r="H57" s="632">
        <v>5.81</v>
      </c>
      <c r="I57" s="633">
        <v>681.99</v>
      </c>
      <c r="J57" s="634">
        <v>6.52</v>
      </c>
      <c r="K57" s="630" t="s">
        <v>9</v>
      </c>
      <c r="L57" s="633" t="str">
        <f t="shared" si="0"/>
        <v/>
      </c>
      <c r="M57" s="649"/>
      <c r="N57" s="650"/>
      <c r="O57" s="650"/>
      <c r="P57" s="650"/>
      <c r="Q57" s="650"/>
      <c r="R57" s="464">
        <f t="shared" si="3"/>
        <v>527.25793076636933</v>
      </c>
      <c r="S57" s="612">
        <f t="shared" si="4"/>
        <v>32.273016415665779</v>
      </c>
      <c r="T57" s="650"/>
      <c r="U57" s="650"/>
      <c r="V57" s="136"/>
      <c r="W57" s="136"/>
      <c r="X57" s="136"/>
      <c r="Y57" s="136"/>
      <c r="Z57" s="136"/>
    </row>
    <row r="58" spans="1:26" ht="14.5">
      <c r="A58" s="579">
        <v>43615</v>
      </c>
      <c r="B58" s="580" t="s">
        <v>47</v>
      </c>
      <c r="C58" s="581" t="s">
        <v>69</v>
      </c>
      <c r="D58" s="582" t="s">
        <v>115</v>
      </c>
      <c r="E58" s="581" t="s">
        <v>71</v>
      </c>
      <c r="F58" s="582">
        <v>500</v>
      </c>
      <c r="G58" s="584">
        <v>27.05</v>
      </c>
      <c r="H58" s="584">
        <v>0</v>
      </c>
      <c r="I58" s="585">
        <v>0</v>
      </c>
      <c r="J58" s="586">
        <v>0</v>
      </c>
      <c r="K58" s="581" t="s">
        <v>9</v>
      </c>
      <c r="L58" s="585">
        <f t="shared" si="0"/>
        <v>13539.395624999999</v>
      </c>
      <c r="M58" s="649"/>
      <c r="N58" s="650"/>
      <c r="O58" s="650"/>
      <c r="P58" s="650"/>
      <c r="Q58" s="650"/>
      <c r="R58" s="464">
        <f t="shared" si="3"/>
        <v>527.25793076636933</v>
      </c>
      <c r="S58" s="612" t="str">
        <f t="shared" si="4"/>
        <v/>
      </c>
      <c r="T58" s="650"/>
      <c r="U58" s="650"/>
      <c r="V58" s="136"/>
      <c r="W58" s="136"/>
      <c r="X58" s="136"/>
      <c r="Y58" s="136"/>
      <c r="Z58" s="136"/>
    </row>
    <row r="59" spans="1:26" ht="14.5">
      <c r="A59" s="499">
        <v>43616</v>
      </c>
      <c r="B59" s="500" t="s">
        <v>48</v>
      </c>
      <c r="C59" s="501" t="s">
        <v>69</v>
      </c>
      <c r="D59" s="502" t="s">
        <v>115</v>
      </c>
      <c r="E59" s="501" t="s">
        <v>71</v>
      </c>
      <c r="F59" s="502">
        <v>500</v>
      </c>
      <c r="G59" s="503">
        <v>27.21</v>
      </c>
      <c r="H59" s="503">
        <v>27.05</v>
      </c>
      <c r="I59" s="504">
        <v>80</v>
      </c>
      <c r="J59" s="505">
        <v>0.59</v>
      </c>
      <c r="K59" s="501" t="s">
        <v>9</v>
      </c>
      <c r="L59" s="504" t="str">
        <f t="shared" si="0"/>
        <v/>
      </c>
      <c r="M59" s="649"/>
      <c r="N59" s="650"/>
      <c r="O59" s="650"/>
      <c r="P59" s="650"/>
      <c r="Q59" s="650"/>
      <c r="R59" s="464">
        <f t="shared" si="3"/>
        <v>530.36875255789096</v>
      </c>
      <c r="S59" s="612">
        <f t="shared" si="4"/>
        <v>3.1108217915216301</v>
      </c>
      <c r="T59" s="650"/>
      <c r="U59" s="650"/>
      <c r="V59" s="136"/>
      <c r="W59" s="136"/>
      <c r="X59" s="136"/>
      <c r="Y59" s="136"/>
      <c r="Z59" s="136"/>
    </row>
    <row r="60" spans="1:26" ht="14.5">
      <c r="A60" s="579">
        <v>43619</v>
      </c>
      <c r="B60" s="580" t="s">
        <v>47</v>
      </c>
      <c r="C60" s="581" t="s">
        <v>69</v>
      </c>
      <c r="D60" s="582" t="s">
        <v>115</v>
      </c>
      <c r="E60" s="581" t="s">
        <v>71</v>
      </c>
      <c r="F60" s="582">
        <v>600</v>
      </c>
      <c r="G60" s="584">
        <v>27.32</v>
      </c>
      <c r="H60" s="584">
        <v>0</v>
      </c>
      <c r="I60" s="585">
        <v>0</v>
      </c>
      <c r="J60" s="586">
        <v>0</v>
      </c>
      <c r="K60" s="581" t="s">
        <v>9</v>
      </c>
      <c r="L60" s="585">
        <f t="shared" si="0"/>
        <v>16407.327399999998</v>
      </c>
      <c r="M60" s="649"/>
      <c r="N60" s="650"/>
      <c r="O60" s="650"/>
      <c r="P60" s="650"/>
      <c r="Q60" s="650"/>
      <c r="R60" s="464">
        <f t="shared" si="3"/>
        <v>530.36875255789096</v>
      </c>
      <c r="S60" s="612" t="str">
        <f t="shared" si="4"/>
        <v/>
      </c>
      <c r="T60" s="650"/>
      <c r="U60" s="650"/>
      <c r="V60" s="136"/>
      <c r="W60" s="136"/>
      <c r="X60" s="136"/>
      <c r="Y60" s="136"/>
      <c r="Z60" s="136"/>
    </row>
    <row r="61" spans="1:26" ht="14.5">
      <c r="A61" s="579">
        <v>43620</v>
      </c>
      <c r="B61" s="580" t="s">
        <v>48</v>
      </c>
      <c r="C61" s="581" t="s">
        <v>69</v>
      </c>
      <c r="D61" s="582" t="s">
        <v>115</v>
      </c>
      <c r="E61" s="581" t="s">
        <v>71</v>
      </c>
      <c r="F61" s="582">
        <v>600</v>
      </c>
      <c r="G61" s="584">
        <v>28.11</v>
      </c>
      <c r="H61" s="584">
        <v>27.33</v>
      </c>
      <c r="I61" s="585">
        <v>471.99</v>
      </c>
      <c r="J61" s="586">
        <v>2.87</v>
      </c>
      <c r="K61" s="581" t="s">
        <v>9</v>
      </c>
      <c r="L61" s="585" t="str">
        <f t="shared" si="0"/>
        <v/>
      </c>
      <c r="M61" s="649"/>
      <c r="N61" s="650"/>
      <c r="O61" s="650"/>
      <c r="P61" s="650"/>
      <c r="Q61" s="650"/>
      <c r="R61" s="464">
        <f t="shared" si="3"/>
        <v>545.59033575630235</v>
      </c>
      <c r="S61" s="612">
        <f t="shared" si="4"/>
        <v>15.221583198411395</v>
      </c>
      <c r="T61" s="650"/>
      <c r="U61" s="650"/>
      <c r="V61" s="136"/>
      <c r="W61" s="136"/>
      <c r="X61" s="136"/>
      <c r="Y61" s="136"/>
      <c r="Z61" s="136"/>
    </row>
    <row r="62" spans="1:26" ht="14.5">
      <c r="A62" s="579">
        <v>43622</v>
      </c>
      <c r="B62" s="580" t="s">
        <v>47</v>
      </c>
      <c r="C62" s="581" t="s">
        <v>69</v>
      </c>
      <c r="D62" s="582" t="s">
        <v>115</v>
      </c>
      <c r="E62" s="581" t="s">
        <v>71</v>
      </c>
      <c r="F62" s="582">
        <v>600</v>
      </c>
      <c r="G62" s="584">
        <v>29.26</v>
      </c>
      <c r="H62" s="584">
        <v>0</v>
      </c>
      <c r="I62" s="585">
        <v>0</v>
      </c>
      <c r="J62" s="586">
        <v>0</v>
      </c>
      <c r="K62" s="581" t="s">
        <v>9</v>
      </c>
      <c r="L62" s="585">
        <f t="shared" si="0"/>
        <v>17571.705699999999</v>
      </c>
      <c r="M62" s="649"/>
      <c r="N62" s="650"/>
      <c r="O62" s="650"/>
      <c r="P62" s="650"/>
      <c r="Q62" s="650"/>
      <c r="R62" s="464">
        <f t="shared" si="3"/>
        <v>545.59033575630235</v>
      </c>
      <c r="S62" s="612" t="str">
        <f t="shared" si="4"/>
        <v/>
      </c>
      <c r="T62" s="650"/>
      <c r="U62" s="650"/>
      <c r="V62" s="136"/>
      <c r="W62" s="136"/>
      <c r="X62" s="136"/>
      <c r="Y62" s="136"/>
      <c r="Z62" s="136"/>
    </row>
    <row r="63" spans="1:26" ht="14.5">
      <c r="A63" s="579">
        <v>43623</v>
      </c>
      <c r="B63" s="580" t="s">
        <v>48</v>
      </c>
      <c r="C63" s="581" t="s">
        <v>69</v>
      </c>
      <c r="D63" s="582" t="s">
        <v>115</v>
      </c>
      <c r="E63" s="581" t="s">
        <v>71</v>
      </c>
      <c r="F63" s="582">
        <v>600</v>
      </c>
      <c r="G63" s="584">
        <v>29.49</v>
      </c>
      <c r="H63" s="584">
        <v>29.27</v>
      </c>
      <c r="I63" s="585">
        <v>135.99</v>
      </c>
      <c r="J63" s="586">
        <v>0.77</v>
      </c>
      <c r="K63" s="581" t="s">
        <v>9</v>
      </c>
      <c r="L63" s="585" t="str">
        <f t="shared" si="0"/>
        <v/>
      </c>
      <c r="M63" s="649"/>
      <c r="N63" s="650"/>
      <c r="O63" s="650"/>
      <c r="P63" s="650"/>
      <c r="Q63" s="650"/>
      <c r="R63" s="464">
        <f t="shared" si="3"/>
        <v>549.79138134162588</v>
      </c>
      <c r="S63" s="612">
        <f t="shared" si="4"/>
        <v>4.2010455853235271</v>
      </c>
      <c r="T63" s="650"/>
      <c r="U63" s="650"/>
      <c r="V63" s="136"/>
      <c r="W63" s="136"/>
      <c r="X63" s="136"/>
      <c r="Y63" s="136"/>
      <c r="Z63" s="136"/>
    </row>
    <row r="64" spans="1:26" ht="14.5">
      <c r="A64" s="628">
        <v>43623</v>
      </c>
      <c r="B64" s="629" t="s">
        <v>47</v>
      </c>
      <c r="C64" s="630" t="s">
        <v>69</v>
      </c>
      <c r="D64" s="631" t="s">
        <v>127</v>
      </c>
      <c r="E64" s="630" t="s">
        <v>71</v>
      </c>
      <c r="F64" s="631">
        <v>2600</v>
      </c>
      <c r="G64" s="632">
        <v>6.96</v>
      </c>
      <c r="H64" s="632">
        <v>0</v>
      </c>
      <c r="I64" s="633">
        <v>0</v>
      </c>
      <c r="J64" s="634">
        <v>0</v>
      </c>
      <c r="K64" s="630" t="s">
        <v>9</v>
      </c>
      <c r="L64" s="633">
        <f t="shared" si="0"/>
        <v>18111.8812</v>
      </c>
      <c r="M64" s="649"/>
      <c r="N64" s="650"/>
      <c r="O64" s="650"/>
      <c r="P64" s="650"/>
      <c r="Q64" s="650"/>
      <c r="R64" s="464">
        <f t="shared" si="3"/>
        <v>549.79138134162588</v>
      </c>
      <c r="S64" s="612" t="str">
        <f t="shared" si="4"/>
        <v/>
      </c>
      <c r="T64" s="650"/>
      <c r="U64" s="650"/>
      <c r="V64" s="136"/>
      <c r="W64" s="136"/>
      <c r="X64" s="136"/>
      <c r="Y64" s="136"/>
      <c r="Z64" s="136"/>
    </row>
    <row r="65" spans="1:26" ht="14.5">
      <c r="A65" s="628">
        <v>43626</v>
      </c>
      <c r="B65" s="629" t="s">
        <v>48</v>
      </c>
      <c r="C65" s="630" t="s">
        <v>69</v>
      </c>
      <c r="D65" s="631" t="s">
        <v>127</v>
      </c>
      <c r="E65" s="630" t="s">
        <v>71</v>
      </c>
      <c r="F65" s="631">
        <v>2600</v>
      </c>
      <c r="G65" s="632">
        <v>7.17</v>
      </c>
      <c r="H65" s="632">
        <v>6.96</v>
      </c>
      <c r="I65" s="633">
        <v>551.99</v>
      </c>
      <c r="J65" s="634">
        <v>3.04</v>
      </c>
      <c r="K65" s="630" t="s">
        <v>9</v>
      </c>
      <c r="L65" s="633" t="str">
        <f t="shared" si="0"/>
        <v/>
      </c>
      <c r="M65" s="649"/>
      <c r="N65" s="650"/>
      <c r="O65" s="650"/>
      <c r="P65" s="650"/>
      <c r="Q65" s="650"/>
      <c r="R65" s="464">
        <f t="shared" si="3"/>
        <v>566.50503933441132</v>
      </c>
      <c r="S65" s="612">
        <f t="shared" si="4"/>
        <v>16.713657992785443</v>
      </c>
      <c r="T65" s="650"/>
      <c r="U65" s="650"/>
      <c r="V65" s="136"/>
      <c r="W65" s="136"/>
      <c r="X65" s="136"/>
      <c r="Y65" s="136"/>
      <c r="Z65" s="136"/>
    </row>
    <row r="66" spans="1:26" ht="14.5">
      <c r="A66" s="579">
        <v>43626</v>
      </c>
      <c r="B66" s="580" t="s">
        <v>47</v>
      </c>
      <c r="C66" s="581" t="s">
        <v>69</v>
      </c>
      <c r="D66" s="582" t="s">
        <v>115</v>
      </c>
      <c r="E66" s="581" t="s">
        <v>71</v>
      </c>
      <c r="F66" s="582">
        <v>600</v>
      </c>
      <c r="G66" s="584">
        <v>30.87</v>
      </c>
      <c r="H66" s="584">
        <v>0</v>
      </c>
      <c r="I66" s="585">
        <v>0</v>
      </c>
      <c r="J66" s="586">
        <v>0</v>
      </c>
      <c r="K66" s="581" t="s">
        <v>9</v>
      </c>
      <c r="L66" s="585">
        <f t="shared" si="0"/>
        <v>18538.019649999998</v>
      </c>
      <c r="M66" s="649"/>
      <c r="N66" s="650"/>
      <c r="O66" s="650"/>
      <c r="P66" s="650"/>
      <c r="Q66" s="650"/>
      <c r="R66" s="464">
        <f t="shared" si="3"/>
        <v>566.50503933441132</v>
      </c>
      <c r="S66" s="612" t="str">
        <f t="shared" si="4"/>
        <v/>
      </c>
      <c r="T66" s="650"/>
      <c r="U66" s="650"/>
      <c r="V66" s="136"/>
      <c r="W66" s="136"/>
      <c r="X66" s="136"/>
      <c r="Y66" s="136"/>
      <c r="Z66" s="136"/>
    </row>
    <row r="67" spans="1:26" ht="14.5">
      <c r="A67" s="579">
        <v>43627</v>
      </c>
      <c r="B67" s="580" t="s">
        <v>48</v>
      </c>
      <c r="C67" s="581" t="s">
        <v>69</v>
      </c>
      <c r="D67" s="582" t="s">
        <v>115</v>
      </c>
      <c r="E67" s="581" t="s">
        <v>71</v>
      </c>
      <c r="F67" s="582">
        <v>600</v>
      </c>
      <c r="G67" s="584">
        <v>30.77</v>
      </c>
      <c r="H67" s="584">
        <v>30.89</v>
      </c>
      <c r="I67" s="585">
        <v>-67.739999999999995</v>
      </c>
      <c r="J67" s="586">
        <v>-0.36</v>
      </c>
      <c r="K67" s="581" t="s">
        <v>9</v>
      </c>
      <c r="L67" s="585" t="str">
        <f t="shared" si="0"/>
        <v/>
      </c>
      <c r="M67" s="649"/>
      <c r="N67" s="650"/>
      <c r="O67" s="650"/>
      <c r="P67" s="650"/>
      <c r="Q67" s="650"/>
      <c r="R67" s="464">
        <f t="shared" si="3"/>
        <v>564.46562119280736</v>
      </c>
      <c r="S67" s="612">
        <f t="shared" si="4"/>
        <v>-2.0394181416039601</v>
      </c>
      <c r="T67" s="650"/>
      <c r="U67" s="650"/>
      <c r="V67" s="136"/>
      <c r="W67" s="136"/>
      <c r="X67" s="136"/>
      <c r="Y67" s="136"/>
      <c r="Z67" s="136"/>
    </row>
    <row r="68" spans="1:26" ht="14.5">
      <c r="A68" s="642">
        <v>43627</v>
      </c>
      <c r="B68" s="643" t="s">
        <v>47</v>
      </c>
      <c r="C68" s="644" t="s">
        <v>69</v>
      </c>
      <c r="D68" s="645" t="s">
        <v>129</v>
      </c>
      <c r="E68" s="644" t="s">
        <v>71</v>
      </c>
      <c r="F68" s="645">
        <v>1000</v>
      </c>
      <c r="G68" s="646">
        <v>18.23</v>
      </c>
      <c r="H68" s="646">
        <v>0</v>
      </c>
      <c r="I68" s="647">
        <v>0</v>
      </c>
      <c r="J68" s="648">
        <v>0</v>
      </c>
      <c r="K68" s="644" t="s">
        <v>9</v>
      </c>
      <c r="L68" s="647">
        <f t="shared" si="0"/>
        <v>18245.924749999998</v>
      </c>
      <c r="M68" s="506"/>
      <c r="N68" s="507"/>
      <c r="O68" s="650"/>
      <c r="P68" s="650"/>
      <c r="Q68" s="650"/>
      <c r="R68" s="464">
        <f t="shared" si="3"/>
        <v>564.46562119280736</v>
      </c>
      <c r="S68" s="612" t="str">
        <f t="shared" si="4"/>
        <v/>
      </c>
      <c r="T68" s="650"/>
      <c r="U68" s="650"/>
      <c r="V68" s="136"/>
      <c r="W68" s="136"/>
      <c r="X68" s="136"/>
      <c r="Y68" s="136"/>
      <c r="Z68" s="136"/>
    </row>
    <row r="69" spans="1:26" ht="14.5">
      <c r="A69" s="642">
        <v>43633</v>
      </c>
      <c r="B69" s="643" t="s">
        <v>48</v>
      </c>
      <c r="C69" s="644" t="s">
        <v>69</v>
      </c>
      <c r="D69" s="645" t="s">
        <v>129</v>
      </c>
      <c r="E69" s="644" t="s">
        <v>71</v>
      </c>
      <c r="F69" s="645">
        <v>1000</v>
      </c>
      <c r="G69" s="646">
        <v>16.34</v>
      </c>
      <c r="H69" s="646">
        <v>18.239999999999998</v>
      </c>
      <c r="I69" s="647">
        <v>-1890.97</v>
      </c>
      <c r="J69" s="648">
        <v>-10.36</v>
      </c>
      <c r="K69" s="644" t="s">
        <v>9</v>
      </c>
      <c r="L69" s="647" t="str">
        <f t="shared" si="0"/>
        <v/>
      </c>
      <c r="M69" s="649"/>
      <c r="N69" s="650"/>
      <c r="O69" s="650"/>
      <c r="P69" s="650"/>
      <c r="Q69" s="650"/>
      <c r="R69" s="464">
        <f t="shared" si="3"/>
        <v>505.98698283723252</v>
      </c>
      <c r="S69" s="612">
        <f t="shared" si="4"/>
        <v>-58.478638355574844</v>
      </c>
      <c r="T69" s="650"/>
      <c r="U69" s="650"/>
      <c r="V69" s="136"/>
      <c r="W69" s="136"/>
      <c r="X69" s="136"/>
      <c r="Y69" s="136"/>
      <c r="Z69" s="136"/>
    </row>
    <row r="70" spans="1:26" ht="14.5">
      <c r="A70" s="628">
        <v>43634</v>
      </c>
      <c r="B70" s="629" t="s">
        <v>47</v>
      </c>
      <c r="C70" s="630" t="s">
        <v>69</v>
      </c>
      <c r="D70" s="631" t="s">
        <v>127</v>
      </c>
      <c r="E70" s="630" t="s">
        <v>71</v>
      </c>
      <c r="F70" s="631">
        <v>1900</v>
      </c>
      <c r="G70" s="632">
        <v>7.8899999999999988</v>
      </c>
      <c r="H70" s="632">
        <v>0</v>
      </c>
      <c r="I70" s="633">
        <v>0</v>
      </c>
      <c r="J70" s="634">
        <v>0</v>
      </c>
      <c r="K70" s="630" t="s">
        <v>9</v>
      </c>
      <c r="L70" s="633">
        <f t="shared" si="0"/>
        <v>15005.872074999997</v>
      </c>
      <c r="M70" s="506"/>
      <c r="N70" s="507"/>
      <c r="O70" s="650"/>
      <c r="P70" s="650"/>
      <c r="Q70" s="650"/>
      <c r="R70" s="464">
        <f t="shared" si="3"/>
        <v>505.98698283723252</v>
      </c>
      <c r="S70" s="612" t="str">
        <f t="shared" si="4"/>
        <v/>
      </c>
      <c r="T70" s="650"/>
      <c r="U70" s="650"/>
      <c r="V70" s="136"/>
      <c r="W70" s="136"/>
      <c r="X70" s="136"/>
      <c r="Y70" s="136"/>
      <c r="Z70" s="136"/>
    </row>
    <row r="71" spans="1:26" ht="14.5">
      <c r="A71" s="628">
        <v>43635</v>
      </c>
      <c r="B71" s="629" t="s">
        <v>48</v>
      </c>
      <c r="C71" s="630" t="s">
        <v>69</v>
      </c>
      <c r="D71" s="631" t="s">
        <v>127</v>
      </c>
      <c r="E71" s="630" t="s">
        <v>71</v>
      </c>
      <c r="F71" s="631">
        <v>1900</v>
      </c>
      <c r="G71" s="632">
        <v>7.92</v>
      </c>
      <c r="H71" s="632">
        <v>7.9</v>
      </c>
      <c r="I71" s="633">
        <v>46.45</v>
      </c>
      <c r="J71" s="634">
        <v>0.3</v>
      </c>
      <c r="K71" s="630" t="s">
        <v>9</v>
      </c>
      <c r="L71" s="633" t="str">
        <f t="shared" si="0"/>
        <v/>
      </c>
      <c r="M71" s="649"/>
      <c r="N71" s="650"/>
      <c r="O71" s="650"/>
      <c r="P71" s="650"/>
      <c r="Q71" s="650"/>
      <c r="R71" s="464">
        <f t="shared" si="3"/>
        <v>507.50494378574416</v>
      </c>
      <c r="S71" s="612">
        <f t="shared" si="4"/>
        <v>1.517960948511643</v>
      </c>
      <c r="T71" s="650"/>
      <c r="U71" s="650"/>
      <c r="V71" s="136"/>
      <c r="W71" s="136"/>
      <c r="X71" s="136"/>
      <c r="Y71" s="136"/>
      <c r="Z71" s="136"/>
    </row>
    <row r="72" spans="1:26" ht="14.5">
      <c r="A72" s="579">
        <v>43640</v>
      </c>
      <c r="B72" s="580" t="s">
        <v>47</v>
      </c>
      <c r="C72" s="581" t="s">
        <v>69</v>
      </c>
      <c r="D72" s="582" t="s">
        <v>115</v>
      </c>
      <c r="E72" s="581" t="s">
        <v>71</v>
      </c>
      <c r="F72" s="582">
        <v>500</v>
      </c>
      <c r="G72" s="584">
        <v>31.96</v>
      </c>
      <c r="H72" s="584">
        <v>0</v>
      </c>
      <c r="I72" s="585">
        <v>0</v>
      </c>
      <c r="J72" s="586">
        <v>0</v>
      </c>
      <c r="K72" s="581" t="s">
        <v>9</v>
      </c>
      <c r="L72" s="585">
        <f t="shared" si="0"/>
        <v>15995.193499999999</v>
      </c>
      <c r="M72" s="506"/>
      <c r="N72" s="507"/>
      <c r="O72" s="650"/>
      <c r="P72" s="650"/>
      <c r="Q72" s="650"/>
      <c r="R72" s="464">
        <f t="shared" si="3"/>
        <v>507.50494378574416</v>
      </c>
      <c r="S72" s="612" t="str">
        <f t="shared" si="4"/>
        <v/>
      </c>
      <c r="T72" s="650"/>
      <c r="U72" s="650"/>
      <c r="V72" s="136"/>
      <c r="W72" s="136"/>
      <c r="X72" s="136"/>
      <c r="Y72" s="136"/>
      <c r="Z72" s="136"/>
    </row>
    <row r="73" spans="1:26" ht="14.5">
      <c r="A73" s="499">
        <v>43641</v>
      </c>
      <c r="B73" s="500" t="s">
        <v>48</v>
      </c>
      <c r="C73" s="501" t="s">
        <v>69</v>
      </c>
      <c r="D73" s="502" t="s">
        <v>115</v>
      </c>
      <c r="E73" s="501" t="s">
        <v>71</v>
      </c>
      <c r="F73" s="502">
        <v>500</v>
      </c>
      <c r="G73" s="503">
        <v>31.24</v>
      </c>
      <c r="H73" s="503">
        <v>31.96</v>
      </c>
      <c r="I73" s="504">
        <v>-360.03</v>
      </c>
      <c r="J73" s="505">
        <v>-2.25</v>
      </c>
      <c r="K73" s="501" t="s">
        <v>9</v>
      </c>
      <c r="L73" s="504" t="str">
        <f t="shared" si="0"/>
        <v/>
      </c>
      <c r="M73" s="649"/>
      <c r="N73" s="650"/>
      <c r="O73" s="650"/>
      <c r="P73" s="650"/>
      <c r="Q73" s="650"/>
      <c r="R73" s="464">
        <f t="shared" si="3"/>
        <v>496.08608255056492</v>
      </c>
      <c r="S73" s="612">
        <f t="shared" si="4"/>
        <v>-11.418861235179236</v>
      </c>
      <c r="T73" s="650"/>
      <c r="U73" s="650"/>
      <c r="V73" s="136"/>
      <c r="W73" s="136"/>
      <c r="X73" s="136"/>
      <c r="Y73" s="136"/>
      <c r="Z73" s="136"/>
    </row>
    <row r="74" spans="1:26" ht="14.5">
      <c r="A74" s="628">
        <v>43647</v>
      </c>
      <c r="B74" s="629" t="s">
        <v>47</v>
      </c>
      <c r="C74" s="630" t="s">
        <v>69</v>
      </c>
      <c r="D74" s="631" t="s">
        <v>127</v>
      </c>
      <c r="E74" s="630" t="s">
        <v>71</v>
      </c>
      <c r="F74" s="631">
        <v>1600</v>
      </c>
      <c r="G74" s="632">
        <v>9.65</v>
      </c>
      <c r="H74" s="632">
        <v>0</v>
      </c>
      <c r="I74" s="633">
        <v>0</v>
      </c>
      <c r="J74" s="634">
        <v>0</v>
      </c>
      <c r="K74" s="630" t="s">
        <v>9</v>
      </c>
      <c r="L74" s="633">
        <f t="shared" si="0"/>
        <v>15455.018</v>
      </c>
      <c r="M74" s="506"/>
      <c r="N74" s="507"/>
      <c r="O74" s="650"/>
      <c r="P74" s="650"/>
      <c r="Q74" s="650"/>
      <c r="R74" s="464">
        <f t="shared" si="3"/>
        <v>496.08608255056492</v>
      </c>
      <c r="S74" s="612" t="str">
        <f t="shared" si="4"/>
        <v/>
      </c>
      <c r="T74" s="650"/>
      <c r="U74" s="650"/>
      <c r="V74" s="136"/>
      <c r="W74" s="136"/>
      <c r="X74" s="136"/>
      <c r="Y74" s="136"/>
      <c r="Z74" s="136"/>
    </row>
    <row r="75" spans="1:26" ht="14.5">
      <c r="A75" s="628">
        <v>43648</v>
      </c>
      <c r="B75" s="629" t="s">
        <v>48</v>
      </c>
      <c r="C75" s="630" t="s">
        <v>69</v>
      </c>
      <c r="D75" s="631" t="s">
        <v>127</v>
      </c>
      <c r="E75" s="630" t="s">
        <v>71</v>
      </c>
      <c r="F75" s="631">
        <v>1600</v>
      </c>
      <c r="G75" s="632">
        <v>9.93</v>
      </c>
      <c r="H75" s="632">
        <v>9.66</v>
      </c>
      <c r="I75" s="633">
        <v>434.05</v>
      </c>
      <c r="J75" s="634">
        <v>2.8</v>
      </c>
      <c r="K75" s="630" t="s">
        <v>9</v>
      </c>
      <c r="L75" s="633" t="str">
        <f t="shared" si="0"/>
        <v/>
      </c>
      <c r="M75" s="649"/>
      <c r="N75" s="650"/>
      <c r="O75" s="650"/>
      <c r="P75" s="650"/>
      <c r="Q75" s="650"/>
      <c r="R75" s="464">
        <f t="shared" si="3"/>
        <v>509.97649286198077</v>
      </c>
      <c r="S75" s="612">
        <f t="shared" si="4"/>
        <v>13.890410311415849</v>
      </c>
      <c r="T75" s="650"/>
      <c r="U75" s="650"/>
      <c r="V75" s="136"/>
      <c r="W75" s="136"/>
      <c r="X75" s="136"/>
      <c r="Y75" s="136"/>
      <c r="Z75" s="136"/>
    </row>
    <row r="76" spans="1:26" ht="14.5">
      <c r="A76" s="658">
        <v>43656</v>
      </c>
      <c r="B76" s="659" t="s">
        <v>47</v>
      </c>
      <c r="C76" s="660" t="s">
        <v>69</v>
      </c>
      <c r="D76" s="661" t="s">
        <v>131</v>
      </c>
      <c r="E76" s="660" t="s">
        <v>71</v>
      </c>
      <c r="F76" s="661">
        <v>1700</v>
      </c>
      <c r="G76" s="662">
        <v>7</v>
      </c>
      <c r="H76" s="662">
        <v>0</v>
      </c>
      <c r="I76" s="663">
        <v>0</v>
      </c>
      <c r="J76" s="664">
        <v>0</v>
      </c>
      <c r="K76" s="660" t="s">
        <v>9</v>
      </c>
      <c r="L76" s="663">
        <f t="shared" si="0"/>
        <v>11913.8675</v>
      </c>
      <c r="M76" s="506"/>
      <c r="N76" s="507"/>
      <c r="O76" s="650"/>
      <c r="P76" s="650"/>
      <c r="Q76" s="650"/>
      <c r="R76" s="464">
        <f t="shared" si="3"/>
        <v>509.97649286198077</v>
      </c>
      <c r="S76" s="612" t="str">
        <f t="shared" si="4"/>
        <v/>
      </c>
      <c r="T76" s="650"/>
      <c r="U76" s="650"/>
      <c r="V76" s="136"/>
      <c r="W76" s="136"/>
      <c r="X76" s="136"/>
      <c r="Y76" s="136"/>
      <c r="Z76" s="136"/>
    </row>
    <row r="77" spans="1:26" ht="14.5">
      <c r="A77" s="658">
        <v>43663</v>
      </c>
      <c r="B77" s="659" t="s">
        <v>48</v>
      </c>
      <c r="C77" s="660" t="s">
        <v>69</v>
      </c>
      <c r="D77" s="661" t="s">
        <v>131</v>
      </c>
      <c r="E77" s="660" t="s">
        <v>71</v>
      </c>
      <c r="F77" s="661">
        <v>1700</v>
      </c>
      <c r="G77" s="662">
        <v>7.06</v>
      </c>
      <c r="H77" s="662">
        <v>7.01</v>
      </c>
      <c r="I77" s="663">
        <v>91.42</v>
      </c>
      <c r="J77" s="664">
        <v>0.7599999999999999</v>
      </c>
      <c r="K77" s="660" t="s">
        <v>9</v>
      </c>
      <c r="L77" s="663" t="str">
        <f t="shared" si="0"/>
        <v/>
      </c>
      <c r="M77" s="649"/>
      <c r="N77" s="650"/>
      <c r="O77" s="650"/>
      <c r="P77" s="650"/>
      <c r="Q77" s="650"/>
      <c r="R77" s="464">
        <f t="shared" si="3"/>
        <v>513.85231420773187</v>
      </c>
      <c r="S77" s="612">
        <f t="shared" si="4"/>
        <v>3.8758213457510919</v>
      </c>
      <c r="T77" s="650"/>
      <c r="U77" s="650"/>
      <c r="V77" s="136"/>
      <c r="W77" s="136"/>
      <c r="X77" s="136"/>
      <c r="Y77" s="136"/>
      <c r="Z77" s="136"/>
    </row>
    <row r="78" spans="1:26" ht="14.5">
      <c r="A78" s="628">
        <v>43664</v>
      </c>
      <c r="B78" s="629" t="s">
        <v>47</v>
      </c>
      <c r="C78" s="630" t="s">
        <v>69</v>
      </c>
      <c r="D78" s="631" t="s">
        <v>127</v>
      </c>
      <c r="E78" s="630" t="s">
        <v>71</v>
      </c>
      <c r="F78" s="631">
        <v>1200</v>
      </c>
      <c r="G78" s="632">
        <v>10.06</v>
      </c>
      <c r="H78" s="632">
        <v>0</v>
      </c>
      <c r="I78" s="633">
        <v>0</v>
      </c>
      <c r="J78" s="634">
        <v>0</v>
      </c>
      <c r="K78" s="630" t="s">
        <v>9</v>
      </c>
      <c r="L78" s="633">
        <f t="shared" si="0"/>
        <v>12085.9234</v>
      </c>
      <c r="M78" s="506"/>
      <c r="N78" s="507"/>
      <c r="O78" s="650"/>
      <c r="P78" s="650"/>
      <c r="Q78" s="650"/>
      <c r="R78" s="464">
        <f t="shared" si="3"/>
        <v>513.85231420773187</v>
      </c>
      <c r="S78" s="612" t="str">
        <f t="shared" si="4"/>
        <v/>
      </c>
      <c r="T78" s="650"/>
      <c r="U78" s="650"/>
      <c r="V78" s="136"/>
      <c r="W78" s="136"/>
      <c r="X78" s="136"/>
      <c r="Y78" s="136"/>
      <c r="Z78" s="136"/>
    </row>
    <row r="79" spans="1:26" ht="14.5">
      <c r="A79" s="628">
        <v>43665</v>
      </c>
      <c r="B79" s="629" t="s">
        <v>48</v>
      </c>
      <c r="C79" s="630" t="s">
        <v>69</v>
      </c>
      <c r="D79" s="631" t="s">
        <v>127</v>
      </c>
      <c r="E79" s="630" t="s">
        <v>71</v>
      </c>
      <c r="F79" s="631">
        <v>1200</v>
      </c>
      <c r="G79" s="632">
        <v>10.24</v>
      </c>
      <c r="H79" s="632">
        <v>10.06</v>
      </c>
      <c r="I79" s="633">
        <v>224.27</v>
      </c>
      <c r="J79" s="634">
        <v>1.85</v>
      </c>
      <c r="K79" s="630" t="s">
        <v>9</v>
      </c>
      <c r="L79" s="633" t="str">
        <f t="shared" si="0"/>
        <v/>
      </c>
      <c r="M79" s="649"/>
      <c r="N79" s="650"/>
      <c r="O79" s="650"/>
      <c r="P79" s="650"/>
      <c r="Q79" s="650"/>
      <c r="R79" s="464">
        <f t="shared" si="3"/>
        <v>523.35858202057489</v>
      </c>
      <c r="S79" s="612">
        <f t="shared" si="4"/>
        <v>9.5062678128430207</v>
      </c>
      <c r="T79" s="650"/>
      <c r="U79" s="650"/>
      <c r="V79" s="136"/>
      <c r="W79" s="136"/>
      <c r="X79" s="136"/>
      <c r="Y79" s="136"/>
      <c r="Z79" s="136"/>
    </row>
    <row r="80" spans="1:26" ht="14.5">
      <c r="A80" s="628">
        <v>43672</v>
      </c>
      <c r="B80" s="629" t="s">
        <v>47</v>
      </c>
      <c r="C80" s="630" t="s">
        <v>69</v>
      </c>
      <c r="D80" s="631" t="s">
        <v>127</v>
      </c>
      <c r="E80" s="630" t="s">
        <v>71</v>
      </c>
      <c r="F80" s="631">
        <v>1300</v>
      </c>
      <c r="G80" s="632">
        <v>9.64</v>
      </c>
      <c r="H80" s="632">
        <v>0</v>
      </c>
      <c r="I80" s="633">
        <v>0</v>
      </c>
      <c r="J80" s="634">
        <v>0</v>
      </c>
      <c r="K80" s="630" t="s">
        <v>9</v>
      </c>
      <c r="L80" s="633">
        <f t="shared" si="0"/>
        <v>12546.072899999999</v>
      </c>
      <c r="M80" s="506"/>
      <c r="N80" s="507"/>
      <c r="O80" s="507"/>
      <c r="P80" s="507"/>
      <c r="Q80" s="507"/>
      <c r="R80" s="464">
        <f t="shared" si="3"/>
        <v>523.35858202057489</v>
      </c>
      <c r="S80" s="612" t="str">
        <f t="shared" si="4"/>
        <v/>
      </c>
      <c r="T80" s="650"/>
      <c r="U80" s="650"/>
      <c r="V80" s="136"/>
      <c r="W80" s="136"/>
      <c r="X80" s="136"/>
      <c r="Y80" s="136"/>
      <c r="Z80" s="136"/>
    </row>
    <row r="81" spans="1:26" ht="14.5">
      <c r="A81" s="628">
        <v>43675</v>
      </c>
      <c r="B81" s="629" t="s">
        <v>48</v>
      </c>
      <c r="C81" s="630" t="s">
        <v>69</v>
      </c>
      <c r="D81" s="631" t="s">
        <v>127</v>
      </c>
      <c r="E81" s="630" t="s">
        <v>71</v>
      </c>
      <c r="F81" s="631">
        <v>1300</v>
      </c>
      <c r="G81" s="632">
        <v>9.76</v>
      </c>
      <c r="H81" s="632">
        <v>9.64</v>
      </c>
      <c r="I81" s="633">
        <v>167</v>
      </c>
      <c r="J81" s="634">
        <v>1.33</v>
      </c>
      <c r="K81" s="630" t="s">
        <v>9</v>
      </c>
      <c r="L81" s="633" t="str">
        <f t="shared" si="0"/>
        <v/>
      </c>
      <c r="M81" s="649"/>
      <c r="N81" s="650"/>
      <c r="O81" s="650"/>
      <c r="P81" s="650"/>
      <c r="Q81" s="650"/>
      <c r="R81" s="464">
        <f t="shared" si="3"/>
        <v>530.31925116144862</v>
      </c>
      <c r="S81" s="612">
        <f t="shared" si="4"/>
        <v>6.9606691408737333</v>
      </c>
      <c r="T81" s="650"/>
      <c r="U81" s="650"/>
      <c r="V81" s="136"/>
      <c r="W81" s="136"/>
      <c r="X81" s="136"/>
      <c r="Y81" s="136"/>
      <c r="Z81" s="136"/>
    </row>
    <row r="82" spans="1:26" ht="14.5">
      <c r="A82" s="628">
        <v>43676</v>
      </c>
      <c r="B82" s="629" t="s">
        <v>47</v>
      </c>
      <c r="C82" s="630" t="s">
        <v>69</v>
      </c>
      <c r="D82" s="631" t="s">
        <v>127</v>
      </c>
      <c r="E82" s="630" t="s">
        <v>71</v>
      </c>
      <c r="F82" s="631">
        <v>1400</v>
      </c>
      <c r="G82" s="632">
        <v>9.51</v>
      </c>
      <c r="H82" s="632">
        <v>0</v>
      </c>
      <c r="I82" s="633">
        <v>0</v>
      </c>
      <c r="J82" s="634">
        <v>0</v>
      </c>
      <c r="K82" s="630" t="s">
        <v>9</v>
      </c>
      <c r="L82" s="633">
        <f t="shared" si="0"/>
        <v>13328.32705</v>
      </c>
      <c r="M82" s="506"/>
      <c r="N82" s="507"/>
      <c r="O82" s="507"/>
      <c r="P82" s="507"/>
      <c r="Q82" s="507"/>
      <c r="R82" s="464">
        <f t="shared" si="3"/>
        <v>530.31925116144862</v>
      </c>
      <c r="S82" s="612" t="str">
        <f t="shared" si="4"/>
        <v/>
      </c>
      <c r="T82" s="650"/>
      <c r="U82" s="650"/>
      <c r="V82" s="136"/>
      <c r="W82" s="136"/>
      <c r="X82" s="136"/>
      <c r="Y82" s="136"/>
      <c r="Z82" s="136"/>
    </row>
    <row r="83" spans="1:26" ht="14.5">
      <c r="A83" s="508">
        <v>43677</v>
      </c>
      <c r="B83" s="509" t="s">
        <v>48</v>
      </c>
      <c r="C83" s="510" t="s">
        <v>69</v>
      </c>
      <c r="D83" s="511" t="s">
        <v>127</v>
      </c>
      <c r="E83" s="510" t="s">
        <v>71</v>
      </c>
      <c r="F83" s="511">
        <v>1400</v>
      </c>
      <c r="G83" s="512">
        <v>9.5</v>
      </c>
      <c r="H83" s="512">
        <v>9.51</v>
      </c>
      <c r="I83" s="513">
        <f>-0.43</f>
        <v>-0.43</v>
      </c>
      <c r="J83" s="514">
        <v>0</v>
      </c>
      <c r="K83" s="510" t="s">
        <v>9</v>
      </c>
      <c r="L83" s="513" t="str">
        <f t="shared" si="0"/>
        <v/>
      </c>
      <c r="M83" s="649"/>
      <c r="N83" s="650"/>
      <c r="O83" s="650"/>
      <c r="P83" s="650"/>
      <c r="Q83" s="650"/>
      <c r="R83" s="464">
        <f t="shared" si="3"/>
        <v>530.31925116144862</v>
      </c>
      <c r="S83" s="612" t="str">
        <f t="shared" si="4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28">
        <v>43678</v>
      </c>
      <c r="B84" s="629" t="s">
        <v>47</v>
      </c>
      <c r="C84" s="630" t="s">
        <v>69</v>
      </c>
      <c r="D84" s="631" t="s">
        <v>127</v>
      </c>
      <c r="E84" s="630" t="s">
        <v>71</v>
      </c>
      <c r="F84" s="631">
        <v>1500</v>
      </c>
      <c r="G84" s="632">
        <v>9.59</v>
      </c>
      <c r="H84" s="632">
        <v>0</v>
      </c>
      <c r="I84" s="633">
        <v>0</v>
      </c>
      <c r="J84" s="634">
        <v>0</v>
      </c>
      <c r="K84" s="630" t="s">
        <v>9</v>
      </c>
      <c r="L84" s="633">
        <f t="shared" si="0"/>
        <v>14399.675125</v>
      </c>
      <c r="M84" s="506"/>
      <c r="N84" s="507"/>
      <c r="O84" s="507"/>
      <c r="P84" s="507"/>
      <c r="Q84" s="507"/>
      <c r="R84" s="464">
        <f t="shared" si="3"/>
        <v>530.31925116144862</v>
      </c>
      <c r="S84" s="612" t="str">
        <f t="shared" si="4"/>
        <v/>
      </c>
      <c r="T84" s="650"/>
      <c r="U84" s="650"/>
      <c r="V84" s="136"/>
      <c r="W84" s="136"/>
      <c r="X84" s="136"/>
      <c r="Y84" s="136"/>
      <c r="Z84" s="136"/>
    </row>
    <row r="85" spans="1:26" ht="14.5">
      <c r="A85" s="628">
        <v>43679</v>
      </c>
      <c r="B85" s="629" t="s">
        <v>48</v>
      </c>
      <c r="C85" s="630" t="s">
        <v>69</v>
      </c>
      <c r="D85" s="631" t="s">
        <v>127</v>
      </c>
      <c r="E85" s="630" t="s">
        <v>71</v>
      </c>
      <c r="F85" s="631">
        <v>1500</v>
      </c>
      <c r="G85" s="632">
        <v>9.77</v>
      </c>
      <c r="H85" s="632">
        <v>9.6</v>
      </c>
      <c r="I85" s="633">
        <v>255.8</v>
      </c>
      <c r="J85" s="634">
        <v>1.77</v>
      </c>
      <c r="K85" s="630" t="s">
        <v>9</v>
      </c>
      <c r="L85" s="633" t="str">
        <f t="shared" si="0"/>
        <v/>
      </c>
      <c r="M85" s="649"/>
      <c r="N85" s="650"/>
      <c r="O85" s="650"/>
      <c r="P85" s="650"/>
      <c r="Q85" s="650"/>
      <c r="R85" s="464">
        <f t="shared" si="3"/>
        <v>539.70590190700625</v>
      </c>
      <c r="S85" s="612">
        <f t="shared" si="4"/>
        <v>9.3866507455576311</v>
      </c>
      <c r="T85" s="650"/>
      <c r="U85" s="650"/>
      <c r="V85" s="136"/>
      <c r="W85" s="136"/>
      <c r="X85" s="136"/>
      <c r="Y85" s="136"/>
      <c r="Z85" s="136"/>
    </row>
    <row r="86" spans="1:26" ht="14.5">
      <c r="A86" s="628">
        <v>43685</v>
      </c>
      <c r="B86" s="629" t="s">
        <v>47</v>
      </c>
      <c r="C86" s="630" t="s">
        <v>69</v>
      </c>
      <c r="D86" s="631" t="s">
        <v>127</v>
      </c>
      <c r="E86" s="630" t="s">
        <v>71</v>
      </c>
      <c r="F86" s="631">
        <v>1200</v>
      </c>
      <c r="G86" s="632">
        <v>11.81</v>
      </c>
      <c r="H86" s="632">
        <v>0</v>
      </c>
      <c r="I86" s="633">
        <v>0</v>
      </c>
      <c r="J86" s="634">
        <v>0</v>
      </c>
      <c r="K86" s="630" t="s">
        <v>9</v>
      </c>
      <c r="L86" s="633">
        <f t="shared" si="0"/>
        <v>14186.6059</v>
      </c>
      <c r="M86" s="506"/>
      <c r="N86" s="507"/>
      <c r="O86" s="507"/>
      <c r="P86" s="507"/>
      <c r="Q86" s="507"/>
      <c r="R86" s="464">
        <f t="shared" si="3"/>
        <v>539.70590190700625</v>
      </c>
      <c r="S86" s="612" t="str">
        <f t="shared" si="4"/>
        <v/>
      </c>
      <c r="T86" s="650"/>
      <c r="U86" s="650"/>
      <c r="V86" s="136"/>
      <c r="W86" s="136"/>
      <c r="X86" s="136"/>
      <c r="Y86" s="136"/>
      <c r="Z86" s="136"/>
    </row>
    <row r="87" spans="1:26" ht="14.5">
      <c r="A87" s="628">
        <v>43686</v>
      </c>
      <c r="B87" s="629" t="s">
        <v>48</v>
      </c>
      <c r="C87" s="630" t="s">
        <v>69</v>
      </c>
      <c r="D87" s="631" t="s">
        <v>127</v>
      </c>
      <c r="E87" s="630" t="s">
        <v>71</v>
      </c>
      <c r="F87" s="631">
        <v>1200</v>
      </c>
      <c r="G87" s="632">
        <v>11.94</v>
      </c>
      <c r="H87" s="632">
        <v>11.81</v>
      </c>
      <c r="I87" s="633">
        <v>162.97999999999999</v>
      </c>
      <c r="J87" s="634">
        <v>1.1399999999999999</v>
      </c>
      <c r="K87" s="630" t="s">
        <v>9</v>
      </c>
      <c r="L87" s="633" t="str">
        <f t="shared" si="0"/>
        <v/>
      </c>
      <c r="M87" s="649"/>
      <c r="N87" s="650"/>
      <c r="O87" s="650"/>
      <c r="P87" s="650"/>
      <c r="Q87" s="650"/>
      <c r="R87" s="464">
        <f t="shared" si="3"/>
        <v>545.85854918874611</v>
      </c>
      <c r="S87" s="612">
        <f t="shared" si="4"/>
        <v>6.1526472817398599</v>
      </c>
      <c r="T87" s="650"/>
      <c r="U87" s="650"/>
      <c r="V87" s="136"/>
      <c r="W87" s="136"/>
      <c r="X87" s="136"/>
      <c r="Y87" s="136"/>
      <c r="Z87" s="136"/>
    </row>
    <row r="88" spans="1:26" ht="14.5">
      <c r="A88" s="628">
        <v>43690</v>
      </c>
      <c r="B88" s="629" t="s">
        <v>47</v>
      </c>
      <c r="C88" s="630" t="s">
        <v>69</v>
      </c>
      <c r="D88" s="631" t="s">
        <v>127</v>
      </c>
      <c r="E88" s="630" t="s">
        <v>71</v>
      </c>
      <c r="F88" s="631">
        <v>1100</v>
      </c>
      <c r="G88" s="632">
        <v>11.57</v>
      </c>
      <c r="H88" s="632">
        <v>0</v>
      </c>
      <c r="I88" s="633">
        <v>0</v>
      </c>
      <c r="J88" s="634">
        <v>0</v>
      </c>
      <c r="K88" s="630" t="s">
        <v>9</v>
      </c>
      <c r="L88" s="633">
        <f t="shared" si="0"/>
        <v>12741.136275000001</v>
      </c>
      <c r="M88" s="506"/>
      <c r="N88" s="507"/>
      <c r="O88" s="507"/>
      <c r="P88" s="507"/>
      <c r="Q88" s="507"/>
      <c r="R88" s="464">
        <f t="shared" si="3"/>
        <v>545.85854918874611</v>
      </c>
      <c r="S88" s="612" t="str">
        <f t="shared" si="4"/>
        <v/>
      </c>
      <c r="T88" s="650"/>
      <c r="U88" s="650"/>
      <c r="V88" s="136"/>
      <c r="W88" s="136"/>
      <c r="X88" s="136"/>
      <c r="Y88" s="136"/>
      <c r="Z88" s="136"/>
    </row>
    <row r="89" spans="1:26" ht="14.5">
      <c r="A89" s="628">
        <v>43691</v>
      </c>
      <c r="B89" s="629" t="s">
        <v>48</v>
      </c>
      <c r="C89" s="630" t="s">
        <v>69</v>
      </c>
      <c r="D89" s="631" t="s">
        <v>127</v>
      </c>
      <c r="E89" s="630" t="s">
        <v>71</v>
      </c>
      <c r="F89" s="631">
        <v>1100</v>
      </c>
      <c r="G89" s="632">
        <v>10.92</v>
      </c>
      <c r="H89" s="632">
        <v>11.57</v>
      </c>
      <c r="I89" s="633">
        <v>-709.82</v>
      </c>
      <c r="J89" s="634">
        <v>-5.57</v>
      </c>
      <c r="K89" s="630" t="s">
        <v>9</v>
      </c>
      <c r="L89" s="633" t="str">
        <f t="shared" si="0"/>
        <v/>
      </c>
      <c r="M89" s="649"/>
      <c r="N89" s="650"/>
      <c r="O89" s="650"/>
      <c r="P89" s="650"/>
      <c r="Q89" s="650"/>
      <c r="R89" s="464">
        <f t="shared" si="3"/>
        <v>515.45422799893299</v>
      </c>
      <c r="S89" s="612">
        <f t="shared" si="4"/>
        <v>-30.404321189813118</v>
      </c>
      <c r="T89" s="650"/>
      <c r="U89" s="650"/>
      <c r="V89" s="136"/>
      <c r="W89" s="136"/>
      <c r="X89" s="136"/>
      <c r="Y89" s="136"/>
      <c r="Z89" s="136"/>
    </row>
    <row r="90" spans="1:26" ht="14.5">
      <c r="A90" s="628">
        <v>43693</v>
      </c>
      <c r="B90" s="629" t="s">
        <v>47</v>
      </c>
      <c r="C90" s="630" t="s">
        <v>69</v>
      </c>
      <c r="D90" s="631" t="s">
        <v>127</v>
      </c>
      <c r="E90" s="630" t="s">
        <v>71</v>
      </c>
      <c r="F90" s="631">
        <v>900</v>
      </c>
      <c r="G90" s="632">
        <v>10.01</v>
      </c>
      <c r="H90" s="632">
        <v>0</v>
      </c>
      <c r="I90" s="633">
        <v>0</v>
      </c>
      <c r="J90" s="634">
        <v>0</v>
      </c>
      <c r="K90" s="630" t="s">
        <v>9</v>
      </c>
      <c r="L90" s="633">
        <f t="shared" si="0"/>
        <v>9021.927925</v>
      </c>
      <c r="M90" s="506"/>
      <c r="N90" s="507"/>
      <c r="O90" s="507"/>
      <c r="P90" s="507"/>
      <c r="Q90" s="507"/>
      <c r="R90" s="464">
        <f t="shared" si="3"/>
        <v>515.45422799893299</v>
      </c>
      <c r="S90" s="612" t="str">
        <f t="shared" si="4"/>
        <v/>
      </c>
      <c r="T90" s="649"/>
      <c r="U90" s="649"/>
    </row>
    <row r="91" spans="1:26" ht="14.5">
      <c r="A91" s="628">
        <v>43696</v>
      </c>
      <c r="B91" s="629" t="s">
        <v>48</v>
      </c>
      <c r="C91" s="630" t="s">
        <v>69</v>
      </c>
      <c r="D91" s="631" t="s">
        <v>127</v>
      </c>
      <c r="E91" s="630" t="s">
        <v>71</v>
      </c>
      <c r="F91" s="631">
        <v>900</v>
      </c>
      <c r="G91" s="632">
        <v>10.33</v>
      </c>
      <c r="H91" s="632">
        <v>10.01</v>
      </c>
      <c r="I91" s="633">
        <v>289.2</v>
      </c>
      <c r="J91" s="634">
        <v>3.2</v>
      </c>
      <c r="K91" s="630" t="s">
        <v>9</v>
      </c>
      <c r="L91" s="633" t="str">
        <f t="shared" si="0"/>
        <v/>
      </c>
      <c r="M91" s="649"/>
      <c r="N91" s="650"/>
      <c r="O91" s="649"/>
      <c r="P91" s="649"/>
      <c r="Q91" s="649"/>
      <c r="R91" s="464">
        <f t="shared" si="3"/>
        <v>531.94876329489887</v>
      </c>
      <c r="S91" s="612">
        <f t="shared" si="4"/>
        <v>16.494535295965875</v>
      </c>
      <c r="T91" s="649"/>
      <c r="U91" s="649"/>
    </row>
    <row r="92" spans="1:26" ht="14.5">
      <c r="A92" s="628">
        <v>43700</v>
      </c>
      <c r="B92" s="629" t="s">
        <v>47</v>
      </c>
      <c r="C92" s="630" t="s">
        <v>69</v>
      </c>
      <c r="D92" s="631" t="s">
        <v>127</v>
      </c>
      <c r="E92" s="630" t="s">
        <v>71</v>
      </c>
      <c r="F92" s="631">
        <v>1200</v>
      </c>
      <c r="G92" s="632">
        <v>9.2100000000000009</v>
      </c>
      <c r="H92" s="632">
        <v>0</v>
      </c>
      <c r="I92" s="633">
        <v>0</v>
      </c>
      <c r="J92" s="634">
        <v>0</v>
      </c>
      <c r="K92" s="630" t="s">
        <v>9</v>
      </c>
      <c r="L92" s="633">
        <f t="shared" si="0"/>
        <v>11065.591900000001</v>
      </c>
      <c r="M92" s="506"/>
      <c r="N92" s="507"/>
      <c r="O92" s="507"/>
      <c r="P92" s="507"/>
      <c r="Q92" s="507"/>
      <c r="R92" s="464">
        <f t="shared" si="3"/>
        <v>531.94876329489887</v>
      </c>
      <c r="S92" s="612" t="str">
        <f t="shared" si="4"/>
        <v/>
      </c>
      <c r="T92" s="649"/>
      <c r="U92" s="649"/>
    </row>
    <row r="93" spans="1:26" ht="14.5">
      <c r="A93" s="628">
        <v>43703</v>
      </c>
      <c r="B93" s="629" t="s">
        <v>48</v>
      </c>
      <c r="C93" s="630" t="s">
        <v>69</v>
      </c>
      <c r="D93" s="631" t="s">
        <v>127</v>
      </c>
      <c r="E93" s="630" t="s">
        <v>71</v>
      </c>
      <c r="F93" s="631">
        <v>1200</v>
      </c>
      <c r="G93" s="632">
        <v>9.3699999999999992</v>
      </c>
      <c r="H93" s="632">
        <v>9.2100000000000009</v>
      </c>
      <c r="I93" s="633">
        <v>200.94</v>
      </c>
      <c r="J93" s="634">
        <v>1.81</v>
      </c>
      <c r="K93" s="630" t="s">
        <v>9</v>
      </c>
      <c r="L93" s="633" t="str">
        <f t="shared" si="0"/>
        <v/>
      </c>
      <c r="M93" s="649"/>
      <c r="N93" s="650"/>
      <c r="O93" s="649"/>
      <c r="P93" s="649"/>
      <c r="Q93" s="649"/>
      <c r="R93" s="464">
        <f t="shared" si="3"/>
        <v>541.57703591053655</v>
      </c>
      <c r="S93" s="612">
        <f t="shared" si="4"/>
        <v>9.6282726156376839</v>
      </c>
      <c r="T93" s="649"/>
      <c r="U93" s="649"/>
    </row>
    <row r="94" spans="1:26" ht="14.5">
      <c r="A94" s="628">
        <v>43704</v>
      </c>
      <c r="B94" s="629" t="s">
        <v>47</v>
      </c>
      <c r="C94" s="630" t="s">
        <v>69</v>
      </c>
      <c r="D94" s="631" t="s">
        <v>127</v>
      </c>
      <c r="E94" s="630" t="s">
        <v>71</v>
      </c>
      <c r="F94" s="631">
        <v>1300</v>
      </c>
      <c r="G94" s="632">
        <v>8.39</v>
      </c>
      <c r="H94" s="632">
        <v>0</v>
      </c>
      <c r="I94" s="633">
        <v>0</v>
      </c>
      <c r="J94" s="634">
        <v>0</v>
      </c>
      <c r="K94" s="630" t="s">
        <v>9</v>
      </c>
      <c r="L94" s="633">
        <f t="shared" si="0"/>
        <v>10920.544775</v>
      </c>
      <c r="M94" s="506"/>
      <c r="N94" s="507"/>
      <c r="O94" s="507"/>
      <c r="P94" s="507"/>
      <c r="Q94" s="507"/>
      <c r="R94" s="464">
        <f t="shared" si="3"/>
        <v>541.57703591053655</v>
      </c>
      <c r="S94" s="612" t="str">
        <f t="shared" si="4"/>
        <v/>
      </c>
      <c r="T94" s="649"/>
      <c r="U94" s="649"/>
    </row>
    <row r="95" spans="1:26" ht="14.5">
      <c r="A95" s="508">
        <v>43705</v>
      </c>
      <c r="B95" s="509" t="s">
        <v>48</v>
      </c>
      <c r="C95" s="510" t="s">
        <v>69</v>
      </c>
      <c r="D95" s="511" t="s">
        <v>127</v>
      </c>
      <c r="E95" s="510" t="s">
        <v>71</v>
      </c>
      <c r="F95" s="511">
        <v>1300</v>
      </c>
      <c r="G95" s="512">
        <v>8.1199999999999992</v>
      </c>
      <c r="H95" s="512">
        <v>8.39</v>
      </c>
      <c r="I95" s="513">
        <v>-338.78</v>
      </c>
      <c r="J95" s="514">
        <v>-3.1</v>
      </c>
      <c r="K95" s="510" t="s">
        <v>9</v>
      </c>
      <c r="L95" s="513" t="str">
        <f t="shared" si="0"/>
        <v/>
      </c>
      <c r="M95" s="649"/>
      <c r="N95" s="650"/>
      <c r="O95" s="649"/>
      <c r="P95" s="649"/>
      <c r="Q95" s="649"/>
      <c r="R95" s="464">
        <f t="shared" si="3"/>
        <v>524.78814779730988</v>
      </c>
      <c r="S95" s="612">
        <f t="shared" si="4"/>
        <v>-16.788888113226676</v>
      </c>
      <c r="T95" s="649"/>
      <c r="U95" s="649"/>
    </row>
    <row r="96" spans="1:26" ht="14.5">
      <c r="A96" s="665">
        <v>43710</v>
      </c>
      <c r="B96" s="666" t="s">
        <v>47</v>
      </c>
      <c r="C96" s="667" t="s">
        <v>69</v>
      </c>
      <c r="D96" s="668" t="s">
        <v>131</v>
      </c>
      <c r="E96" s="667" t="s">
        <v>71</v>
      </c>
      <c r="F96" s="668">
        <v>3700</v>
      </c>
      <c r="G96" s="669">
        <v>5.44</v>
      </c>
      <c r="H96" s="669">
        <v>0</v>
      </c>
      <c r="I96" s="670">
        <v>0</v>
      </c>
      <c r="J96" s="671">
        <v>0</v>
      </c>
      <c r="K96" s="667" t="s">
        <v>9</v>
      </c>
      <c r="L96" s="670">
        <f t="shared" si="0"/>
        <v>20144.5416</v>
      </c>
      <c r="M96" s="506"/>
      <c r="N96" s="507"/>
      <c r="O96" s="507"/>
      <c r="P96" s="507"/>
      <c r="Q96" s="507"/>
      <c r="R96" s="464">
        <f t="shared" si="3"/>
        <v>524.78814779730988</v>
      </c>
      <c r="S96" s="612" t="str">
        <f t="shared" si="4"/>
        <v/>
      </c>
      <c r="T96" s="649"/>
      <c r="U96" s="649"/>
    </row>
    <row r="97" spans="1:26" ht="14.5">
      <c r="A97" s="665">
        <v>43711</v>
      </c>
      <c r="B97" s="666" t="s">
        <v>48</v>
      </c>
      <c r="C97" s="667" t="s">
        <v>69</v>
      </c>
      <c r="D97" s="668" t="s">
        <v>131</v>
      </c>
      <c r="E97" s="667" t="s">
        <v>71</v>
      </c>
      <c r="F97" s="668">
        <v>800</v>
      </c>
      <c r="G97" s="669">
        <v>5.46</v>
      </c>
      <c r="H97" s="669">
        <v>5.44</v>
      </c>
      <c r="I97" s="670">
        <v>17.09</v>
      </c>
      <c r="J97" s="671">
        <v>0.39</v>
      </c>
      <c r="K97" s="667" t="s">
        <v>9</v>
      </c>
      <c r="L97" s="670" t="str">
        <f t="shared" si="0"/>
        <v/>
      </c>
      <c r="M97" s="649"/>
      <c r="N97" s="650"/>
      <c r="O97" s="649"/>
      <c r="P97" s="649"/>
      <c r="Q97" s="649"/>
      <c r="R97" s="464">
        <f t="shared" si="3"/>
        <v>526.83482157371941</v>
      </c>
      <c r="S97" s="612">
        <f t="shared" si="4"/>
        <v>2.0466737764095342</v>
      </c>
      <c r="T97" s="649"/>
      <c r="U97" s="649"/>
    </row>
    <row r="98" spans="1:26" ht="14.5">
      <c r="A98" s="665">
        <v>43712</v>
      </c>
      <c r="B98" s="666" t="s">
        <v>48</v>
      </c>
      <c r="C98" s="667" t="s">
        <v>69</v>
      </c>
      <c r="D98" s="668" t="s">
        <v>131</v>
      </c>
      <c r="E98" s="667" t="s">
        <v>71</v>
      </c>
      <c r="F98" s="668">
        <v>2900</v>
      </c>
      <c r="G98" s="669">
        <v>5.52</v>
      </c>
      <c r="H98" s="669">
        <v>5.44</v>
      </c>
      <c r="I98" s="670">
        <v>233.16</v>
      </c>
      <c r="J98" s="671">
        <v>1.47</v>
      </c>
      <c r="K98" s="667" t="s">
        <v>9</v>
      </c>
      <c r="L98" s="670" t="str">
        <f t="shared" si="0"/>
        <v/>
      </c>
      <c r="M98" s="506"/>
      <c r="N98" s="507"/>
      <c r="O98" s="507"/>
      <c r="P98" s="507"/>
      <c r="Q98" s="507"/>
      <c r="R98" s="464">
        <f t="shared" si="3"/>
        <v>534.57929345085302</v>
      </c>
      <c r="S98" s="612">
        <f t="shared" si="4"/>
        <v>7.7444718771336056</v>
      </c>
      <c r="T98" s="649"/>
      <c r="U98" s="649"/>
    </row>
    <row r="99" spans="1:26" ht="14.5">
      <c r="A99" s="665">
        <v>43712</v>
      </c>
      <c r="B99" s="666" t="s">
        <v>47</v>
      </c>
      <c r="C99" s="667" t="s">
        <v>69</v>
      </c>
      <c r="D99" s="668" t="s">
        <v>127</v>
      </c>
      <c r="E99" s="667" t="s">
        <v>71</v>
      </c>
      <c r="F99" s="668">
        <v>2200</v>
      </c>
      <c r="G99" s="669">
        <v>9.1300000000000008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0"/>
        <v>20102.52795</v>
      </c>
      <c r="M99" s="649"/>
      <c r="N99" s="650"/>
      <c r="O99" s="672"/>
      <c r="P99" s="672"/>
      <c r="Q99" s="672"/>
      <c r="R99" s="464">
        <f t="shared" si="3"/>
        <v>534.57929345085302</v>
      </c>
      <c r="S99" s="612" t="str">
        <f t="shared" si="4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43713</v>
      </c>
      <c r="B100" s="666" t="s">
        <v>48</v>
      </c>
      <c r="C100" s="667" t="s">
        <v>69</v>
      </c>
      <c r="D100" s="668" t="s">
        <v>127</v>
      </c>
      <c r="E100" s="667" t="s">
        <v>71</v>
      </c>
      <c r="F100" s="668">
        <v>2200</v>
      </c>
      <c r="G100" s="669">
        <v>9.31</v>
      </c>
      <c r="H100" s="669">
        <v>9.14</v>
      </c>
      <c r="I100" s="670">
        <v>385.31</v>
      </c>
      <c r="J100" s="671">
        <v>1.91</v>
      </c>
      <c r="K100" s="667" t="s">
        <v>9</v>
      </c>
      <c r="L100" s="670" t="str">
        <f t="shared" si="0"/>
        <v/>
      </c>
      <c r="M100" s="506"/>
      <c r="N100" s="507"/>
      <c r="O100" s="507"/>
      <c r="P100" s="507"/>
      <c r="Q100" s="507"/>
      <c r="R100" s="464">
        <f t="shared" si="3"/>
        <v>544.78975795576423</v>
      </c>
      <c r="S100" s="612">
        <f t="shared" si="4"/>
        <v>10.210464504911215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43717</v>
      </c>
      <c r="B101" s="666" t="s">
        <v>47</v>
      </c>
      <c r="C101" s="667" t="s">
        <v>69</v>
      </c>
      <c r="D101" s="668" t="s">
        <v>127</v>
      </c>
      <c r="E101" s="667" t="s">
        <v>71</v>
      </c>
      <c r="F101" s="668">
        <v>1900</v>
      </c>
      <c r="G101" s="669">
        <v>9.8000000000000007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0"/>
        <v>18636.051500000001</v>
      </c>
      <c r="M101" s="649"/>
      <c r="N101" s="650"/>
      <c r="O101" s="672"/>
      <c r="P101" s="672"/>
      <c r="Q101" s="672"/>
      <c r="R101" s="464">
        <f t="shared" si="3"/>
        <v>544.78975795576423</v>
      </c>
      <c r="S101" s="612" t="str">
        <f t="shared" si="4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43719</v>
      </c>
      <c r="B102" s="666" t="s">
        <v>48</v>
      </c>
      <c r="C102" s="667" t="s">
        <v>69</v>
      </c>
      <c r="D102" s="668" t="s">
        <v>127</v>
      </c>
      <c r="E102" s="667" t="s">
        <v>71</v>
      </c>
      <c r="F102" s="668">
        <v>1900</v>
      </c>
      <c r="G102" s="669">
        <v>10</v>
      </c>
      <c r="H102" s="669">
        <v>9.81</v>
      </c>
      <c r="I102" s="670">
        <v>367.23</v>
      </c>
      <c r="J102" s="671">
        <v>1.97</v>
      </c>
      <c r="K102" s="667" t="s">
        <v>9</v>
      </c>
      <c r="L102" s="670" t="str">
        <f t="shared" si="0"/>
        <v/>
      </c>
      <c r="M102" s="649"/>
      <c r="N102" s="650"/>
      <c r="O102" s="672"/>
      <c r="P102" s="672"/>
      <c r="Q102" s="672"/>
      <c r="R102" s="464">
        <f t="shared" si="3"/>
        <v>555.52211618749277</v>
      </c>
      <c r="S102" s="612">
        <f t="shared" si="4"/>
        <v>10.73235823172854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43720</v>
      </c>
      <c r="B103" s="666" t="s">
        <v>47</v>
      </c>
      <c r="C103" s="667" t="s">
        <v>69</v>
      </c>
      <c r="D103" s="668" t="s">
        <v>130</v>
      </c>
      <c r="E103" s="667" t="s">
        <v>71</v>
      </c>
      <c r="F103" s="668">
        <v>14100</v>
      </c>
      <c r="G103" s="669">
        <v>1.17</v>
      </c>
      <c r="H103" s="669">
        <v>0</v>
      </c>
      <c r="I103" s="670">
        <v>0</v>
      </c>
      <c r="J103" s="671">
        <v>0</v>
      </c>
      <c r="K103" s="667" t="s">
        <v>9</v>
      </c>
      <c r="L103" s="670">
        <v>16512.36</v>
      </c>
      <c r="M103" s="649"/>
      <c r="N103" s="650"/>
      <c r="O103" s="672"/>
      <c r="P103" s="672"/>
      <c r="Q103" s="672"/>
      <c r="R103" s="464">
        <f t="shared" si="3"/>
        <v>555.52211618749277</v>
      </c>
      <c r="S103" s="612" t="str">
        <f t="shared" si="4"/>
        <v/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15">
        <v>43734</v>
      </c>
      <c r="B104" s="516" t="s">
        <v>48</v>
      </c>
      <c r="C104" s="517" t="s">
        <v>69</v>
      </c>
      <c r="D104" s="518" t="s">
        <v>130</v>
      </c>
      <c r="E104" s="517" t="s">
        <v>71</v>
      </c>
      <c r="F104" s="518">
        <v>14100</v>
      </c>
      <c r="G104" s="519">
        <v>0.93</v>
      </c>
      <c r="H104" s="519">
        <v>1.17</v>
      </c>
      <c r="I104" s="520">
        <v>-3272.29</v>
      </c>
      <c r="J104" s="521">
        <v>-19.809999999999999</v>
      </c>
      <c r="K104" s="517" t="s">
        <v>9</v>
      </c>
      <c r="L104" s="520" t="str">
        <f>IF(B104="Compra",(F104*G104)+10+(F104*G104*0.000325),"")</f>
        <v/>
      </c>
      <c r="M104" s="649"/>
      <c r="N104" s="650"/>
      <c r="O104" s="672"/>
      <c r="P104" s="672"/>
      <c r="Q104" s="672"/>
      <c r="R104" s="464">
        <f t="shared" si="3"/>
        <v>445.47318497075048</v>
      </c>
      <c r="S104" s="612">
        <f t="shared" si="4"/>
        <v>-110.04893121674229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>
        <v>43754</v>
      </c>
      <c r="B105" s="666" t="s">
        <v>47</v>
      </c>
      <c r="C105" s="667" t="s">
        <v>69</v>
      </c>
      <c r="D105" s="668" t="s">
        <v>72</v>
      </c>
      <c r="E105" s="667" t="s">
        <v>71</v>
      </c>
      <c r="F105" s="668">
        <v>4200</v>
      </c>
      <c r="G105" s="669">
        <v>3.07</v>
      </c>
      <c r="H105" s="669">
        <v>0</v>
      </c>
      <c r="I105" s="670">
        <v>0</v>
      </c>
      <c r="J105" s="671">
        <v>0</v>
      </c>
      <c r="K105" s="667" t="s">
        <v>9</v>
      </c>
      <c r="L105" s="670">
        <v>12908.19</v>
      </c>
      <c r="M105" s="649"/>
      <c r="N105" s="650"/>
      <c r="O105" s="672"/>
      <c r="P105" s="672"/>
      <c r="Q105" s="672"/>
      <c r="R105" s="464">
        <f t="shared" si="3"/>
        <v>445.47318497075048</v>
      </c>
      <c r="S105" s="612" t="str">
        <f t="shared" si="4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>
        <v>43755</v>
      </c>
      <c r="B106" s="666" t="s">
        <v>48</v>
      </c>
      <c r="C106" s="667" t="s">
        <v>69</v>
      </c>
      <c r="D106" s="668" t="s">
        <v>72</v>
      </c>
      <c r="E106" s="667" t="s">
        <v>71</v>
      </c>
      <c r="F106" s="668">
        <v>4200</v>
      </c>
      <c r="G106" s="669">
        <v>3.11</v>
      </c>
      <c r="H106" s="669">
        <v>3.07</v>
      </c>
      <c r="I106" s="670">
        <v>181.78</v>
      </c>
      <c r="J106" s="671">
        <v>1.4</v>
      </c>
      <c r="K106" s="667" t="s">
        <v>9</v>
      </c>
      <c r="L106" s="670" t="str">
        <f>IF(B106="Compra",(F106*G106)+10+(F106*G106*0.000325),"")</f>
        <v/>
      </c>
      <c r="M106" s="649"/>
      <c r="N106" s="650"/>
      <c r="O106" s="672"/>
      <c r="P106" s="672"/>
      <c r="Q106" s="672"/>
      <c r="R106" s="464">
        <f t="shared" si="3"/>
        <v>451.709809560341</v>
      </c>
      <c r="S106" s="612">
        <f t="shared" si="4"/>
        <v>6.2366245895905195</v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>
        <v>43759</v>
      </c>
      <c r="B107" s="666" t="s">
        <v>47</v>
      </c>
      <c r="C107" s="667" t="s">
        <v>69</v>
      </c>
      <c r="D107" s="668" t="s">
        <v>72</v>
      </c>
      <c r="E107" s="667" t="s">
        <v>71</v>
      </c>
      <c r="F107" s="668">
        <v>4000</v>
      </c>
      <c r="G107" s="669">
        <v>3.32</v>
      </c>
      <c r="H107" s="669">
        <v>0</v>
      </c>
      <c r="I107" s="670">
        <v>0</v>
      </c>
      <c r="J107" s="671">
        <v>0</v>
      </c>
      <c r="K107" s="667" t="s">
        <v>9</v>
      </c>
      <c r="L107" s="670">
        <v>13294.32</v>
      </c>
      <c r="M107" s="649"/>
      <c r="N107" s="650"/>
      <c r="O107" s="672"/>
      <c r="P107" s="672"/>
      <c r="Q107" s="672"/>
      <c r="R107" s="464">
        <f t="shared" si="3"/>
        <v>451.709809560341</v>
      </c>
      <c r="S107" s="612" t="str">
        <f t="shared" si="4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>
        <v>43760</v>
      </c>
      <c r="B108" s="666" t="s">
        <v>48</v>
      </c>
      <c r="C108" s="667" t="s">
        <v>69</v>
      </c>
      <c r="D108" s="668" t="s">
        <v>72</v>
      </c>
      <c r="E108" s="667" t="s">
        <v>71</v>
      </c>
      <c r="F108" s="668">
        <v>4000</v>
      </c>
      <c r="G108" s="669">
        <v>3.38</v>
      </c>
      <c r="H108" s="669">
        <v>3.32</v>
      </c>
      <c r="I108" s="670">
        <v>251.51</v>
      </c>
      <c r="J108" s="671">
        <v>1.89</v>
      </c>
      <c r="K108" s="667" t="s">
        <v>9</v>
      </c>
      <c r="L108" s="670" t="str">
        <f>IF(B108="Compra",(F108*G108)+10+(F108*G108*0.000325),"")</f>
        <v/>
      </c>
      <c r="M108" s="649"/>
      <c r="N108" s="650"/>
      <c r="O108" s="672"/>
      <c r="P108" s="672"/>
      <c r="Q108" s="672"/>
      <c r="R108" s="464">
        <f t="shared" si="3"/>
        <v>460.24712496103143</v>
      </c>
      <c r="S108" s="612">
        <f t="shared" si="4"/>
        <v>8.5373154006904315</v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>
        <v>43761</v>
      </c>
      <c r="B109" s="666" t="s">
        <v>47</v>
      </c>
      <c r="C109" s="667" t="s">
        <v>69</v>
      </c>
      <c r="D109" s="668" t="s">
        <v>72</v>
      </c>
      <c r="E109" s="667" t="s">
        <v>71</v>
      </c>
      <c r="F109" s="668">
        <v>4000</v>
      </c>
      <c r="G109" s="669">
        <v>3.33</v>
      </c>
      <c r="H109" s="669">
        <v>0</v>
      </c>
      <c r="I109" s="670">
        <v>0</v>
      </c>
      <c r="J109" s="671">
        <v>0</v>
      </c>
      <c r="K109" s="667" t="s">
        <v>9</v>
      </c>
      <c r="L109" s="670">
        <v>13334.33</v>
      </c>
      <c r="M109" s="649"/>
      <c r="N109" s="650"/>
      <c r="O109" s="649"/>
      <c r="P109" s="649"/>
      <c r="Q109" s="649"/>
      <c r="R109" s="464">
        <f t="shared" si="3"/>
        <v>460.24712496103143</v>
      </c>
      <c r="S109" s="612" t="str">
        <f t="shared" si="4"/>
        <v/>
      </c>
      <c r="T109" s="649"/>
      <c r="U109" s="649"/>
    </row>
    <row r="110" spans="1:26" ht="14.5">
      <c r="A110" s="665">
        <v>43766</v>
      </c>
      <c r="B110" s="666" t="s">
        <v>48</v>
      </c>
      <c r="C110" s="667" t="s">
        <v>69</v>
      </c>
      <c r="D110" s="668" t="s">
        <v>72</v>
      </c>
      <c r="E110" s="667" t="s">
        <v>71</v>
      </c>
      <c r="F110" s="668">
        <v>4000</v>
      </c>
      <c r="G110" s="669">
        <v>3.23</v>
      </c>
      <c r="H110" s="669">
        <v>3.33</v>
      </c>
      <c r="I110" s="670">
        <v>-388.3</v>
      </c>
      <c r="J110" s="671">
        <v>-2.91</v>
      </c>
      <c r="K110" s="667" t="s">
        <v>9</v>
      </c>
      <c r="L110" s="670" t="str">
        <f>IF(B110="Compra",(F110*G110)+10+(F110*G110*0.000325),"")</f>
        <v/>
      </c>
      <c r="M110" s="649"/>
      <c r="N110" s="650"/>
      <c r="O110" s="649"/>
      <c r="P110" s="649"/>
      <c r="Q110" s="649"/>
      <c r="R110" s="464">
        <f t="shared" si="3"/>
        <v>446.85393362466539</v>
      </c>
      <c r="S110" s="612">
        <f t="shared" si="4"/>
        <v>-13.393191336366044</v>
      </c>
      <c r="T110" s="649"/>
      <c r="U110" s="649"/>
    </row>
    <row r="111" spans="1:26" ht="14.5">
      <c r="A111" s="665">
        <v>43767</v>
      </c>
      <c r="B111" s="666" t="s">
        <v>47</v>
      </c>
      <c r="C111" s="667" t="s">
        <v>69</v>
      </c>
      <c r="D111" s="668" t="s">
        <v>72</v>
      </c>
      <c r="E111" s="667" t="s">
        <v>71</v>
      </c>
      <c r="F111" s="668">
        <v>4100</v>
      </c>
      <c r="G111" s="669">
        <v>3.15</v>
      </c>
      <c r="H111" s="669">
        <v>0</v>
      </c>
      <c r="I111" s="670">
        <v>0</v>
      </c>
      <c r="J111" s="671">
        <v>0</v>
      </c>
      <c r="K111" s="667" t="s">
        <v>9</v>
      </c>
      <c r="L111" s="670">
        <v>12929.2</v>
      </c>
      <c r="M111" s="649"/>
      <c r="N111" s="650"/>
      <c r="O111" s="649"/>
      <c r="P111" s="649"/>
      <c r="Q111" s="649"/>
      <c r="R111" s="464">
        <f t="shared" si="3"/>
        <v>446.85393362466539</v>
      </c>
      <c r="S111" s="612" t="str">
        <f t="shared" si="4"/>
        <v/>
      </c>
      <c r="T111" s="649"/>
      <c r="U111" s="649"/>
    </row>
    <row r="112" spans="1:26" ht="14.5">
      <c r="A112" s="515">
        <v>43768</v>
      </c>
      <c r="B112" s="516" t="s">
        <v>48</v>
      </c>
      <c r="C112" s="517" t="s">
        <v>69</v>
      </c>
      <c r="D112" s="518" t="s">
        <v>72</v>
      </c>
      <c r="E112" s="517" t="s">
        <v>71</v>
      </c>
      <c r="F112" s="518">
        <v>4100</v>
      </c>
      <c r="G112" s="519">
        <v>3.1</v>
      </c>
      <c r="H112" s="519">
        <v>3.15</v>
      </c>
      <c r="I112" s="520">
        <v>-192.11</v>
      </c>
      <c r="J112" s="521">
        <v>-1.48</v>
      </c>
      <c r="K112" s="517" t="s">
        <v>9</v>
      </c>
      <c r="L112" s="520" t="str">
        <f>IF(B112="Compra",(F112*G112)+10+(F112*G112*0.000325),"")</f>
        <v/>
      </c>
      <c r="M112" s="649"/>
      <c r="N112" s="650"/>
      <c r="O112" s="649"/>
      <c r="P112" s="649"/>
      <c r="Q112" s="649"/>
      <c r="R112" s="464">
        <f t="shared" si="3"/>
        <v>440.24049540702032</v>
      </c>
      <c r="S112" s="612">
        <f t="shared" si="4"/>
        <v>-6.6134382176450686</v>
      </c>
      <c r="T112" s="649"/>
      <c r="U112" s="649"/>
    </row>
    <row r="113" spans="1:21" ht="14.5">
      <c r="A113" s="665">
        <v>43773</v>
      </c>
      <c r="B113" s="666" t="s">
        <v>47</v>
      </c>
      <c r="C113" s="667" t="s">
        <v>69</v>
      </c>
      <c r="D113" s="668" t="s">
        <v>72</v>
      </c>
      <c r="E113" s="667" t="s">
        <v>71</v>
      </c>
      <c r="F113" s="668">
        <v>3500</v>
      </c>
      <c r="G113" s="669">
        <v>3.48</v>
      </c>
      <c r="H113" s="669">
        <v>0</v>
      </c>
      <c r="I113" s="670">
        <v>0</v>
      </c>
      <c r="J113" s="671">
        <v>0</v>
      </c>
      <c r="K113" s="667" t="s">
        <v>9</v>
      </c>
      <c r="L113" s="670">
        <v>12193.96</v>
      </c>
      <c r="M113" s="649"/>
      <c r="N113" s="650"/>
      <c r="O113" s="649"/>
      <c r="P113" s="649"/>
      <c r="Q113" s="649"/>
      <c r="R113" s="464">
        <f t="shared" si="3"/>
        <v>440.24049540702032</v>
      </c>
      <c r="S113" s="612" t="str">
        <f t="shared" si="4"/>
        <v/>
      </c>
      <c r="T113" s="649"/>
      <c r="U113" s="649"/>
    </row>
    <row r="114" spans="1:21" ht="14.5">
      <c r="A114" s="665">
        <v>43774</v>
      </c>
      <c r="B114" s="666" t="s">
        <v>48</v>
      </c>
      <c r="C114" s="667" t="s">
        <v>69</v>
      </c>
      <c r="D114" s="668" t="s">
        <v>72</v>
      </c>
      <c r="E114" s="667" t="s">
        <v>71</v>
      </c>
      <c r="F114" s="668">
        <v>3500</v>
      </c>
      <c r="G114" s="669">
        <v>3.48</v>
      </c>
      <c r="H114" s="669">
        <v>3.48</v>
      </c>
      <c r="I114" s="670">
        <v>7.28</v>
      </c>
      <c r="J114" s="671">
        <v>0.05</v>
      </c>
      <c r="K114" s="667" t="s">
        <v>9</v>
      </c>
      <c r="L114" s="670" t="str">
        <f>IF(B114="Compra",(F114*G114)+10+(F114*G114*0.000325),"")</f>
        <v/>
      </c>
      <c r="M114" s="649"/>
      <c r="N114" s="650"/>
      <c r="O114" s="649"/>
      <c r="P114" s="649"/>
      <c r="Q114" s="649"/>
      <c r="R114" s="464">
        <f t="shared" si="3"/>
        <v>440.46061565472382</v>
      </c>
      <c r="S114" s="612">
        <f t="shared" si="4"/>
        <v>0.22012024770350536</v>
      </c>
      <c r="T114" s="649"/>
      <c r="U114" s="649"/>
    </row>
    <row r="115" spans="1:21" ht="14.5">
      <c r="A115" s="665">
        <v>43776</v>
      </c>
      <c r="B115" s="666" t="s">
        <v>47</v>
      </c>
      <c r="C115" s="667" t="s">
        <v>69</v>
      </c>
      <c r="D115" s="668" t="s">
        <v>72</v>
      </c>
      <c r="E115" s="667" t="s">
        <v>71</v>
      </c>
      <c r="F115" s="668">
        <v>3000</v>
      </c>
      <c r="G115" s="669">
        <v>3.43</v>
      </c>
      <c r="H115" s="669">
        <v>0</v>
      </c>
      <c r="I115" s="670">
        <v>0</v>
      </c>
      <c r="J115" s="671">
        <v>0</v>
      </c>
      <c r="K115" s="667" t="s">
        <v>9</v>
      </c>
      <c r="L115" s="670">
        <v>10303.34</v>
      </c>
      <c r="M115" s="649"/>
      <c r="N115" s="650"/>
      <c r="O115" s="649"/>
      <c r="P115" s="649"/>
      <c r="Q115" s="649"/>
      <c r="R115" s="464">
        <f t="shared" si="3"/>
        <v>440.46061565472382</v>
      </c>
      <c r="S115" s="612" t="str">
        <f t="shared" si="4"/>
        <v/>
      </c>
      <c r="T115" s="649"/>
      <c r="U115" s="649"/>
    </row>
    <row r="116" spans="1:21" ht="14.5">
      <c r="A116" s="665">
        <v>43782</v>
      </c>
      <c r="B116" s="666" t="s">
        <v>48</v>
      </c>
      <c r="C116" s="667" t="s">
        <v>69</v>
      </c>
      <c r="D116" s="668" t="s">
        <v>72</v>
      </c>
      <c r="E116" s="667" t="s">
        <v>71</v>
      </c>
      <c r="F116" s="668">
        <v>3000</v>
      </c>
      <c r="G116" s="669">
        <v>3.25</v>
      </c>
      <c r="H116" s="669">
        <v>3.43</v>
      </c>
      <c r="I116" s="670">
        <v>-536.34</v>
      </c>
      <c r="J116" s="671">
        <v>-5.2</v>
      </c>
      <c r="K116" s="667" t="s">
        <v>9</v>
      </c>
      <c r="L116" s="670" t="str">
        <f>IF(B116="Compra",(F116*G116)+10+(F116*G116*0.000325),"")</f>
        <v/>
      </c>
      <c r="M116" s="649"/>
      <c r="N116" s="650"/>
      <c r="O116" s="649"/>
      <c r="P116" s="649"/>
      <c r="Q116" s="649"/>
      <c r="R116" s="464">
        <f t="shared" si="3"/>
        <v>417.55666364067815</v>
      </c>
      <c r="S116" s="612">
        <f t="shared" si="4"/>
        <v>-22.903952014045672</v>
      </c>
      <c r="T116" s="649"/>
      <c r="U116" s="649"/>
    </row>
    <row r="117" spans="1:21" ht="14.5">
      <c r="A117" s="515">
        <v>43798</v>
      </c>
      <c r="B117" s="516" t="s">
        <v>47</v>
      </c>
      <c r="C117" s="517" t="s">
        <v>69</v>
      </c>
      <c r="D117" s="518" t="s">
        <v>72</v>
      </c>
      <c r="E117" s="517" t="s">
        <v>71</v>
      </c>
      <c r="F117" s="518">
        <v>2900</v>
      </c>
      <c r="G117" s="519">
        <v>3.66</v>
      </c>
      <c r="H117" s="519">
        <v>0</v>
      </c>
      <c r="I117" s="520">
        <v>0</v>
      </c>
      <c r="J117" s="521">
        <v>0</v>
      </c>
      <c r="K117" s="517" t="s">
        <v>9</v>
      </c>
      <c r="L117" s="520">
        <v>10627.45</v>
      </c>
      <c r="M117" s="649"/>
      <c r="N117" s="650"/>
      <c r="O117" s="649"/>
      <c r="P117" s="649"/>
      <c r="Q117" s="649"/>
      <c r="R117" s="464">
        <f t="shared" si="3"/>
        <v>417.55666364067815</v>
      </c>
      <c r="S117" s="612" t="str">
        <f t="shared" si="4"/>
        <v/>
      </c>
      <c r="T117" s="649"/>
      <c r="U117" s="649"/>
    </row>
    <row r="118" spans="1:21" ht="14.5">
      <c r="A118" s="665">
        <v>43801</v>
      </c>
      <c r="B118" s="666" t="s">
        <v>48</v>
      </c>
      <c r="C118" s="667" t="s">
        <v>69</v>
      </c>
      <c r="D118" s="668" t="s">
        <v>72</v>
      </c>
      <c r="E118" s="667" t="s">
        <v>71</v>
      </c>
      <c r="F118" s="668">
        <v>2900</v>
      </c>
      <c r="G118" s="669">
        <v>3.66</v>
      </c>
      <c r="H118" s="669">
        <v>3.66</v>
      </c>
      <c r="I118" s="670">
        <v>12.28</v>
      </c>
      <c r="J118" s="671">
        <v>0.11000000000000001</v>
      </c>
      <c r="K118" s="667" t="s">
        <v>9</v>
      </c>
      <c r="L118" s="670" t="str">
        <f>IF(B118="Compra",(F118*G118)+10+(F118*G118*0.000325),"")</f>
        <v/>
      </c>
      <c r="M118" s="649"/>
      <c r="N118" s="650"/>
      <c r="O118" s="649"/>
      <c r="P118" s="649"/>
      <c r="Q118" s="649"/>
      <c r="R118" s="464">
        <f t="shared" si="3"/>
        <v>418.01597597068292</v>
      </c>
      <c r="S118" s="612">
        <f t="shared" si="4"/>
        <v>0.45931233000476368</v>
      </c>
      <c r="T118" s="649"/>
      <c r="U118" s="649"/>
    </row>
    <row r="119" spans="1:21" ht="14.5">
      <c r="A119" s="665">
        <v>43802</v>
      </c>
      <c r="B119" s="666" t="s">
        <v>47</v>
      </c>
      <c r="C119" s="667" t="s">
        <v>69</v>
      </c>
      <c r="D119" s="668" t="s">
        <v>72</v>
      </c>
      <c r="E119" s="667" t="s">
        <v>71</v>
      </c>
      <c r="F119" s="668">
        <v>2900</v>
      </c>
      <c r="G119" s="669">
        <v>3.66</v>
      </c>
      <c r="H119" s="669">
        <v>0</v>
      </c>
      <c r="I119" s="670">
        <v>0</v>
      </c>
      <c r="J119" s="671">
        <v>0</v>
      </c>
      <c r="K119" s="667" t="s">
        <v>9</v>
      </c>
      <c r="L119" s="670">
        <v>10627.45</v>
      </c>
      <c r="M119" s="649"/>
      <c r="N119" s="650"/>
      <c r="O119" s="649"/>
      <c r="P119" s="649"/>
      <c r="Q119" s="649"/>
      <c r="R119" s="464">
        <f t="shared" si="3"/>
        <v>418.01597597068292</v>
      </c>
      <c r="S119" s="612" t="str">
        <f t="shared" si="4"/>
        <v/>
      </c>
      <c r="T119" s="649"/>
      <c r="U119" s="649"/>
    </row>
    <row r="120" spans="1:21" ht="14.5">
      <c r="A120" s="665">
        <v>43803</v>
      </c>
      <c r="B120" s="666" t="s">
        <v>48</v>
      </c>
      <c r="C120" s="667" t="s">
        <v>69</v>
      </c>
      <c r="D120" s="668" t="s">
        <v>72</v>
      </c>
      <c r="E120" s="667" t="s">
        <v>71</v>
      </c>
      <c r="F120" s="668">
        <v>2900</v>
      </c>
      <c r="G120" s="669">
        <v>3.69</v>
      </c>
      <c r="H120" s="669">
        <v>3.66</v>
      </c>
      <c r="I120" s="670">
        <v>89.31</v>
      </c>
      <c r="J120" s="671">
        <v>0.84000000000000008</v>
      </c>
      <c r="K120" s="667" t="s">
        <v>9</v>
      </c>
      <c r="L120" s="670" t="str">
        <f>IF(B120="Compra",(F120*G120)+10+(F120*G120*0.000325),"")</f>
        <v/>
      </c>
      <c r="M120" s="649"/>
      <c r="N120" s="650"/>
      <c r="O120" s="649"/>
      <c r="P120" s="649"/>
      <c r="Q120" s="649"/>
      <c r="R120" s="464">
        <f t="shared" si="3"/>
        <v>421.52731016883666</v>
      </c>
      <c r="S120" s="612">
        <f t="shared" si="4"/>
        <v>3.5113341981537474</v>
      </c>
      <c r="T120" s="649"/>
      <c r="U120" s="649"/>
    </row>
    <row r="121" spans="1:21" ht="14.5">
      <c r="A121" s="665">
        <v>43803</v>
      </c>
      <c r="B121" s="666" t="s">
        <v>47</v>
      </c>
      <c r="C121" s="667" t="s">
        <v>69</v>
      </c>
      <c r="D121" s="668" t="s">
        <v>73</v>
      </c>
      <c r="E121" s="667" t="s">
        <v>71</v>
      </c>
      <c r="F121" s="668">
        <v>2100</v>
      </c>
      <c r="G121" s="669">
        <v>5.03</v>
      </c>
      <c r="H121" s="669">
        <v>0</v>
      </c>
      <c r="I121" s="670">
        <v>0</v>
      </c>
      <c r="J121" s="671">
        <v>0</v>
      </c>
      <c r="K121" s="667" t="s">
        <v>9</v>
      </c>
      <c r="L121" s="670">
        <v>10576.43</v>
      </c>
      <c r="M121" s="649"/>
      <c r="N121" s="650"/>
      <c r="O121" s="649"/>
      <c r="P121" s="649"/>
      <c r="Q121" s="649"/>
      <c r="R121" s="464">
        <f t="shared" si="3"/>
        <v>421.52731016883666</v>
      </c>
      <c r="S121" s="612" t="str">
        <f t="shared" si="4"/>
        <v/>
      </c>
      <c r="T121" s="649"/>
      <c r="U121" s="649"/>
    </row>
    <row r="122" spans="1:21" ht="14.5">
      <c r="A122" s="665">
        <v>43804</v>
      </c>
      <c r="B122" s="666" t="s">
        <v>48</v>
      </c>
      <c r="C122" s="667" t="s">
        <v>69</v>
      </c>
      <c r="D122" s="668" t="s">
        <v>73</v>
      </c>
      <c r="E122" s="667" t="s">
        <v>71</v>
      </c>
      <c r="F122" s="668">
        <v>2100</v>
      </c>
      <c r="G122" s="669">
        <v>5.21</v>
      </c>
      <c r="H122" s="669">
        <v>5.04</v>
      </c>
      <c r="I122" s="670">
        <v>372.26</v>
      </c>
      <c r="J122" s="671">
        <v>3.51</v>
      </c>
      <c r="K122" s="667" t="s">
        <v>9</v>
      </c>
      <c r="L122" s="670" t="str">
        <f>IF(B122="Compra",(F122*G122)+10+(F122*G122*0.000325),"")</f>
        <v/>
      </c>
      <c r="M122" s="649"/>
      <c r="N122" s="650"/>
      <c r="O122" s="649"/>
      <c r="P122" s="649"/>
      <c r="Q122" s="649"/>
      <c r="R122" s="464">
        <f t="shared" si="3"/>
        <v>436.32291875576277</v>
      </c>
      <c r="S122" s="612">
        <f t="shared" si="4"/>
        <v>14.795608586926107</v>
      </c>
      <c r="T122" s="649"/>
      <c r="U122" s="649"/>
    </row>
    <row r="123" spans="1:21" ht="14.5">
      <c r="A123" s="665">
        <v>43805</v>
      </c>
      <c r="B123" s="666" t="s">
        <v>47</v>
      </c>
      <c r="C123" s="667" t="s">
        <v>69</v>
      </c>
      <c r="D123" s="668" t="s">
        <v>72</v>
      </c>
      <c r="E123" s="667" t="s">
        <v>71</v>
      </c>
      <c r="F123" s="668">
        <v>2700</v>
      </c>
      <c r="G123" s="669">
        <v>3.79</v>
      </c>
      <c r="H123" s="669">
        <v>0</v>
      </c>
      <c r="I123" s="670">
        <v>0</v>
      </c>
      <c r="J123" s="671">
        <v>0</v>
      </c>
      <c r="K123" s="667" t="s">
        <v>9</v>
      </c>
      <c r="L123" s="670">
        <v>10246.33</v>
      </c>
      <c r="M123" s="649"/>
      <c r="N123" s="650"/>
      <c r="O123" s="649"/>
      <c r="P123" s="649"/>
      <c r="Q123" s="649"/>
      <c r="R123" s="464">
        <f t="shared" si="3"/>
        <v>436.32291875576277</v>
      </c>
      <c r="S123" s="612" t="str">
        <f t="shared" si="4"/>
        <v/>
      </c>
      <c r="T123" s="649"/>
      <c r="U123" s="649"/>
    </row>
    <row r="124" spans="1:21" ht="14.5">
      <c r="A124" s="665">
        <v>43808</v>
      </c>
      <c r="B124" s="666" t="s">
        <v>48</v>
      </c>
      <c r="C124" s="667" t="s">
        <v>69</v>
      </c>
      <c r="D124" s="668" t="s">
        <v>72</v>
      </c>
      <c r="E124" s="667" t="s">
        <v>71</v>
      </c>
      <c r="F124" s="668">
        <v>2700</v>
      </c>
      <c r="G124" s="669">
        <v>3.82</v>
      </c>
      <c r="H124" s="669">
        <v>3.79</v>
      </c>
      <c r="I124" s="670">
        <v>81.56</v>
      </c>
      <c r="J124" s="671">
        <v>0.79</v>
      </c>
      <c r="K124" s="667" t="s">
        <v>9</v>
      </c>
      <c r="L124" s="670" t="str">
        <f>IF(B124="Compra",(F124*G124)+10+(F124*G124*0.000325),"")</f>
        <v/>
      </c>
      <c r="M124" s="649"/>
      <c r="N124" s="650"/>
      <c r="O124" s="649"/>
      <c r="P124" s="649"/>
      <c r="Q124" s="649"/>
      <c r="R124" s="464">
        <f t="shared" si="3"/>
        <v>439.76986981393333</v>
      </c>
      <c r="S124" s="612">
        <f t="shared" si="4"/>
        <v>3.4469510581705549</v>
      </c>
      <c r="T124" s="649"/>
      <c r="U124" s="649"/>
    </row>
    <row r="125" spans="1:21" ht="14.5">
      <c r="A125" s="665">
        <v>43808</v>
      </c>
      <c r="B125" s="666" t="s">
        <v>47</v>
      </c>
      <c r="C125" s="667" t="s">
        <v>69</v>
      </c>
      <c r="D125" s="668" t="s">
        <v>70</v>
      </c>
      <c r="E125" s="667" t="s">
        <v>71</v>
      </c>
      <c r="F125" s="668">
        <v>1700</v>
      </c>
      <c r="G125" s="669">
        <v>6.37</v>
      </c>
      <c r="H125" s="669">
        <v>0</v>
      </c>
      <c r="I125" s="670">
        <v>0</v>
      </c>
      <c r="J125" s="671">
        <v>0</v>
      </c>
      <c r="K125" s="667" t="s">
        <v>9</v>
      </c>
      <c r="L125" s="670">
        <v>10842.52</v>
      </c>
      <c r="M125" s="649"/>
      <c r="N125" s="650"/>
      <c r="O125" s="649"/>
      <c r="P125" s="649"/>
      <c r="Q125" s="649"/>
      <c r="R125" s="464">
        <f t="shared" si="3"/>
        <v>439.76986981393333</v>
      </c>
      <c r="S125" s="612" t="str">
        <f t="shared" si="4"/>
        <v/>
      </c>
      <c r="T125" s="649"/>
      <c r="U125" s="649"/>
    </row>
    <row r="126" spans="1:21" ht="14.5">
      <c r="A126" s="665">
        <v>43809</v>
      </c>
      <c r="B126" s="666" t="s">
        <v>48</v>
      </c>
      <c r="C126" s="667" t="s">
        <v>69</v>
      </c>
      <c r="D126" s="668" t="s">
        <v>70</v>
      </c>
      <c r="E126" s="667" t="s">
        <v>71</v>
      </c>
      <c r="F126" s="668">
        <v>1700</v>
      </c>
      <c r="G126" s="669">
        <v>6.43</v>
      </c>
      <c r="H126" s="669">
        <v>6.38</v>
      </c>
      <c r="I126" s="670">
        <v>92.18</v>
      </c>
      <c r="J126" s="671">
        <v>0.85</v>
      </c>
      <c r="K126" s="667" t="s">
        <v>9</v>
      </c>
      <c r="L126" s="670" t="str">
        <f>IF(B126="Compra",(F126*G126)+10+(F126*G126*0.000325),"")</f>
        <v/>
      </c>
      <c r="M126" s="649"/>
      <c r="N126" s="650"/>
      <c r="O126" s="649"/>
      <c r="P126" s="649"/>
      <c r="Q126" s="649"/>
      <c r="R126" s="464">
        <f t="shared" si="3"/>
        <v>443.50791370735175</v>
      </c>
      <c r="S126" s="612">
        <f t="shared" si="4"/>
        <v>3.7380438934184212</v>
      </c>
      <c r="T126" s="649"/>
      <c r="U126" s="649"/>
    </row>
    <row r="127" spans="1:21" ht="14.5">
      <c r="A127" s="665">
        <v>43809</v>
      </c>
      <c r="B127" s="666" t="s">
        <v>47</v>
      </c>
      <c r="C127" s="667" t="s">
        <v>69</v>
      </c>
      <c r="D127" s="668" t="s">
        <v>72</v>
      </c>
      <c r="E127" s="667" t="s">
        <v>71</v>
      </c>
      <c r="F127" s="668">
        <v>3100</v>
      </c>
      <c r="G127" s="669">
        <v>3.89</v>
      </c>
      <c r="H127" s="669">
        <v>0</v>
      </c>
      <c r="I127" s="670">
        <v>0</v>
      </c>
      <c r="J127" s="671">
        <v>0</v>
      </c>
      <c r="K127" s="667" t="s">
        <v>9</v>
      </c>
      <c r="L127" s="670">
        <v>12072.92</v>
      </c>
      <c r="M127" s="649"/>
      <c r="N127" s="650"/>
      <c r="O127" s="649"/>
      <c r="P127" s="649"/>
      <c r="Q127" s="649"/>
      <c r="R127" s="464">
        <f t="shared" si="3"/>
        <v>443.50791370735175</v>
      </c>
      <c r="S127" s="612" t="str">
        <f t="shared" si="4"/>
        <v/>
      </c>
      <c r="T127" s="649"/>
      <c r="U127" s="649"/>
    </row>
    <row r="128" spans="1:21" ht="14.5">
      <c r="A128" s="665">
        <v>43810</v>
      </c>
      <c r="B128" s="666" t="s">
        <v>48</v>
      </c>
      <c r="C128" s="667" t="s">
        <v>69</v>
      </c>
      <c r="D128" s="668" t="s">
        <v>72</v>
      </c>
      <c r="E128" s="667" t="s">
        <v>71</v>
      </c>
      <c r="F128" s="668">
        <v>3100</v>
      </c>
      <c r="G128" s="669">
        <v>3.92</v>
      </c>
      <c r="H128" s="669">
        <v>3.89</v>
      </c>
      <c r="I128" s="670">
        <v>96.41</v>
      </c>
      <c r="J128" s="671">
        <v>0.79</v>
      </c>
      <c r="K128" s="667" t="s">
        <v>9</v>
      </c>
      <c r="L128" s="670" t="str">
        <f>IF(B128="Compra",(F128*G128)+10+(F128*G128*0.000325),"")</f>
        <v/>
      </c>
      <c r="M128" s="649"/>
      <c r="N128" s="650"/>
      <c r="O128" s="649"/>
      <c r="P128" s="649"/>
      <c r="Q128" s="649"/>
      <c r="R128" s="464">
        <f t="shared" si="3"/>
        <v>447.01162622563982</v>
      </c>
      <c r="S128" s="612">
        <f t="shared" si="4"/>
        <v>3.5037125182880686</v>
      </c>
      <c r="T128" s="649"/>
      <c r="U128" s="649"/>
    </row>
    <row r="129" spans="1:26" ht="14.5">
      <c r="A129" s="665">
        <v>43811</v>
      </c>
      <c r="B129" s="666" t="s">
        <v>47</v>
      </c>
      <c r="C129" s="667" t="s">
        <v>69</v>
      </c>
      <c r="D129" s="668" t="s">
        <v>72</v>
      </c>
      <c r="E129" s="667" t="s">
        <v>71</v>
      </c>
      <c r="F129" s="668">
        <v>2500</v>
      </c>
      <c r="G129" s="669">
        <v>4.1399999999999997</v>
      </c>
      <c r="H129" s="669">
        <v>0</v>
      </c>
      <c r="I129" s="670">
        <v>0</v>
      </c>
      <c r="J129" s="671">
        <v>0</v>
      </c>
      <c r="K129" s="667" t="s">
        <v>9</v>
      </c>
      <c r="L129" s="670">
        <v>10363.36</v>
      </c>
      <c r="M129" s="649"/>
      <c r="N129" s="650"/>
      <c r="O129" s="649"/>
      <c r="P129" s="649"/>
      <c r="Q129" s="649"/>
      <c r="R129" s="464">
        <f t="shared" si="3"/>
        <v>447.01162622563982</v>
      </c>
      <c r="S129" s="612" t="str">
        <f t="shared" si="4"/>
        <v/>
      </c>
      <c r="T129" s="649"/>
      <c r="U129" s="649"/>
    </row>
    <row r="130" spans="1:26" ht="14.5">
      <c r="A130" s="665">
        <v>43812</v>
      </c>
      <c r="B130" s="666" t="s">
        <v>48</v>
      </c>
      <c r="C130" s="667" t="s">
        <v>69</v>
      </c>
      <c r="D130" s="668" t="s">
        <v>72</v>
      </c>
      <c r="E130" s="667" t="s">
        <v>71</v>
      </c>
      <c r="F130" s="668">
        <v>2500</v>
      </c>
      <c r="G130" s="669">
        <v>4.18</v>
      </c>
      <c r="H130" s="669">
        <v>4.1500000000000004</v>
      </c>
      <c r="I130" s="670">
        <v>98.48</v>
      </c>
      <c r="J130" s="671">
        <v>0.95</v>
      </c>
      <c r="K130" s="667" t="s">
        <v>9</v>
      </c>
      <c r="L130" s="670" t="str">
        <f>IF(B130="Compra",(F130*G130)+10+(F130*G130*0.000325),"")</f>
        <v/>
      </c>
      <c r="M130" s="649"/>
      <c r="N130" s="650"/>
      <c r="O130" s="649"/>
      <c r="P130" s="649"/>
      <c r="Q130" s="649"/>
      <c r="R130" s="464">
        <f t="shared" si="3"/>
        <v>451.2582366747834</v>
      </c>
      <c r="S130" s="612">
        <f t="shared" si="4"/>
        <v>4.2466104491435885</v>
      </c>
      <c r="T130" s="649"/>
      <c r="U130" s="649"/>
    </row>
    <row r="131" spans="1:26" ht="14.5">
      <c r="A131" s="665">
        <v>43812</v>
      </c>
      <c r="B131" s="666" t="s">
        <v>47</v>
      </c>
      <c r="C131" s="667" t="s">
        <v>69</v>
      </c>
      <c r="D131" s="668" t="s">
        <v>70</v>
      </c>
      <c r="E131" s="667" t="s">
        <v>71</v>
      </c>
      <c r="F131" s="668">
        <v>1600</v>
      </c>
      <c r="G131" s="669">
        <v>6.71</v>
      </c>
      <c r="H131" s="669">
        <v>0</v>
      </c>
      <c r="I131" s="670">
        <v>0</v>
      </c>
      <c r="J131" s="671">
        <v>0</v>
      </c>
      <c r="K131" s="667" t="s">
        <v>9</v>
      </c>
      <c r="L131" s="670">
        <v>10749.49</v>
      </c>
      <c r="M131" s="649"/>
      <c r="N131" s="650"/>
      <c r="O131" s="649"/>
      <c r="P131" s="649"/>
      <c r="Q131" s="649"/>
      <c r="R131" s="464">
        <f t="shared" si="3"/>
        <v>451.2582366747834</v>
      </c>
      <c r="S131" s="612" t="str">
        <f t="shared" si="4"/>
        <v/>
      </c>
      <c r="T131" s="649"/>
      <c r="U131" s="649"/>
    </row>
    <row r="132" spans="1:26" ht="14.5">
      <c r="A132" s="665">
        <v>43815</v>
      </c>
      <c r="B132" s="666" t="s">
        <v>48</v>
      </c>
      <c r="C132" s="667" t="s">
        <v>69</v>
      </c>
      <c r="D132" s="668" t="s">
        <v>70</v>
      </c>
      <c r="E132" s="667" t="s">
        <v>71</v>
      </c>
      <c r="F132" s="668">
        <v>1600</v>
      </c>
      <c r="G132" s="669">
        <v>6.77</v>
      </c>
      <c r="H132" s="669">
        <v>6.72</v>
      </c>
      <c r="I132" s="670">
        <v>85.239999999999981</v>
      </c>
      <c r="J132" s="671">
        <v>0.79</v>
      </c>
      <c r="K132" s="667" t="s">
        <v>9</v>
      </c>
      <c r="L132" s="670" t="str">
        <f>IF(B132="Compra",(F132*G132)+10+(F132*G132*0.000325),"")</f>
        <v/>
      </c>
      <c r="M132" s="649"/>
      <c r="N132" s="650"/>
      <c r="O132" s="649"/>
      <c r="P132" s="649"/>
      <c r="Q132" s="649"/>
      <c r="R132" s="464">
        <f t="shared" si="3"/>
        <v>454.82317674451423</v>
      </c>
      <c r="S132" s="612">
        <f t="shared" si="4"/>
        <v>3.5649400697308238</v>
      </c>
      <c r="T132" s="649"/>
      <c r="U132" s="649"/>
    </row>
    <row r="133" spans="1:26" ht="14.5">
      <c r="A133" s="665">
        <v>43815</v>
      </c>
      <c r="B133" s="666" t="s">
        <v>47</v>
      </c>
      <c r="C133" s="667" t="s">
        <v>69</v>
      </c>
      <c r="D133" s="668" t="s">
        <v>72</v>
      </c>
      <c r="E133" s="667" t="s">
        <v>71</v>
      </c>
      <c r="F133" s="668">
        <v>4500</v>
      </c>
      <c r="G133" s="669">
        <v>4.21</v>
      </c>
      <c r="H133" s="669">
        <v>0</v>
      </c>
      <c r="I133" s="670">
        <v>0</v>
      </c>
      <c r="J133" s="671">
        <v>0</v>
      </c>
      <c r="K133" s="667" t="s">
        <v>9</v>
      </c>
      <c r="L133" s="670">
        <v>18961.16</v>
      </c>
      <c r="M133" s="649"/>
      <c r="N133" s="650"/>
      <c r="O133" s="649"/>
      <c r="P133" s="649"/>
      <c r="Q133" s="649"/>
      <c r="R133" s="464">
        <f t="shared" si="3"/>
        <v>454.82317674451423</v>
      </c>
      <c r="S133" s="612" t="str">
        <f t="shared" si="4"/>
        <v/>
      </c>
      <c r="T133" s="649"/>
      <c r="U133" s="649"/>
    </row>
    <row r="134" spans="1:26" ht="14.5">
      <c r="A134" s="665">
        <v>43816</v>
      </c>
      <c r="B134" s="666" t="s">
        <v>48</v>
      </c>
      <c r="C134" s="667" t="s">
        <v>69</v>
      </c>
      <c r="D134" s="668" t="s">
        <v>72</v>
      </c>
      <c r="E134" s="667" t="s">
        <v>71</v>
      </c>
      <c r="F134" s="668">
        <v>4500</v>
      </c>
      <c r="G134" s="669">
        <v>4.25</v>
      </c>
      <c r="H134" s="669">
        <v>4.21</v>
      </c>
      <c r="I134" s="670">
        <v>193.06</v>
      </c>
      <c r="J134" s="671">
        <v>1.01</v>
      </c>
      <c r="K134" s="667" t="s">
        <v>9</v>
      </c>
      <c r="L134" s="670" t="str">
        <f>IF(B134="Compra",(F134*G134)+10+(F134*G134*0.000325),"")</f>
        <v/>
      </c>
      <c r="M134" s="649"/>
      <c r="N134" s="650"/>
      <c r="O134" s="649"/>
      <c r="P134" s="649"/>
      <c r="Q134" s="649"/>
      <c r="R134" s="464">
        <f t="shared" si="3"/>
        <v>459.41689082963381</v>
      </c>
      <c r="S134" s="612">
        <f t="shared" si="4"/>
        <v>4.5937140851195863</v>
      </c>
      <c r="T134" s="649"/>
      <c r="U134" s="649"/>
    </row>
    <row r="135" spans="1:26" ht="14.5">
      <c r="A135" s="665">
        <v>43816</v>
      </c>
      <c r="B135" s="666" t="s">
        <v>47</v>
      </c>
      <c r="C135" s="667" t="s">
        <v>69</v>
      </c>
      <c r="D135" s="668" t="s">
        <v>70</v>
      </c>
      <c r="E135" s="667" t="s">
        <v>71</v>
      </c>
      <c r="F135" s="668">
        <v>2800</v>
      </c>
      <c r="G135" s="669">
        <v>6.73</v>
      </c>
      <c r="H135" s="669">
        <v>0</v>
      </c>
      <c r="I135" s="670">
        <v>0</v>
      </c>
      <c r="J135" s="671">
        <v>0</v>
      </c>
      <c r="K135" s="667" t="s">
        <v>9</v>
      </c>
      <c r="L135" s="670">
        <v>18860.12</v>
      </c>
      <c r="M135" s="649"/>
      <c r="N135" s="650"/>
      <c r="O135" s="649"/>
      <c r="P135" s="649"/>
      <c r="Q135" s="649"/>
      <c r="R135" s="464">
        <f t="shared" si="3"/>
        <v>459.41689082963381</v>
      </c>
      <c r="S135" s="612" t="str">
        <f t="shared" si="4"/>
        <v/>
      </c>
      <c r="T135" s="649"/>
      <c r="U135" s="649"/>
    </row>
    <row r="136" spans="1:26" ht="14.5">
      <c r="A136" s="665">
        <v>43817</v>
      </c>
      <c r="B136" s="666" t="s">
        <v>48</v>
      </c>
      <c r="C136" s="667" t="s">
        <v>69</v>
      </c>
      <c r="D136" s="668" t="s">
        <v>70</v>
      </c>
      <c r="E136" s="667" t="s">
        <v>71</v>
      </c>
      <c r="F136" s="668">
        <v>2800</v>
      </c>
      <c r="G136" s="669">
        <v>6.68</v>
      </c>
      <c r="H136" s="669">
        <v>6.74</v>
      </c>
      <c r="I136" s="670">
        <v>-143.76</v>
      </c>
      <c r="J136" s="671">
        <v>-0.7599999999999999</v>
      </c>
      <c r="K136" s="667" t="s">
        <v>9</v>
      </c>
      <c r="L136" s="670" t="str">
        <f>IF(B136="Compra",(F136*G136)+10+(F136*G136*0.000325),"")</f>
        <v/>
      </c>
      <c r="M136" s="649"/>
      <c r="N136" s="650"/>
      <c r="O136" s="649"/>
      <c r="P136" s="649"/>
      <c r="Q136" s="649"/>
      <c r="R136" s="464">
        <f t="shared" si="3"/>
        <v>455.92532245932858</v>
      </c>
      <c r="S136" s="612">
        <f t="shared" si="4"/>
        <v>-3.4915683703052309</v>
      </c>
      <c r="T136" s="649"/>
      <c r="U136" s="649"/>
    </row>
    <row r="137" spans="1:26" ht="14.5">
      <c r="A137" s="665">
        <v>43818</v>
      </c>
      <c r="B137" s="666" t="s">
        <v>47</v>
      </c>
      <c r="C137" s="667" t="s">
        <v>69</v>
      </c>
      <c r="D137" s="668" t="s">
        <v>72</v>
      </c>
      <c r="E137" s="667" t="s">
        <v>71</v>
      </c>
      <c r="F137" s="668">
        <v>3600</v>
      </c>
      <c r="G137" s="669">
        <v>4.28</v>
      </c>
      <c r="H137" s="669">
        <v>0</v>
      </c>
      <c r="I137" s="670">
        <v>0</v>
      </c>
      <c r="J137" s="671">
        <v>0</v>
      </c>
      <c r="K137" s="667" t="s">
        <v>9</v>
      </c>
      <c r="L137" s="670">
        <v>15423.01</v>
      </c>
      <c r="M137" s="649"/>
      <c r="N137" s="650"/>
      <c r="O137" s="649"/>
      <c r="P137" s="649"/>
      <c r="Q137" s="649"/>
      <c r="R137" s="464">
        <f t="shared" si="3"/>
        <v>455.92532245932858</v>
      </c>
      <c r="S137" s="612" t="str">
        <f t="shared" si="4"/>
        <v/>
      </c>
      <c r="T137" s="649"/>
      <c r="U137" s="649"/>
    </row>
    <row r="138" spans="1:26" ht="14.5">
      <c r="A138" s="665">
        <v>43819</v>
      </c>
      <c r="B138" s="666" t="s">
        <v>48</v>
      </c>
      <c r="C138" s="667" t="s">
        <v>69</v>
      </c>
      <c r="D138" s="668" t="s">
        <v>72</v>
      </c>
      <c r="E138" s="667" t="s">
        <v>71</v>
      </c>
      <c r="F138" s="668">
        <v>3600</v>
      </c>
      <c r="G138" s="669">
        <v>4.28</v>
      </c>
      <c r="H138" s="669">
        <v>4.28</v>
      </c>
      <c r="I138" s="670">
        <v>6.34</v>
      </c>
      <c r="J138" s="671">
        <v>0.04</v>
      </c>
      <c r="K138" s="667" t="s">
        <v>9</v>
      </c>
      <c r="L138" s="670" t="str">
        <f>IF(B138="Compra",(F138*G138)+10+(F138*G138*0.000325),"")</f>
        <v/>
      </c>
      <c r="M138" s="649"/>
      <c r="N138" s="650"/>
      <c r="O138" s="649"/>
      <c r="P138" s="649"/>
      <c r="Q138" s="649"/>
      <c r="R138" s="464">
        <f t="shared" si="3"/>
        <v>456.10769258831232</v>
      </c>
      <c r="S138" s="612">
        <f t="shared" si="4"/>
        <v>0.1823701289837345</v>
      </c>
      <c r="T138" s="649"/>
      <c r="U138" s="649"/>
    </row>
    <row r="139" spans="1:26" ht="14.5">
      <c r="A139" s="665">
        <v>43819</v>
      </c>
      <c r="B139" s="666" t="s">
        <v>47</v>
      </c>
      <c r="C139" s="667" t="s">
        <v>69</v>
      </c>
      <c r="D139" s="668" t="s">
        <v>70</v>
      </c>
      <c r="E139" s="667" t="s">
        <v>71</v>
      </c>
      <c r="F139" s="668">
        <v>3000</v>
      </c>
      <c r="G139" s="669">
        <v>6.76</v>
      </c>
      <c r="H139" s="669">
        <v>0</v>
      </c>
      <c r="I139" s="670">
        <v>0</v>
      </c>
      <c r="J139" s="671">
        <v>0</v>
      </c>
      <c r="K139" s="667" t="s">
        <v>9</v>
      </c>
      <c r="L139" s="670">
        <v>20296.59</v>
      </c>
      <c r="M139" s="649"/>
      <c r="N139" s="650"/>
      <c r="O139" s="649"/>
      <c r="P139" s="649"/>
      <c r="Q139" s="649"/>
      <c r="R139" s="464">
        <f t="shared" si="3"/>
        <v>456.10769258831232</v>
      </c>
      <c r="S139" s="612" t="str">
        <f t="shared" si="4"/>
        <v/>
      </c>
      <c r="T139" s="649"/>
      <c r="U139" s="649"/>
    </row>
    <row r="140" spans="1:26" ht="14.5">
      <c r="A140" s="665">
        <v>43822</v>
      </c>
      <c r="B140" s="666" t="s">
        <v>48</v>
      </c>
      <c r="C140" s="667" t="s">
        <v>69</v>
      </c>
      <c r="D140" s="668" t="s">
        <v>70</v>
      </c>
      <c r="E140" s="667" t="s">
        <v>71</v>
      </c>
      <c r="F140" s="668">
        <v>3000</v>
      </c>
      <c r="G140" s="669">
        <v>6.84</v>
      </c>
      <c r="H140" s="669">
        <v>6.77</v>
      </c>
      <c r="I140" s="670">
        <v>237.21</v>
      </c>
      <c r="J140" s="671">
        <v>1.1599999999999999</v>
      </c>
      <c r="K140" s="667" t="s">
        <v>9</v>
      </c>
      <c r="L140" s="670" t="str">
        <f>IF(B140="Compra",(F140*G140)+10+(F140*G140*0.000325),"")</f>
        <v/>
      </c>
      <c r="M140" s="649"/>
      <c r="N140" s="650"/>
      <c r="O140" s="649"/>
      <c r="P140" s="649"/>
      <c r="Q140" s="649"/>
      <c r="R140" s="464">
        <f t="shared" si="3"/>
        <v>461.39854182233677</v>
      </c>
      <c r="S140" s="612">
        <f t="shared" si="4"/>
        <v>5.2908492340244493</v>
      </c>
      <c r="T140" s="649"/>
      <c r="U140" s="649"/>
    </row>
    <row r="141" spans="1:26" ht="14.5">
      <c r="A141" s="665">
        <v>43822</v>
      </c>
      <c r="B141" s="666" t="s">
        <v>47</v>
      </c>
      <c r="C141" s="667" t="s">
        <v>69</v>
      </c>
      <c r="D141" s="668" t="s">
        <v>72</v>
      </c>
      <c r="E141" s="667" t="s">
        <v>71</v>
      </c>
      <c r="F141" s="668">
        <v>4200</v>
      </c>
      <c r="G141" s="669">
        <v>4.5</v>
      </c>
      <c r="H141" s="669">
        <v>0</v>
      </c>
      <c r="I141" s="670">
        <v>0</v>
      </c>
      <c r="J141" s="671">
        <v>0</v>
      </c>
      <c r="K141" s="667" t="s">
        <v>9</v>
      </c>
      <c r="L141" s="670">
        <v>18916.14</v>
      </c>
      <c r="M141" s="649"/>
      <c r="N141" s="650"/>
      <c r="O141" s="650"/>
      <c r="P141" s="650"/>
      <c r="Q141" s="650"/>
      <c r="R141" s="464">
        <f t="shared" si="3"/>
        <v>461.39854182233677</v>
      </c>
      <c r="S141" s="612" t="str">
        <f t="shared" si="4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>
        <v>43825</v>
      </c>
      <c r="B142" s="666" t="s">
        <v>48</v>
      </c>
      <c r="C142" s="667" t="s">
        <v>69</v>
      </c>
      <c r="D142" s="668" t="s">
        <v>72</v>
      </c>
      <c r="E142" s="667" t="s">
        <v>71</v>
      </c>
      <c r="F142" s="668">
        <v>4200</v>
      </c>
      <c r="G142" s="669">
        <v>4.54</v>
      </c>
      <c r="H142" s="669">
        <v>4.5</v>
      </c>
      <c r="I142" s="670">
        <v>178.1</v>
      </c>
      <c r="J142" s="671">
        <v>0.93999999999999984</v>
      </c>
      <c r="K142" s="667" t="s">
        <v>9</v>
      </c>
      <c r="L142" s="670" t="str">
        <f>IF(B142="Compra",(F142*G142)+10+(F142*G142*0.000325),"")</f>
        <v/>
      </c>
      <c r="M142" s="649"/>
      <c r="N142" s="650"/>
      <c r="O142" s="649"/>
      <c r="P142" s="649"/>
      <c r="Q142" s="649"/>
      <c r="R142" s="464">
        <f t="shared" si="3"/>
        <v>465.73568811546676</v>
      </c>
      <c r="S142" s="612">
        <f t="shared" si="4"/>
        <v>4.3371462931299902</v>
      </c>
      <c r="T142" s="649"/>
      <c r="U142" s="649"/>
    </row>
    <row r="143" spans="1:26" ht="14.5">
      <c r="A143" s="665">
        <v>43825</v>
      </c>
      <c r="B143" s="666" t="s">
        <v>47</v>
      </c>
      <c r="C143" s="667" t="s">
        <v>69</v>
      </c>
      <c r="D143" s="668" t="s">
        <v>70</v>
      </c>
      <c r="E143" s="667" t="s">
        <v>71</v>
      </c>
      <c r="F143" s="668">
        <v>2500</v>
      </c>
      <c r="G143" s="669">
        <v>7.24</v>
      </c>
      <c r="H143" s="669">
        <v>0</v>
      </c>
      <c r="I143" s="670">
        <v>0</v>
      </c>
      <c r="J143" s="671">
        <v>0</v>
      </c>
      <c r="K143" s="667" t="s">
        <v>9</v>
      </c>
      <c r="L143" s="670">
        <v>18115.88</v>
      </c>
      <c r="M143" s="649"/>
      <c r="N143" s="650"/>
      <c r="O143" s="649"/>
      <c r="P143" s="649"/>
      <c r="Q143" s="649"/>
      <c r="R143" s="464">
        <f t="shared" si="3"/>
        <v>465.73568811546676</v>
      </c>
      <c r="S143" s="612" t="str">
        <f t="shared" si="4"/>
        <v/>
      </c>
      <c r="T143" s="649"/>
      <c r="U143" s="649"/>
    </row>
    <row r="144" spans="1:26" ht="14.5">
      <c r="A144" s="665">
        <v>43826</v>
      </c>
      <c r="B144" s="666" t="s">
        <v>48</v>
      </c>
      <c r="C144" s="667" t="s">
        <v>69</v>
      </c>
      <c r="D144" s="668" t="s">
        <v>70</v>
      </c>
      <c r="E144" s="667" t="s">
        <v>71</v>
      </c>
      <c r="F144" s="668">
        <v>2500</v>
      </c>
      <c r="G144" s="669">
        <v>7.32</v>
      </c>
      <c r="H144" s="669">
        <v>7.25</v>
      </c>
      <c r="I144" s="670">
        <v>193.59</v>
      </c>
      <c r="J144" s="671">
        <v>1.06</v>
      </c>
      <c r="K144" s="667" t="s">
        <v>9</v>
      </c>
      <c r="L144" s="670" t="str">
        <f>IF(B144="Compra",(F144*G144)+10+(F144*G144*0.000325),"")</f>
        <v/>
      </c>
      <c r="M144" s="649"/>
      <c r="N144" s="650"/>
      <c r="O144" s="649"/>
      <c r="P144" s="649"/>
      <c r="Q144" s="649"/>
      <c r="R144" s="464">
        <f t="shared" si="3"/>
        <v>470.67248640949066</v>
      </c>
      <c r="S144" s="612">
        <f t="shared" si="4"/>
        <v>4.9367982940239017</v>
      </c>
      <c r="T144" s="649"/>
      <c r="U144" s="649"/>
    </row>
    <row r="145" spans="1:21" ht="14.5">
      <c r="A145" s="665">
        <v>43826</v>
      </c>
      <c r="B145" s="666" t="s">
        <v>47</v>
      </c>
      <c r="C145" s="667" t="s">
        <v>69</v>
      </c>
      <c r="D145" s="668" t="s">
        <v>72</v>
      </c>
      <c r="E145" s="667" t="s">
        <v>71</v>
      </c>
      <c r="F145" s="668">
        <v>4200</v>
      </c>
      <c r="G145" s="669">
        <v>4.5</v>
      </c>
      <c r="H145" s="669">
        <v>0</v>
      </c>
      <c r="I145" s="670">
        <v>0</v>
      </c>
      <c r="J145" s="671">
        <v>0</v>
      </c>
      <c r="K145" s="667" t="s">
        <v>9</v>
      </c>
      <c r="L145" s="670">
        <v>18916.14</v>
      </c>
      <c r="M145" s="649"/>
      <c r="N145" s="650"/>
      <c r="O145" s="649"/>
      <c r="P145" s="649"/>
      <c r="Q145" s="649"/>
      <c r="R145" s="464">
        <f t="shared" si="3"/>
        <v>470.67248640949066</v>
      </c>
      <c r="S145" s="612" t="str">
        <f t="shared" si="4"/>
        <v/>
      </c>
      <c r="T145" s="649"/>
      <c r="U145" s="649"/>
    </row>
    <row r="146" spans="1:21" ht="14.5">
      <c r="A146" s="665">
        <v>43829</v>
      </c>
      <c r="B146" s="666" t="s">
        <v>48</v>
      </c>
      <c r="C146" s="667" t="s">
        <v>69</v>
      </c>
      <c r="D146" s="668" t="s">
        <v>72</v>
      </c>
      <c r="E146" s="667" t="s">
        <v>71</v>
      </c>
      <c r="F146" s="668">
        <v>4200</v>
      </c>
      <c r="G146" s="669">
        <v>4.54</v>
      </c>
      <c r="H146" s="669">
        <v>4.5</v>
      </c>
      <c r="I146" s="670">
        <v>178.1</v>
      </c>
      <c r="J146" s="671">
        <v>0.93999999999999984</v>
      </c>
      <c r="K146" s="667" t="s">
        <v>9</v>
      </c>
      <c r="L146" s="670" t="str">
        <f t="shared" ref="L146:L300" si="5">IF(B146="Compra",(F146*G146)+10+(F146*G146*0.000325),"")</f>
        <v/>
      </c>
      <c r="M146" s="649"/>
      <c r="N146" s="650"/>
      <c r="O146" s="649"/>
      <c r="P146" s="649"/>
      <c r="Q146" s="649"/>
      <c r="R146" s="464">
        <f t="shared" si="3"/>
        <v>475.09680778173993</v>
      </c>
      <c r="S146" s="612">
        <f t="shared" si="4"/>
        <v>4.4243213722492669</v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5"/>
        <v/>
      </c>
      <c r="M147" s="649"/>
      <c r="N147" s="650"/>
      <c r="O147" s="649"/>
      <c r="P147" s="649"/>
      <c r="Q147" s="649"/>
      <c r="R147" s="464">
        <f t="shared" si="3"/>
        <v>475.09680778173993</v>
      </c>
      <c r="S147" s="612" t="str">
        <f t="shared" si="4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5"/>
        <v/>
      </c>
      <c r="M148" s="649"/>
      <c r="N148" s="650"/>
      <c r="O148" s="649"/>
      <c r="P148" s="649"/>
      <c r="Q148" s="649"/>
      <c r="R148" s="464">
        <f t="shared" si="3"/>
        <v>475.09680778173993</v>
      </c>
      <c r="S148" s="612" t="str">
        <f t="shared" si="4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5"/>
        <v/>
      </c>
      <c r="M149" s="649"/>
      <c r="N149" s="650"/>
      <c r="O149" s="649"/>
      <c r="P149" s="649"/>
      <c r="Q149" s="649"/>
      <c r="R149" s="464">
        <f t="shared" si="3"/>
        <v>475.09680778173993</v>
      </c>
      <c r="S149" s="612" t="str">
        <f t="shared" si="4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5"/>
        <v/>
      </c>
      <c r="M150" s="649"/>
      <c r="N150" s="650"/>
      <c r="O150" s="649"/>
      <c r="P150" s="649"/>
      <c r="Q150" s="649"/>
      <c r="R150" s="464">
        <f t="shared" si="3"/>
        <v>475.09680778173993</v>
      </c>
      <c r="S150" s="612" t="str">
        <f t="shared" si="4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5"/>
        <v/>
      </c>
      <c r="M151" s="649"/>
      <c r="N151" s="650"/>
      <c r="O151" s="649"/>
      <c r="P151" s="649"/>
      <c r="Q151" s="649"/>
      <c r="R151" s="464">
        <f t="shared" si="3"/>
        <v>475.09680778173993</v>
      </c>
      <c r="S151" s="612" t="str">
        <f t="shared" si="4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5"/>
        <v/>
      </c>
      <c r="M152" s="649"/>
      <c r="N152" s="650"/>
      <c r="O152" s="649"/>
      <c r="P152" s="649"/>
      <c r="Q152" s="649"/>
      <c r="R152" s="464">
        <f t="shared" si="3"/>
        <v>475.09680778173993</v>
      </c>
      <c r="S152" s="612" t="str">
        <f t="shared" si="4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5"/>
        <v/>
      </c>
      <c r="M153" s="649"/>
      <c r="N153" s="650"/>
      <c r="O153" s="649"/>
      <c r="P153" s="649"/>
      <c r="Q153" s="649"/>
      <c r="R153" s="464">
        <f t="shared" si="3"/>
        <v>475.09680778173993</v>
      </c>
      <c r="S153" s="612" t="str">
        <f t="shared" si="4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5"/>
        <v/>
      </c>
      <c r="M154" s="649"/>
      <c r="N154" s="650"/>
      <c r="O154" s="649"/>
      <c r="P154" s="649"/>
      <c r="Q154" s="649"/>
      <c r="R154" s="464">
        <f t="shared" si="3"/>
        <v>475.09680778173993</v>
      </c>
      <c r="S154" s="612" t="str">
        <f t="shared" si="4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5"/>
        <v/>
      </c>
      <c r="M155" s="649"/>
      <c r="N155" s="650"/>
      <c r="O155" s="649"/>
      <c r="P155" s="649"/>
      <c r="Q155" s="649"/>
      <c r="R155" s="464">
        <f t="shared" si="3"/>
        <v>475.09680778173993</v>
      </c>
      <c r="S155" s="612" t="str">
        <f t="shared" si="4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5"/>
        <v/>
      </c>
      <c r="M156" s="649"/>
      <c r="N156" s="650"/>
      <c r="O156" s="649"/>
      <c r="P156" s="649"/>
      <c r="Q156" s="649"/>
      <c r="R156" s="464">
        <f t="shared" si="3"/>
        <v>475.09680778173993</v>
      </c>
      <c r="S156" s="612" t="str">
        <f t="shared" si="4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5"/>
        <v/>
      </c>
      <c r="M157" s="649"/>
      <c r="N157" s="650"/>
      <c r="O157" s="649"/>
      <c r="P157" s="649"/>
      <c r="Q157" s="649"/>
      <c r="R157" s="464">
        <f t="shared" si="3"/>
        <v>475.09680778173993</v>
      </c>
      <c r="S157" s="612" t="str">
        <f t="shared" si="4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5"/>
        <v/>
      </c>
      <c r="M158" s="649"/>
      <c r="N158" s="650"/>
      <c r="O158" s="649"/>
      <c r="P158" s="649"/>
      <c r="Q158" s="649"/>
      <c r="R158" s="464">
        <f t="shared" si="3"/>
        <v>475.09680778173993</v>
      </c>
      <c r="S158" s="612" t="str">
        <f t="shared" si="4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5"/>
        <v/>
      </c>
      <c r="M159" s="649"/>
      <c r="N159" s="650"/>
      <c r="O159" s="649"/>
      <c r="P159" s="649"/>
      <c r="Q159" s="649"/>
      <c r="R159" s="464">
        <f t="shared" si="3"/>
        <v>475.09680778173993</v>
      </c>
      <c r="S159" s="612" t="str">
        <f t="shared" si="4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5"/>
        <v/>
      </c>
      <c r="M160" s="649"/>
      <c r="N160" s="650"/>
      <c r="O160" s="649"/>
      <c r="P160" s="649"/>
      <c r="Q160" s="649"/>
      <c r="R160" s="464">
        <f t="shared" si="3"/>
        <v>475.09680778173993</v>
      </c>
      <c r="S160" s="612" t="str">
        <f t="shared" si="4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5"/>
        <v/>
      </c>
      <c r="M161" s="649"/>
      <c r="N161" s="650"/>
      <c r="O161" s="649"/>
      <c r="P161" s="649"/>
      <c r="Q161" s="649"/>
      <c r="R161" s="464">
        <f t="shared" si="3"/>
        <v>475.09680778173993</v>
      </c>
      <c r="S161" s="612" t="str">
        <f t="shared" si="4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5"/>
        <v/>
      </c>
      <c r="M162" s="649"/>
      <c r="N162" s="650"/>
      <c r="O162" s="649"/>
      <c r="P162" s="649"/>
      <c r="Q162" s="649"/>
      <c r="R162" s="464">
        <f t="shared" si="3"/>
        <v>475.09680778173993</v>
      </c>
      <c r="S162" s="612" t="str">
        <f t="shared" si="4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5"/>
        <v/>
      </c>
      <c r="M163" s="649"/>
      <c r="N163" s="650"/>
      <c r="O163" s="649"/>
      <c r="P163" s="649"/>
      <c r="Q163" s="649"/>
      <c r="R163" s="464">
        <f t="shared" si="3"/>
        <v>475.09680778173993</v>
      </c>
      <c r="S163" s="612" t="str">
        <f t="shared" si="4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5"/>
        <v/>
      </c>
      <c r="M164" s="649"/>
      <c r="N164" s="650"/>
      <c r="O164" s="649"/>
      <c r="P164" s="649"/>
      <c r="Q164" s="649"/>
      <c r="R164" s="464">
        <f t="shared" si="3"/>
        <v>475.09680778173993</v>
      </c>
      <c r="S164" s="612" t="str">
        <f t="shared" si="4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5"/>
        <v/>
      </c>
      <c r="M165" s="649"/>
      <c r="N165" s="650"/>
      <c r="O165" s="649"/>
      <c r="P165" s="649"/>
      <c r="Q165" s="649"/>
      <c r="R165" s="464">
        <f t="shared" si="3"/>
        <v>475.09680778173993</v>
      </c>
      <c r="S165" s="612" t="str">
        <f t="shared" si="4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5"/>
        <v/>
      </c>
      <c r="M166" s="649"/>
      <c r="N166" s="650"/>
      <c r="O166" s="649"/>
      <c r="P166" s="649"/>
      <c r="Q166" s="649"/>
      <c r="R166" s="464">
        <f t="shared" si="3"/>
        <v>475.09680778173993</v>
      </c>
      <c r="S166" s="612" t="str">
        <f t="shared" si="4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5"/>
        <v/>
      </c>
      <c r="M167" s="649"/>
      <c r="N167" s="650"/>
      <c r="O167" s="649"/>
      <c r="P167" s="649"/>
      <c r="Q167" s="649"/>
      <c r="R167" s="464">
        <f t="shared" si="3"/>
        <v>475.09680778173993</v>
      </c>
      <c r="S167" s="612" t="str">
        <f t="shared" si="4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5"/>
        <v/>
      </c>
      <c r="M168" s="649"/>
      <c r="N168" s="650"/>
      <c r="O168" s="649"/>
      <c r="P168" s="649"/>
      <c r="Q168" s="649"/>
      <c r="R168" s="464">
        <f t="shared" si="3"/>
        <v>475.09680778173993</v>
      </c>
      <c r="S168" s="612" t="str">
        <f t="shared" si="4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5"/>
        <v/>
      </c>
      <c r="M169" s="649"/>
      <c r="N169" s="650"/>
      <c r="O169" s="649"/>
      <c r="P169" s="649"/>
      <c r="Q169" s="649"/>
      <c r="R169" s="464">
        <f t="shared" si="3"/>
        <v>475.09680778173993</v>
      </c>
      <c r="S169" s="612" t="str">
        <f t="shared" si="4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5"/>
        <v/>
      </c>
      <c r="M170" s="649"/>
      <c r="N170" s="650"/>
      <c r="O170" s="649"/>
      <c r="P170" s="649"/>
      <c r="Q170" s="649"/>
      <c r="R170" s="464">
        <f t="shared" si="3"/>
        <v>475.09680778173993</v>
      </c>
      <c r="S170" s="612" t="str">
        <f t="shared" si="4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5"/>
        <v/>
      </c>
      <c r="M171" s="649"/>
      <c r="N171" s="650"/>
      <c r="O171" s="649"/>
      <c r="P171" s="649"/>
      <c r="Q171" s="649"/>
      <c r="R171" s="464">
        <f t="shared" si="3"/>
        <v>475.09680778173993</v>
      </c>
      <c r="S171" s="612" t="str">
        <f t="shared" si="4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5"/>
        <v/>
      </c>
      <c r="M172" s="649"/>
      <c r="N172" s="650"/>
      <c r="O172" s="649"/>
      <c r="P172" s="649"/>
      <c r="Q172" s="649"/>
      <c r="R172" s="464">
        <f t="shared" si="3"/>
        <v>475.09680778173993</v>
      </c>
      <c r="S172" s="612" t="str">
        <f t="shared" si="4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5"/>
        <v/>
      </c>
      <c r="M173" s="649"/>
      <c r="N173" s="650"/>
      <c r="O173" s="649"/>
      <c r="P173" s="649"/>
      <c r="Q173" s="649"/>
      <c r="R173" s="464">
        <f t="shared" si="3"/>
        <v>475.09680778173993</v>
      </c>
      <c r="S173" s="612" t="str">
        <f t="shared" si="4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5"/>
        <v/>
      </c>
      <c r="M174" s="649"/>
      <c r="N174" s="650"/>
      <c r="O174" s="649"/>
      <c r="P174" s="649"/>
      <c r="Q174" s="649"/>
      <c r="R174" s="464">
        <f t="shared" si="3"/>
        <v>475.09680778173993</v>
      </c>
      <c r="S174" s="612" t="str">
        <f t="shared" si="4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5"/>
        <v/>
      </c>
      <c r="M175" s="649"/>
      <c r="N175" s="650"/>
      <c r="O175" s="649"/>
      <c r="P175" s="649"/>
      <c r="Q175" s="649"/>
      <c r="R175" s="464">
        <f t="shared" si="3"/>
        <v>475.09680778173993</v>
      </c>
      <c r="S175" s="612" t="str">
        <f t="shared" si="4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5"/>
        <v/>
      </c>
      <c r="M176" s="649"/>
      <c r="N176" s="650"/>
      <c r="O176" s="649"/>
      <c r="P176" s="649"/>
      <c r="Q176" s="649"/>
      <c r="R176" s="464">
        <f t="shared" si="3"/>
        <v>475.09680778173993</v>
      </c>
      <c r="S176" s="612" t="str">
        <f t="shared" si="4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5"/>
        <v/>
      </c>
      <c r="M177" s="649"/>
      <c r="N177" s="650"/>
      <c r="O177" s="649"/>
      <c r="P177" s="649"/>
      <c r="Q177" s="649"/>
      <c r="R177" s="464">
        <f t="shared" si="3"/>
        <v>475.09680778173993</v>
      </c>
      <c r="S177" s="612" t="str">
        <f t="shared" si="4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5"/>
        <v/>
      </c>
      <c r="M178" s="649"/>
      <c r="N178" s="650"/>
      <c r="O178" s="649"/>
      <c r="P178" s="649"/>
      <c r="Q178" s="649"/>
      <c r="R178" s="464">
        <f t="shared" si="3"/>
        <v>475.09680778173993</v>
      </c>
      <c r="S178" s="612" t="str">
        <f t="shared" si="4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5"/>
        <v/>
      </c>
      <c r="M179" s="649"/>
      <c r="N179" s="650"/>
      <c r="O179" s="649"/>
      <c r="P179" s="649"/>
      <c r="Q179" s="649"/>
      <c r="R179" s="464">
        <f t="shared" si="3"/>
        <v>475.09680778173993</v>
      </c>
      <c r="S179" s="612" t="str">
        <f t="shared" si="4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5"/>
        <v/>
      </c>
      <c r="M180" s="649"/>
      <c r="N180" s="650"/>
      <c r="O180" s="649"/>
      <c r="P180" s="649"/>
      <c r="Q180" s="649"/>
      <c r="R180" s="464">
        <f t="shared" si="3"/>
        <v>475.09680778173993</v>
      </c>
      <c r="S180" s="612" t="str">
        <f t="shared" si="4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5"/>
        <v/>
      </c>
      <c r="M181" s="649"/>
      <c r="N181" s="650"/>
      <c r="O181" s="649"/>
      <c r="P181" s="649"/>
      <c r="Q181" s="649"/>
      <c r="R181" s="464">
        <f t="shared" si="3"/>
        <v>475.09680778173993</v>
      </c>
      <c r="S181" s="612" t="str">
        <f t="shared" si="4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5"/>
        <v/>
      </c>
      <c r="M182" s="649"/>
      <c r="N182" s="650"/>
      <c r="O182" s="649"/>
      <c r="P182" s="649"/>
      <c r="Q182" s="649"/>
      <c r="R182" s="464">
        <f t="shared" si="3"/>
        <v>475.09680778173993</v>
      </c>
      <c r="S182" s="612" t="str">
        <f t="shared" si="4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5"/>
        <v/>
      </c>
      <c r="M183" s="649"/>
      <c r="N183" s="650"/>
      <c r="O183" s="649"/>
      <c r="P183" s="649"/>
      <c r="Q183" s="649"/>
      <c r="R183" s="464">
        <f t="shared" si="3"/>
        <v>475.09680778173993</v>
      </c>
      <c r="S183" s="612" t="str">
        <f t="shared" si="4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5"/>
        <v/>
      </c>
      <c r="M184" s="649"/>
      <c r="N184" s="650"/>
      <c r="O184" s="649"/>
      <c r="P184" s="649"/>
      <c r="Q184" s="649"/>
      <c r="R184" s="464">
        <f t="shared" si="3"/>
        <v>475.09680778173993</v>
      </c>
      <c r="S184" s="612" t="str">
        <f t="shared" si="4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5"/>
        <v/>
      </c>
      <c r="M185" s="649"/>
      <c r="N185" s="650"/>
      <c r="O185" s="649"/>
      <c r="P185" s="649"/>
      <c r="Q185" s="649"/>
      <c r="R185" s="464">
        <f t="shared" si="3"/>
        <v>475.09680778173993</v>
      </c>
      <c r="S185" s="612" t="str">
        <f t="shared" si="4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5"/>
        <v/>
      </c>
      <c r="M186" s="649"/>
      <c r="N186" s="650"/>
      <c r="O186" s="649"/>
      <c r="P186" s="649"/>
      <c r="Q186" s="649"/>
      <c r="R186" s="464">
        <f t="shared" si="3"/>
        <v>475.09680778173993</v>
      </c>
      <c r="S186" s="612" t="str">
        <f t="shared" si="4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5"/>
        <v/>
      </c>
      <c r="M187" s="649"/>
      <c r="N187" s="650"/>
      <c r="O187" s="649"/>
      <c r="P187" s="649"/>
      <c r="Q187" s="649"/>
      <c r="R187" s="464">
        <f t="shared" si="3"/>
        <v>475.09680778173993</v>
      </c>
      <c r="S187" s="612" t="str">
        <f t="shared" si="4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5"/>
        <v/>
      </c>
      <c r="M188" s="649"/>
      <c r="N188" s="650"/>
      <c r="O188" s="649"/>
      <c r="P188" s="649"/>
      <c r="Q188" s="649"/>
      <c r="R188" s="464">
        <f t="shared" si="3"/>
        <v>475.09680778173993</v>
      </c>
      <c r="S188" s="612" t="str">
        <f t="shared" si="4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5"/>
        <v/>
      </c>
      <c r="M189" s="649"/>
      <c r="N189" s="650"/>
      <c r="O189" s="649"/>
      <c r="P189" s="649"/>
      <c r="Q189" s="649"/>
      <c r="R189" s="464">
        <f t="shared" si="3"/>
        <v>475.09680778173993</v>
      </c>
      <c r="S189" s="612" t="str">
        <f t="shared" si="4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5"/>
        <v/>
      </c>
      <c r="M190" s="649"/>
      <c r="N190" s="650"/>
      <c r="O190" s="649"/>
      <c r="P190" s="649"/>
      <c r="Q190" s="649"/>
      <c r="R190" s="464">
        <f t="shared" si="3"/>
        <v>475.09680778173993</v>
      </c>
      <c r="S190" s="612" t="str">
        <f t="shared" si="4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5"/>
        <v/>
      </c>
      <c r="M191" s="649"/>
      <c r="N191" s="650"/>
      <c r="O191" s="649"/>
      <c r="P191" s="649"/>
      <c r="Q191" s="649"/>
      <c r="R191" s="464">
        <f t="shared" si="3"/>
        <v>475.09680778173993</v>
      </c>
      <c r="S191" s="612" t="str">
        <f t="shared" si="4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5"/>
        <v/>
      </c>
      <c r="M192" s="649"/>
      <c r="N192" s="650"/>
      <c r="O192" s="649"/>
      <c r="P192" s="649"/>
      <c r="Q192" s="649"/>
      <c r="R192" s="464">
        <f t="shared" si="3"/>
        <v>475.09680778173993</v>
      </c>
      <c r="S192" s="612" t="str">
        <f t="shared" si="4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5"/>
        <v/>
      </c>
      <c r="M193" s="649"/>
      <c r="N193" s="650"/>
      <c r="O193" s="649"/>
      <c r="P193" s="649"/>
      <c r="Q193" s="649"/>
      <c r="R193" s="464">
        <f t="shared" si="3"/>
        <v>475.09680778173993</v>
      </c>
      <c r="S193" s="612" t="str">
        <f t="shared" si="4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5"/>
        <v/>
      </c>
      <c r="M194" s="649"/>
      <c r="N194" s="650"/>
      <c r="O194" s="649"/>
      <c r="P194" s="649"/>
      <c r="Q194" s="649"/>
      <c r="R194" s="464">
        <f t="shared" si="3"/>
        <v>475.09680778173993</v>
      </c>
      <c r="S194" s="612" t="str">
        <f t="shared" si="4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si="5"/>
        <v/>
      </c>
      <c r="M195" s="649"/>
      <c r="N195" s="650"/>
      <c r="O195" s="649"/>
      <c r="P195" s="649"/>
      <c r="Q195" s="649"/>
      <c r="R195" s="464">
        <f t="shared" si="3"/>
        <v>475.09680778173993</v>
      </c>
      <c r="S195" s="612" t="str">
        <f t="shared" si="4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5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5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5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5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5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5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5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5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5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5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5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5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5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5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5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5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5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5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5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5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5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5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5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5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5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5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5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5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5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5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5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5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5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5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5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5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5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5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5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5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5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5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5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5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5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5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5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5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5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5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5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5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5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5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5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5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5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5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5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5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5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5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5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si="5"/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5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5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5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5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5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5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5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5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5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5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5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5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5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5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5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5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5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5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5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5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5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5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5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5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5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5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5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5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5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5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5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5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5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5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5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5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5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5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5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5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5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6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6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6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6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6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6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6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6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6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6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6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6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6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6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6"/>
        <v/>
      </c>
      <c r="M315" s="649"/>
      <c r="N315" s="649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6"/>
        <v/>
      </c>
      <c r="M316" s="649"/>
      <c r="N316" s="649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6"/>
        <v/>
      </c>
      <c r="M317" s="649"/>
      <c r="N317" s="649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6"/>
        <v/>
      </c>
      <c r="M318" s="649"/>
      <c r="N318" s="649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6"/>
        <v/>
      </c>
      <c r="M319" s="649"/>
      <c r="N319" s="649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6"/>
        <v/>
      </c>
      <c r="M320" s="649"/>
      <c r="N320" s="649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6"/>
        <v/>
      </c>
      <c r="M321" s="649"/>
      <c r="N321" s="649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6"/>
        <v/>
      </c>
      <c r="M322" s="649"/>
      <c r="N322" s="649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6"/>
        <v/>
      </c>
      <c r="M323" s="649"/>
      <c r="N323" s="649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6"/>
        <v/>
      </c>
      <c r="M324" s="649"/>
      <c r="N324" s="649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6"/>
        <v/>
      </c>
      <c r="M325" s="649"/>
      <c r="N325" s="649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6"/>
        <v/>
      </c>
      <c r="M326" s="649"/>
      <c r="N326" s="649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6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6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6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6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6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6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6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6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6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6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6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6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6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6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6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6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6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6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6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6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6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6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6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6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6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6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6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6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6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6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6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6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6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6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6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6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6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6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6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6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6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6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6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6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6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6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6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6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6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6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6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6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6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6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6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6"/>
        <v/>
      </c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6"/>
        <v/>
      </c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6"/>
        <v/>
      </c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6"/>
        <v/>
      </c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6"/>
        <v/>
      </c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6"/>
        <v/>
      </c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6"/>
        <v/>
      </c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6"/>
        <v/>
      </c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6"/>
        <v/>
      </c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6"/>
        <v/>
      </c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6"/>
        <v/>
      </c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6"/>
        <v/>
      </c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6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6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6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6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6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M39:N39"/>
    <mergeCell ref="M43:N43"/>
    <mergeCell ref="M47:N47"/>
    <mergeCell ref="J1:K1"/>
    <mergeCell ref="L1:L2"/>
    <mergeCell ref="M19:N19"/>
    <mergeCell ref="M23:N23"/>
    <mergeCell ref="M27:N27"/>
    <mergeCell ref="M31:N31"/>
    <mergeCell ref="M35:N35"/>
    <mergeCell ref="R1:R2"/>
    <mergeCell ref="M3:N3"/>
    <mergeCell ref="M7:N7"/>
    <mergeCell ref="M11:N11"/>
    <mergeCell ref="M15:N15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5.453125" customWidth="1"/>
    <col min="3" max="3" width="14.453125" customWidth="1"/>
    <col min="4" max="4" width="7.453125" customWidth="1"/>
    <col min="5" max="5" width="10.453125" customWidth="1"/>
    <col min="6" max="6" width="5.81640625" customWidth="1"/>
    <col min="7" max="7" width="6.54296875" customWidth="1"/>
    <col min="8" max="9" width="13.453125" customWidth="1"/>
    <col min="10" max="10" width="6.1796875" customWidth="1"/>
    <col min="11" max="11" width="2.54296875" customWidth="1"/>
    <col min="12" max="12" width="10.81640625" customWidth="1"/>
    <col min="13" max="13" width="20.81640625" customWidth="1"/>
    <col min="14" max="14" width="11.54296875" customWidth="1"/>
    <col min="15" max="17" width="28" customWidth="1"/>
    <col min="18" max="18" width="10.54296875" customWidth="1"/>
    <col min="19" max="21" width="8.81640625" customWidth="1"/>
    <col min="22" max="26" width="28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77"/>
      <c r="K1" s="870"/>
      <c r="L1" s="878" t="s">
        <v>10</v>
      </c>
      <c r="M1" s="601" t="s">
        <v>11</v>
      </c>
      <c r="N1" s="602">
        <f>COUNTIF(I3:I289,"&gt;0")</f>
        <v>46</v>
      </c>
      <c r="O1" s="603"/>
      <c r="P1" s="603"/>
      <c r="Q1" s="603"/>
      <c r="R1" s="875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21533.22</v>
      </c>
      <c r="J2" s="462">
        <f>SUM(J3:J1000)</f>
        <v>64.710000000000008</v>
      </c>
      <c r="K2" s="463" t="s">
        <v>9</v>
      </c>
      <c r="L2" s="870"/>
      <c r="M2" s="607" t="s">
        <v>18</v>
      </c>
      <c r="N2" s="608">
        <f>COUNTIF(I3:I289,"&lt;0")</f>
        <v>5</v>
      </c>
      <c r="O2" s="609"/>
      <c r="P2" s="609"/>
      <c r="Q2" s="609"/>
      <c r="R2" s="870"/>
      <c r="S2" s="610"/>
      <c r="T2" s="609"/>
      <c r="U2" s="609"/>
      <c r="V2" s="20"/>
      <c r="W2" s="20"/>
      <c r="X2" s="20"/>
      <c r="Y2" s="20"/>
      <c r="Z2" s="20"/>
    </row>
    <row r="3" spans="1:26" ht="14.5">
      <c r="A3" s="684">
        <v>43115</v>
      </c>
      <c r="B3" s="685" t="s">
        <v>47</v>
      </c>
      <c r="C3" s="686" t="s">
        <v>69</v>
      </c>
      <c r="D3" s="686" t="s">
        <v>129</v>
      </c>
      <c r="E3" s="686" t="s">
        <v>71</v>
      </c>
      <c r="F3" s="687">
        <v>2100</v>
      </c>
      <c r="G3" s="688">
        <v>10.75</v>
      </c>
      <c r="H3" s="688">
        <v>0</v>
      </c>
      <c r="I3" s="689">
        <v>0</v>
      </c>
      <c r="J3" s="690">
        <v>0</v>
      </c>
      <c r="K3" s="686" t="s">
        <v>9</v>
      </c>
      <c r="L3" s="689">
        <f t="shared" ref="L3:L66" si="0">IF(B3="Compra",(F3*G3)+10+(F3*G3*0.000325),"")</f>
        <v>22592.336875000001</v>
      </c>
      <c r="M3" s="876" t="s">
        <v>19</v>
      </c>
      <c r="N3" s="870"/>
      <c r="O3" s="611"/>
      <c r="P3" s="611"/>
      <c r="Q3" s="611"/>
      <c r="R3" s="691"/>
      <c r="S3" s="674"/>
      <c r="T3" s="611"/>
      <c r="U3" s="611"/>
      <c r="V3" s="88"/>
      <c r="W3" s="88"/>
      <c r="X3" s="88"/>
      <c r="Y3" s="88"/>
      <c r="Z3" s="88"/>
    </row>
    <row r="4" spans="1:26" ht="14.5">
      <c r="A4" s="684">
        <v>43116</v>
      </c>
      <c r="B4" s="685" t="s">
        <v>48</v>
      </c>
      <c r="C4" s="686" t="s">
        <v>69</v>
      </c>
      <c r="D4" s="686" t="s">
        <v>129</v>
      </c>
      <c r="E4" s="686" t="s">
        <v>71</v>
      </c>
      <c r="F4" s="687">
        <v>2100</v>
      </c>
      <c r="G4" s="688">
        <v>10.92</v>
      </c>
      <c r="H4" s="688">
        <v>10.76</v>
      </c>
      <c r="I4" s="689">
        <v>343.2</v>
      </c>
      <c r="J4" s="690">
        <v>1.51</v>
      </c>
      <c r="K4" s="686" t="s">
        <v>9</v>
      </c>
      <c r="L4" s="689" t="str">
        <f t="shared" si="0"/>
        <v/>
      </c>
      <c r="M4" s="465" t="s">
        <v>21</v>
      </c>
      <c r="N4" s="466">
        <f>IFERROR(AVERAGE(L3:L8),0)</f>
        <v>22504.975158333331</v>
      </c>
      <c r="O4" s="611"/>
      <c r="P4" s="611"/>
      <c r="Q4" s="611"/>
      <c r="R4" s="691"/>
      <c r="S4" s="674"/>
      <c r="T4" s="611"/>
      <c r="U4" s="611"/>
      <c r="V4" s="88"/>
      <c r="W4" s="88"/>
      <c r="X4" s="88"/>
      <c r="Y4" s="88"/>
      <c r="Z4" s="88"/>
    </row>
    <row r="5" spans="1:26" ht="14.5">
      <c r="A5" s="635">
        <v>43116</v>
      </c>
      <c r="B5" s="636" t="s">
        <v>47</v>
      </c>
      <c r="C5" s="637" t="s">
        <v>69</v>
      </c>
      <c r="D5" s="638" t="s">
        <v>132</v>
      </c>
      <c r="E5" s="637" t="s">
        <v>71</v>
      </c>
      <c r="F5" s="638">
        <v>2000</v>
      </c>
      <c r="G5" s="639">
        <v>11.02</v>
      </c>
      <c r="H5" s="639">
        <v>0</v>
      </c>
      <c r="I5" s="640">
        <v>0</v>
      </c>
      <c r="J5" s="641">
        <v>0</v>
      </c>
      <c r="K5" s="637" t="s">
        <v>9</v>
      </c>
      <c r="L5" s="640">
        <f t="shared" si="0"/>
        <v>22057.163</v>
      </c>
      <c r="M5" s="620" t="s">
        <v>24</v>
      </c>
      <c r="N5" s="467">
        <f>SUM(I3:I8)</f>
        <v>671.89</v>
      </c>
      <c r="O5" s="611"/>
      <c r="P5" s="611"/>
      <c r="Q5" s="611"/>
      <c r="R5" s="691"/>
      <c r="S5" s="674"/>
      <c r="T5" s="611"/>
      <c r="U5" s="611"/>
      <c r="V5" s="88"/>
      <c r="W5" s="88"/>
      <c r="X5" s="88"/>
      <c r="Y5" s="88"/>
      <c r="Z5" s="88"/>
    </row>
    <row r="6" spans="1:26" ht="14.5">
      <c r="A6" s="635">
        <v>43117</v>
      </c>
      <c r="B6" s="636" t="s">
        <v>48</v>
      </c>
      <c r="C6" s="637" t="s">
        <v>69</v>
      </c>
      <c r="D6" s="638" t="s">
        <v>132</v>
      </c>
      <c r="E6" s="637" t="s">
        <v>71</v>
      </c>
      <c r="F6" s="638">
        <v>2000</v>
      </c>
      <c r="G6" s="639">
        <v>11.02</v>
      </c>
      <c r="H6" s="639">
        <v>11.03</v>
      </c>
      <c r="I6" s="640">
        <v>-14.33</v>
      </c>
      <c r="J6" s="641">
        <v>-0.06</v>
      </c>
      <c r="K6" s="637" t="s">
        <v>9</v>
      </c>
      <c r="L6" s="640" t="str">
        <f t="shared" si="0"/>
        <v/>
      </c>
      <c r="M6" s="692" t="s">
        <v>102</v>
      </c>
      <c r="N6" s="522">
        <v>0</v>
      </c>
      <c r="O6" s="611"/>
      <c r="P6" s="611"/>
      <c r="Q6" s="611"/>
      <c r="R6" s="691"/>
      <c r="S6" s="674"/>
      <c r="T6" s="611"/>
      <c r="U6" s="611"/>
      <c r="V6" s="88"/>
      <c r="W6" s="88"/>
      <c r="X6" s="88"/>
      <c r="Y6" s="88"/>
      <c r="Z6" s="88"/>
    </row>
    <row r="7" spans="1:26" ht="14.5">
      <c r="A7" s="684">
        <v>43117</v>
      </c>
      <c r="B7" s="685" t="s">
        <v>47</v>
      </c>
      <c r="C7" s="686" t="s">
        <v>69</v>
      </c>
      <c r="D7" s="686" t="s">
        <v>129</v>
      </c>
      <c r="E7" s="686" t="s">
        <v>71</v>
      </c>
      <c r="F7" s="687">
        <v>2100</v>
      </c>
      <c r="G7" s="688">
        <v>10.88</v>
      </c>
      <c r="H7" s="688">
        <v>0</v>
      </c>
      <c r="I7" s="689">
        <v>0</v>
      </c>
      <c r="J7" s="690">
        <v>0</v>
      </c>
      <c r="K7" s="686" t="s">
        <v>9</v>
      </c>
      <c r="L7" s="689">
        <f t="shared" si="0"/>
        <v>22865.425599999999</v>
      </c>
      <c r="M7" s="523" t="s">
        <v>126</v>
      </c>
      <c r="N7" s="524">
        <f>SUM(J3:J8)/100</f>
        <v>2.9500000000000002E-2</v>
      </c>
      <c r="O7" s="611"/>
      <c r="P7" s="611"/>
      <c r="Q7" s="611"/>
      <c r="R7" s="691"/>
      <c r="S7" s="674"/>
      <c r="T7" s="611"/>
      <c r="U7" s="611"/>
      <c r="V7" s="88"/>
      <c r="W7" s="88"/>
      <c r="X7" s="88"/>
      <c r="Y7" s="88"/>
      <c r="Z7" s="88"/>
    </row>
    <row r="8" spans="1:26" ht="14.5">
      <c r="A8" s="525">
        <v>43131</v>
      </c>
      <c r="B8" s="526" t="s">
        <v>48</v>
      </c>
      <c r="C8" s="527" t="s">
        <v>69</v>
      </c>
      <c r="D8" s="527" t="s">
        <v>129</v>
      </c>
      <c r="E8" s="527" t="s">
        <v>71</v>
      </c>
      <c r="F8" s="528">
        <v>2100</v>
      </c>
      <c r="G8" s="529">
        <v>11.05</v>
      </c>
      <c r="H8" s="529">
        <v>10.89</v>
      </c>
      <c r="I8" s="530">
        <v>343.02</v>
      </c>
      <c r="J8" s="531">
        <v>1.5</v>
      </c>
      <c r="K8" s="527" t="s">
        <v>9</v>
      </c>
      <c r="L8" s="532" t="str">
        <f t="shared" si="0"/>
        <v/>
      </c>
      <c r="M8" s="876" t="s">
        <v>35</v>
      </c>
      <c r="N8" s="870"/>
      <c r="O8" s="611"/>
      <c r="P8" s="611"/>
      <c r="Q8" s="611"/>
      <c r="R8" s="691"/>
      <c r="S8" s="674"/>
      <c r="T8" s="611"/>
      <c r="U8" s="611"/>
      <c r="V8" s="88"/>
      <c r="W8" s="88"/>
      <c r="X8" s="88"/>
      <c r="Y8" s="88"/>
      <c r="Z8" s="88"/>
    </row>
    <row r="9" spans="1:26" ht="14.5">
      <c r="A9" s="684">
        <v>43138</v>
      </c>
      <c r="B9" s="685" t="s">
        <v>47</v>
      </c>
      <c r="C9" s="686" t="s">
        <v>69</v>
      </c>
      <c r="D9" s="686" t="s">
        <v>129</v>
      </c>
      <c r="E9" s="686" t="s">
        <v>71</v>
      </c>
      <c r="F9" s="687">
        <v>2100</v>
      </c>
      <c r="G9" s="688">
        <v>10.16</v>
      </c>
      <c r="H9" s="688">
        <v>0</v>
      </c>
      <c r="I9" s="689">
        <v>0</v>
      </c>
      <c r="J9" s="690">
        <v>0</v>
      </c>
      <c r="K9" s="686" t="s">
        <v>9</v>
      </c>
      <c r="L9" s="689">
        <f t="shared" si="0"/>
        <v>21352.9342</v>
      </c>
      <c r="M9" s="465" t="s">
        <v>21</v>
      </c>
      <c r="N9" s="466">
        <f>IFERROR(AVERAGE(L9:L26),0)</f>
        <v>16125.346897222222</v>
      </c>
      <c r="O9" s="611"/>
      <c r="P9" s="611"/>
      <c r="Q9" s="611"/>
      <c r="R9" s="691"/>
      <c r="S9" s="674"/>
      <c r="T9" s="611"/>
      <c r="U9" s="611"/>
      <c r="V9" s="88"/>
      <c r="W9" s="88"/>
      <c r="X9" s="88"/>
      <c r="Y9" s="88"/>
      <c r="Z9" s="88"/>
    </row>
    <row r="10" spans="1:26" ht="14.5">
      <c r="A10" s="684">
        <v>43139</v>
      </c>
      <c r="B10" s="685" t="s">
        <v>48</v>
      </c>
      <c r="C10" s="686" t="s">
        <v>69</v>
      </c>
      <c r="D10" s="686" t="s">
        <v>129</v>
      </c>
      <c r="E10" s="686" t="s">
        <v>71</v>
      </c>
      <c r="F10" s="687">
        <v>2100</v>
      </c>
      <c r="G10" s="688">
        <v>10.32</v>
      </c>
      <c r="H10" s="688">
        <v>10.17</v>
      </c>
      <c r="I10" s="689">
        <v>323.04000000000002</v>
      </c>
      <c r="J10" s="690">
        <v>1.51</v>
      </c>
      <c r="K10" s="686" t="s">
        <v>9</v>
      </c>
      <c r="L10" s="689" t="str">
        <f t="shared" si="0"/>
        <v/>
      </c>
      <c r="M10" s="620" t="s">
        <v>24</v>
      </c>
      <c r="N10" s="467">
        <f>SUM(I9:I26)</f>
        <v>1975.2300000000002</v>
      </c>
      <c r="O10" s="611"/>
      <c r="P10" s="611"/>
      <c r="Q10" s="611"/>
      <c r="R10" s="691"/>
      <c r="S10" s="674"/>
      <c r="T10" s="611"/>
      <c r="U10" s="611"/>
      <c r="V10" s="88"/>
      <c r="W10" s="88"/>
      <c r="X10" s="88"/>
      <c r="Y10" s="88"/>
      <c r="Z10" s="88"/>
    </row>
    <row r="11" spans="1:26" ht="14.5">
      <c r="A11" s="665">
        <v>43139</v>
      </c>
      <c r="B11" s="666" t="s">
        <v>47</v>
      </c>
      <c r="C11" s="667" t="s">
        <v>69</v>
      </c>
      <c r="D11" s="668" t="s">
        <v>115</v>
      </c>
      <c r="E11" s="667" t="s">
        <v>71</v>
      </c>
      <c r="F11" s="668">
        <v>1200</v>
      </c>
      <c r="G11" s="669">
        <v>17.21</v>
      </c>
      <c r="H11" s="669">
        <v>0</v>
      </c>
      <c r="I11" s="670">
        <v>0</v>
      </c>
      <c r="J11" s="671">
        <v>0</v>
      </c>
      <c r="K11" s="667" t="s">
        <v>9</v>
      </c>
      <c r="L11" s="670">
        <f t="shared" si="0"/>
        <v>20668.711899999998</v>
      </c>
      <c r="M11" s="692" t="s">
        <v>102</v>
      </c>
      <c r="N11" s="522">
        <v>0</v>
      </c>
      <c r="O11" s="611"/>
      <c r="P11" s="611"/>
      <c r="Q11" s="611"/>
      <c r="R11" s="691"/>
      <c r="S11" s="674"/>
      <c r="T11" s="611"/>
      <c r="U11" s="611"/>
      <c r="V11" s="88"/>
      <c r="W11" s="88"/>
      <c r="X11" s="88"/>
      <c r="Y11" s="88"/>
      <c r="Z11" s="88"/>
    </row>
    <row r="12" spans="1:26" ht="14.5">
      <c r="A12" s="665">
        <v>43140</v>
      </c>
      <c r="B12" s="666" t="s">
        <v>48</v>
      </c>
      <c r="C12" s="667" t="s">
        <v>69</v>
      </c>
      <c r="D12" s="668" t="s">
        <v>115</v>
      </c>
      <c r="E12" s="667" t="s">
        <v>71</v>
      </c>
      <c r="F12" s="668">
        <v>1200</v>
      </c>
      <c r="G12" s="669">
        <v>17.21</v>
      </c>
      <c r="H12" s="669">
        <v>17.21</v>
      </c>
      <c r="I12" s="670">
        <v>2.59</v>
      </c>
      <c r="J12" s="671">
        <v>0.01</v>
      </c>
      <c r="K12" s="667" t="s">
        <v>9</v>
      </c>
      <c r="L12" s="670" t="str">
        <f t="shared" si="0"/>
        <v/>
      </c>
      <c r="M12" s="523" t="s">
        <v>126</v>
      </c>
      <c r="N12" s="524">
        <f>SUM(J9:J26)/100</f>
        <v>0.1157</v>
      </c>
      <c r="O12" s="611"/>
      <c r="P12" s="611"/>
      <c r="Q12" s="611"/>
      <c r="R12" s="691"/>
      <c r="S12" s="674"/>
      <c r="T12" s="611"/>
      <c r="U12" s="611"/>
      <c r="V12" s="88"/>
      <c r="W12" s="88"/>
      <c r="X12" s="88"/>
      <c r="Y12" s="88"/>
      <c r="Z12" s="88"/>
    </row>
    <row r="13" spans="1:26" ht="14.5">
      <c r="A13" s="684">
        <v>43140</v>
      </c>
      <c r="B13" s="685" t="s">
        <v>47</v>
      </c>
      <c r="C13" s="686" t="s">
        <v>69</v>
      </c>
      <c r="D13" s="686" t="s">
        <v>129</v>
      </c>
      <c r="E13" s="686" t="s">
        <v>71</v>
      </c>
      <c r="F13" s="687">
        <v>2100</v>
      </c>
      <c r="G13" s="688">
        <v>9.64</v>
      </c>
      <c r="H13" s="688">
        <v>0</v>
      </c>
      <c r="I13" s="689">
        <v>0</v>
      </c>
      <c r="J13" s="690">
        <v>0</v>
      </c>
      <c r="K13" s="686" t="s">
        <v>9</v>
      </c>
      <c r="L13" s="689">
        <f t="shared" si="0"/>
        <v>20260.579300000001</v>
      </c>
      <c r="M13" s="876" t="s">
        <v>36</v>
      </c>
      <c r="N13" s="870"/>
      <c r="O13" s="611"/>
      <c r="P13" s="611"/>
      <c r="Q13" s="611"/>
      <c r="R13" s="691"/>
      <c r="S13" s="674"/>
      <c r="T13" s="611"/>
      <c r="U13" s="611"/>
      <c r="V13" s="88"/>
      <c r="W13" s="88"/>
      <c r="X13" s="88"/>
      <c r="Y13" s="88"/>
      <c r="Z13" s="88"/>
    </row>
    <row r="14" spans="1:26" ht="14.5">
      <c r="A14" s="684">
        <v>43145</v>
      </c>
      <c r="B14" s="685" t="s">
        <v>48</v>
      </c>
      <c r="C14" s="686" t="s">
        <v>69</v>
      </c>
      <c r="D14" s="686" t="s">
        <v>129</v>
      </c>
      <c r="E14" s="686" t="s">
        <v>71</v>
      </c>
      <c r="F14" s="687">
        <v>2100</v>
      </c>
      <c r="G14" s="688">
        <v>10.14</v>
      </c>
      <c r="H14" s="688">
        <v>9.65</v>
      </c>
      <c r="I14" s="689">
        <v>1037.52</v>
      </c>
      <c r="J14" s="690">
        <v>5.12</v>
      </c>
      <c r="K14" s="686" t="s">
        <v>9</v>
      </c>
      <c r="L14" s="689" t="str">
        <f t="shared" si="0"/>
        <v/>
      </c>
      <c r="M14" s="465" t="s">
        <v>21</v>
      </c>
      <c r="N14" s="466">
        <f>IFERROR(AVERAGE(L27:L36),0)</f>
        <v>19467.921769999997</v>
      </c>
      <c r="O14" s="611"/>
      <c r="P14" s="611"/>
      <c r="Q14" s="611"/>
      <c r="R14" s="691"/>
      <c r="S14" s="674"/>
      <c r="T14" s="611"/>
      <c r="U14" s="611"/>
      <c r="V14" s="88"/>
      <c r="W14" s="88"/>
      <c r="X14" s="88"/>
      <c r="Y14" s="88"/>
      <c r="Z14" s="88"/>
    </row>
    <row r="15" spans="1:26" ht="14.5">
      <c r="A15" s="684">
        <v>43147</v>
      </c>
      <c r="B15" s="685" t="s">
        <v>47</v>
      </c>
      <c r="C15" s="686" t="s">
        <v>69</v>
      </c>
      <c r="D15" s="686" t="s">
        <v>129</v>
      </c>
      <c r="E15" s="686" t="s">
        <v>71</v>
      </c>
      <c r="F15" s="687">
        <v>1000</v>
      </c>
      <c r="G15" s="688">
        <v>10.64</v>
      </c>
      <c r="H15" s="688">
        <v>0</v>
      </c>
      <c r="I15" s="689">
        <v>0</v>
      </c>
      <c r="J15" s="690">
        <v>0</v>
      </c>
      <c r="K15" s="686" t="s">
        <v>9</v>
      </c>
      <c r="L15" s="689">
        <f t="shared" si="0"/>
        <v>10653.458000000001</v>
      </c>
      <c r="M15" s="620" t="s">
        <v>24</v>
      </c>
      <c r="N15" s="467">
        <f>SUM(I27:I36)</f>
        <v>-1090.2799999999993</v>
      </c>
      <c r="O15" s="611"/>
      <c r="P15" s="611"/>
      <c r="Q15" s="611"/>
      <c r="R15" s="691"/>
      <c r="S15" s="674"/>
      <c r="T15" s="611"/>
      <c r="U15" s="611"/>
      <c r="V15" s="88"/>
      <c r="W15" s="88"/>
      <c r="X15" s="88"/>
      <c r="Y15" s="88"/>
      <c r="Z15" s="88"/>
    </row>
    <row r="16" spans="1:26" ht="14.5">
      <c r="A16" s="684">
        <v>43150</v>
      </c>
      <c r="B16" s="685" t="s">
        <v>48</v>
      </c>
      <c r="C16" s="686" t="s">
        <v>69</v>
      </c>
      <c r="D16" s="686" t="s">
        <v>129</v>
      </c>
      <c r="E16" s="686" t="s">
        <v>71</v>
      </c>
      <c r="F16" s="687">
        <v>1000</v>
      </c>
      <c r="G16" s="688">
        <v>10.77</v>
      </c>
      <c r="H16" s="688">
        <v>10.64</v>
      </c>
      <c r="I16" s="689">
        <v>133.05000000000001</v>
      </c>
      <c r="J16" s="690">
        <v>1.25</v>
      </c>
      <c r="K16" s="686" t="s">
        <v>9</v>
      </c>
      <c r="L16" s="689" t="str">
        <f t="shared" si="0"/>
        <v/>
      </c>
      <c r="M16" s="692" t="s">
        <v>102</v>
      </c>
      <c r="N16" s="522">
        <v>0</v>
      </c>
      <c r="O16" s="611"/>
      <c r="P16" s="611"/>
      <c r="Q16" s="611"/>
      <c r="R16" s="691"/>
      <c r="S16" s="674"/>
      <c r="T16" s="611"/>
      <c r="U16" s="611"/>
      <c r="V16" s="88"/>
      <c r="W16" s="88"/>
      <c r="X16" s="88"/>
      <c r="Y16" s="88"/>
      <c r="Z16" s="88"/>
    </row>
    <row r="17" spans="1:26" ht="14.5">
      <c r="A17" s="693">
        <v>43151</v>
      </c>
      <c r="B17" s="694" t="s">
        <v>47</v>
      </c>
      <c r="C17" s="695" t="s">
        <v>69</v>
      </c>
      <c r="D17" s="695" t="s">
        <v>111</v>
      </c>
      <c r="E17" s="695" t="s">
        <v>71</v>
      </c>
      <c r="F17" s="696">
        <v>700</v>
      </c>
      <c r="G17" s="697">
        <v>16.07</v>
      </c>
      <c r="H17" s="697">
        <v>0</v>
      </c>
      <c r="I17" s="698">
        <v>0</v>
      </c>
      <c r="J17" s="699">
        <v>0</v>
      </c>
      <c r="K17" s="695" t="s">
        <v>9</v>
      </c>
      <c r="L17" s="698">
        <f t="shared" si="0"/>
        <v>11262.655924999999</v>
      </c>
      <c r="M17" s="523" t="s">
        <v>126</v>
      </c>
      <c r="N17" s="524">
        <f>SUM(J27:J36)/100</f>
        <v>-5.630000000000001E-2</v>
      </c>
      <c r="O17" s="611"/>
      <c r="P17" s="611"/>
      <c r="Q17" s="611"/>
      <c r="R17" s="691"/>
      <c r="S17" s="674"/>
      <c r="T17" s="611"/>
      <c r="U17" s="611"/>
      <c r="V17" s="88"/>
      <c r="W17" s="88"/>
      <c r="X17" s="88"/>
      <c r="Y17" s="88"/>
      <c r="Z17" s="88"/>
    </row>
    <row r="18" spans="1:26" ht="14.5">
      <c r="A18" s="693">
        <v>43152</v>
      </c>
      <c r="B18" s="694" t="s">
        <v>48</v>
      </c>
      <c r="C18" s="695" t="s">
        <v>69</v>
      </c>
      <c r="D18" s="695" t="s">
        <v>111</v>
      </c>
      <c r="E18" s="695" t="s">
        <v>71</v>
      </c>
      <c r="F18" s="696">
        <v>700</v>
      </c>
      <c r="G18" s="697">
        <v>16.39</v>
      </c>
      <c r="H18" s="697">
        <v>16.079999999999998</v>
      </c>
      <c r="I18" s="698">
        <v>217.62</v>
      </c>
      <c r="J18" s="699">
        <v>1.93</v>
      </c>
      <c r="K18" s="695" t="s">
        <v>9</v>
      </c>
      <c r="L18" s="698" t="str">
        <f t="shared" si="0"/>
        <v/>
      </c>
      <c r="M18" s="876" t="s">
        <v>37</v>
      </c>
      <c r="N18" s="870"/>
      <c r="O18" s="611"/>
      <c r="P18" s="611"/>
      <c r="Q18" s="611"/>
      <c r="R18" s="691"/>
      <c r="S18" s="674"/>
      <c r="T18" s="611"/>
      <c r="U18" s="611"/>
      <c r="V18" s="88"/>
      <c r="W18" s="88"/>
      <c r="X18" s="88"/>
      <c r="Y18" s="88"/>
      <c r="Z18" s="88"/>
    </row>
    <row r="19" spans="1:26" ht="14.5">
      <c r="A19" s="700">
        <v>43152</v>
      </c>
      <c r="B19" s="701" t="s">
        <v>47</v>
      </c>
      <c r="C19" s="702" t="s">
        <v>69</v>
      </c>
      <c r="D19" s="702" t="s">
        <v>133</v>
      </c>
      <c r="E19" s="702" t="s">
        <v>71</v>
      </c>
      <c r="F19" s="703">
        <v>2000</v>
      </c>
      <c r="G19" s="704">
        <v>7.86</v>
      </c>
      <c r="H19" s="704">
        <v>0</v>
      </c>
      <c r="I19" s="705">
        <v>0</v>
      </c>
      <c r="J19" s="706">
        <v>0</v>
      </c>
      <c r="K19" s="702" t="s">
        <v>9</v>
      </c>
      <c r="L19" s="705">
        <f t="shared" si="0"/>
        <v>15735.109</v>
      </c>
      <c r="M19" s="465" t="s">
        <v>21</v>
      </c>
      <c r="N19" s="466">
        <f>IFERROR(AVERAGE(L37:L45),0)</f>
        <v>19772.020570000001</v>
      </c>
      <c r="O19" s="611"/>
      <c r="P19" s="611"/>
      <c r="Q19" s="611"/>
      <c r="R19" s="691"/>
      <c r="S19" s="674"/>
      <c r="T19" s="611"/>
      <c r="U19" s="611"/>
      <c r="V19" s="88"/>
      <c r="W19" s="88"/>
      <c r="X19" s="88"/>
      <c r="Y19" s="88"/>
      <c r="Z19" s="88"/>
    </row>
    <row r="20" spans="1:26" ht="14.5">
      <c r="A20" s="700">
        <v>43153</v>
      </c>
      <c r="B20" s="701" t="s">
        <v>48</v>
      </c>
      <c r="C20" s="702" t="s">
        <v>69</v>
      </c>
      <c r="D20" s="702" t="s">
        <v>133</v>
      </c>
      <c r="E20" s="702" t="s">
        <v>134</v>
      </c>
      <c r="F20" s="703">
        <v>2000</v>
      </c>
      <c r="G20" s="704">
        <v>7.91</v>
      </c>
      <c r="H20" s="704">
        <v>7.87</v>
      </c>
      <c r="I20" s="705">
        <v>89.76</v>
      </c>
      <c r="J20" s="706">
        <v>0.56999999999999995</v>
      </c>
      <c r="K20" s="702" t="s">
        <v>9</v>
      </c>
      <c r="L20" s="705" t="str">
        <f t="shared" si="0"/>
        <v/>
      </c>
      <c r="M20" s="620" t="s">
        <v>24</v>
      </c>
      <c r="N20" s="467">
        <f>SUM(I37:I45)</f>
        <v>793.32</v>
      </c>
      <c r="O20" s="611"/>
      <c r="P20" s="611"/>
      <c r="Q20" s="611"/>
      <c r="R20" s="691"/>
      <c r="S20" s="674"/>
      <c r="T20" s="611"/>
      <c r="U20" s="611"/>
      <c r="V20" s="88"/>
      <c r="W20" s="88"/>
      <c r="X20" s="88"/>
      <c r="Y20" s="88"/>
      <c r="Z20" s="88"/>
    </row>
    <row r="21" spans="1:26" ht="14.5">
      <c r="A21" s="635">
        <v>43154</v>
      </c>
      <c r="B21" s="636" t="s">
        <v>47</v>
      </c>
      <c r="C21" s="637" t="s">
        <v>69</v>
      </c>
      <c r="D21" s="638" t="s">
        <v>132</v>
      </c>
      <c r="E21" s="637" t="s">
        <v>71</v>
      </c>
      <c r="F21" s="638">
        <v>1200</v>
      </c>
      <c r="G21" s="639">
        <v>12.18</v>
      </c>
      <c r="H21" s="639">
        <v>0</v>
      </c>
      <c r="I21" s="640">
        <v>0</v>
      </c>
      <c r="J21" s="641">
        <v>0</v>
      </c>
      <c r="K21" s="637" t="s">
        <v>9</v>
      </c>
      <c r="L21" s="640">
        <f t="shared" si="0"/>
        <v>14630.7502</v>
      </c>
      <c r="M21" s="692" t="s">
        <v>102</v>
      </c>
      <c r="N21" s="522">
        <v>0</v>
      </c>
      <c r="O21" s="611"/>
      <c r="P21" s="611"/>
      <c r="Q21" s="611"/>
      <c r="R21" s="691"/>
      <c r="S21" s="674"/>
      <c r="T21" s="611"/>
      <c r="U21" s="611"/>
      <c r="V21" s="88"/>
      <c r="W21" s="88"/>
      <c r="X21" s="88"/>
      <c r="Y21" s="88"/>
      <c r="Z21" s="88"/>
    </row>
    <row r="22" spans="1:26" ht="14.5">
      <c r="A22" s="635">
        <v>43157</v>
      </c>
      <c r="B22" s="636" t="s">
        <v>48</v>
      </c>
      <c r="C22" s="637" t="s">
        <v>69</v>
      </c>
      <c r="D22" s="638" t="s">
        <v>132</v>
      </c>
      <c r="E22" s="637" t="s">
        <v>71</v>
      </c>
      <c r="F22" s="638">
        <v>1200</v>
      </c>
      <c r="G22" s="639">
        <v>12.37</v>
      </c>
      <c r="H22" s="639">
        <v>12.18</v>
      </c>
      <c r="I22" s="640">
        <v>234.44</v>
      </c>
      <c r="J22" s="641">
        <v>1.6</v>
      </c>
      <c r="K22" s="637" t="s">
        <v>9</v>
      </c>
      <c r="L22" s="640" t="str">
        <f t="shared" si="0"/>
        <v/>
      </c>
      <c r="M22" s="523" t="s">
        <v>126</v>
      </c>
      <c r="N22" s="524">
        <f>SUM(J37:J45)/100</f>
        <v>4.1200000000000007E-2</v>
      </c>
      <c r="O22" s="611"/>
      <c r="P22" s="611"/>
      <c r="Q22" s="611"/>
      <c r="R22" s="691"/>
      <c r="S22" s="674"/>
      <c r="T22" s="611"/>
      <c r="U22" s="611"/>
      <c r="V22" s="88"/>
      <c r="W22" s="88"/>
      <c r="X22" s="88"/>
      <c r="Y22" s="88"/>
      <c r="Z22" s="88"/>
    </row>
    <row r="23" spans="1:26" ht="14.5">
      <c r="A23" s="635">
        <v>43158</v>
      </c>
      <c r="B23" s="636" t="s">
        <v>47</v>
      </c>
      <c r="C23" s="637" t="s">
        <v>69</v>
      </c>
      <c r="D23" s="638" t="s">
        <v>132</v>
      </c>
      <c r="E23" s="637" t="s">
        <v>71</v>
      </c>
      <c r="F23" s="638">
        <v>1200</v>
      </c>
      <c r="G23" s="639">
        <v>12.67</v>
      </c>
      <c r="H23" s="639">
        <v>0</v>
      </c>
      <c r="I23" s="640">
        <v>0</v>
      </c>
      <c r="J23" s="641">
        <v>0</v>
      </c>
      <c r="K23" s="637" t="s">
        <v>9</v>
      </c>
      <c r="L23" s="640">
        <f t="shared" si="0"/>
        <v>15218.9413</v>
      </c>
      <c r="M23" s="876" t="s">
        <v>38</v>
      </c>
      <c r="N23" s="870"/>
      <c r="O23" s="611"/>
      <c r="P23" s="611"/>
      <c r="Q23" s="611"/>
      <c r="R23" s="691"/>
      <c r="S23" s="674"/>
      <c r="T23" s="611"/>
      <c r="U23" s="611"/>
      <c r="V23" s="88"/>
      <c r="W23" s="88"/>
      <c r="X23" s="88"/>
      <c r="Y23" s="88"/>
      <c r="Z23" s="88"/>
    </row>
    <row r="24" spans="1:26" ht="14.5">
      <c r="A24" s="635">
        <v>43159</v>
      </c>
      <c r="B24" s="636" t="s">
        <v>48</v>
      </c>
      <c r="C24" s="637" t="s">
        <v>69</v>
      </c>
      <c r="D24" s="638" t="s">
        <v>132</v>
      </c>
      <c r="E24" s="637" t="s">
        <v>71</v>
      </c>
      <c r="F24" s="638">
        <v>1200</v>
      </c>
      <c r="G24" s="639">
        <v>12.55</v>
      </c>
      <c r="H24" s="639">
        <v>12.67</v>
      </c>
      <c r="I24" s="640">
        <v>-137.81</v>
      </c>
      <c r="J24" s="641">
        <v>-0.9</v>
      </c>
      <c r="K24" s="637" t="s">
        <v>9</v>
      </c>
      <c r="L24" s="640" t="str">
        <f t="shared" si="0"/>
        <v/>
      </c>
      <c r="M24" s="465" t="s">
        <v>21</v>
      </c>
      <c r="N24" s="466">
        <f>IFERROR(AVERAGE(L46:L51),0)</f>
        <v>38271.097483333338</v>
      </c>
      <c r="O24" s="611"/>
      <c r="P24" s="611"/>
      <c r="Q24" s="611"/>
      <c r="R24" s="691"/>
      <c r="S24" s="674"/>
      <c r="T24" s="611"/>
      <c r="U24" s="611"/>
      <c r="V24" s="88"/>
      <c r="W24" s="88"/>
      <c r="X24" s="88"/>
      <c r="Y24" s="88"/>
      <c r="Z24" s="88"/>
    </row>
    <row r="25" spans="1:26" ht="14.5">
      <c r="A25" s="684">
        <v>43159</v>
      </c>
      <c r="B25" s="685" t="s">
        <v>47</v>
      </c>
      <c r="C25" s="686" t="s">
        <v>69</v>
      </c>
      <c r="D25" s="686" t="s">
        <v>129</v>
      </c>
      <c r="E25" s="686" t="s">
        <v>71</v>
      </c>
      <c r="F25" s="687">
        <v>1500</v>
      </c>
      <c r="G25" s="688">
        <v>10.220000000000001</v>
      </c>
      <c r="H25" s="688">
        <v>0</v>
      </c>
      <c r="I25" s="689">
        <v>0</v>
      </c>
      <c r="J25" s="690">
        <v>0</v>
      </c>
      <c r="K25" s="686" t="s">
        <v>9</v>
      </c>
      <c r="L25" s="689">
        <f t="shared" si="0"/>
        <v>15344.982250000001</v>
      </c>
      <c r="M25" s="620" t="s">
        <v>24</v>
      </c>
      <c r="N25" s="467">
        <f>SUM(I46:I51)</f>
        <v>1598.95</v>
      </c>
      <c r="O25" s="611"/>
      <c r="P25" s="611"/>
      <c r="Q25" s="611"/>
      <c r="R25" s="691"/>
      <c r="S25" s="674"/>
      <c r="T25" s="611"/>
      <c r="U25" s="611"/>
      <c r="V25" s="88"/>
      <c r="W25" s="88"/>
      <c r="X25" s="88"/>
      <c r="Y25" s="88"/>
      <c r="Z25" s="88"/>
    </row>
    <row r="26" spans="1:26" ht="14.5">
      <c r="A26" s="525">
        <v>43160</v>
      </c>
      <c r="B26" s="526" t="s">
        <v>48</v>
      </c>
      <c r="C26" s="527" t="s">
        <v>69</v>
      </c>
      <c r="D26" s="527" t="s">
        <v>129</v>
      </c>
      <c r="E26" s="527" t="s">
        <v>71</v>
      </c>
      <c r="F26" s="528">
        <v>1500</v>
      </c>
      <c r="G26" s="529">
        <v>10.27</v>
      </c>
      <c r="H26" s="529">
        <v>10.23</v>
      </c>
      <c r="I26" s="530">
        <v>75.019999999999982</v>
      </c>
      <c r="J26" s="531">
        <v>0.48</v>
      </c>
      <c r="K26" s="527" t="s">
        <v>9</v>
      </c>
      <c r="L26" s="532" t="str">
        <f t="shared" si="0"/>
        <v/>
      </c>
      <c r="M26" s="692" t="s">
        <v>102</v>
      </c>
      <c r="N26" s="522">
        <v>0</v>
      </c>
      <c r="O26" s="611"/>
      <c r="P26" s="611"/>
      <c r="Q26" s="611"/>
      <c r="R26" s="691"/>
      <c r="S26" s="674"/>
      <c r="T26" s="611"/>
      <c r="U26" s="611"/>
      <c r="V26" s="88"/>
      <c r="W26" s="88"/>
      <c r="X26" s="88"/>
      <c r="Y26" s="88"/>
      <c r="Z26" s="88"/>
    </row>
    <row r="27" spans="1:26" ht="14.5">
      <c r="A27" s="693">
        <v>43160</v>
      </c>
      <c r="B27" s="694" t="s">
        <v>47</v>
      </c>
      <c r="C27" s="695" t="s">
        <v>69</v>
      </c>
      <c r="D27" s="695" t="s">
        <v>111</v>
      </c>
      <c r="E27" s="695" t="s">
        <v>71</v>
      </c>
      <c r="F27" s="696">
        <v>1000</v>
      </c>
      <c r="G27" s="697">
        <v>17.100000000000001</v>
      </c>
      <c r="H27" s="697">
        <v>0</v>
      </c>
      <c r="I27" s="698">
        <v>0</v>
      </c>
      <c r="J27" s="699">
        <v>0</v>
      </c>
      <c r="K27" s="695" t="s">
        <v>9</v>
      </c>
      <c r="L27" s="698">
        <f t="shared" si="0"/>
        <v>17115.557499999999</v>
      </c>
      <c r="M27" s="523" t="s">
        <v>126</v>
      </c>
      <c r="N27" s="524">
        <f>SUM(J46:J51)/100</f>
        <v>6.6699999999999995E-2</v>
      </c>
      <c r="O27" s="611"/>
      <c r="P27" s="611"/>
      <c r="Q27" s="611"/>
      <c r="R27" s="691"/>
      <c r="S27" s="674"/>
      <c r="T27" s="611"/>
      <c r="U27" s="611"/>
      <c r="V27" s="88"/>
      <c r="W27" s="88"/>
      <c r="X27" s="88"/>
      <c r="Y27" s="88"/>
      <c r="Z27" s="88"/>
    </row>
    <row r="28" spans="1:26" ht="14.5">
      <c r="A28" s="693">
        <v>43165</v>
      </c>
      <c r="B28" s="694" t="s">
        <v>48</v>
      </c>
      <c r="C28" s="695" t="s">
        <v>69</v>
      </c>
      <c r="D28" s="695" t="s">
        <v>111</v>
      </c>
      <c r="E28" s="695" t="s">
        <v>71</v>
      </c>
      <c r="F28" s="696">
        <v>1000</v>
      </c>
      <c r="G28" s="697">
        <v>17.12</v>
      </c>
      <c r="H28" s="697">
        <v>17.11</v>
      </c>
      <c r="I28" s="698">
        <v>18.940000000000001</v>
      </c>
      <c r="J28" s="699">
        <v>0.11000000000000001</v>
      </c>
      <c r="K28" s="695" t="s">
        <v>9</v>
      </c>
      <c r="L28" s="698" t="str">
        <f t="shared" si="0"/>
        <v/>
      </c>
      <c r="M28" s="876" t="s">
        <v>39</v>
      </c>
      <c r="N28" s="870"/>
      <c r="O28" s="611"/>
      <c r="P28" s="611"/>
      <c r="Q28" s="611"/>
      <c r="R28" s="691"/>
      <c r="S28" s="674"/>
      <c r="T28" s="611"/>
      <c r="U28" s="611"/>
      <c r="V28" s="88"/>
      <c r="W28" s="88"/>
      <c r="X28" s="88"/>
      <c r="Y28" s="88"/>
      <c r="Z28" s="88"/>
    </row>
    <row r="29" spans="1:26" ht="14.5">
      <c r="A29" s="635">
        <v>43165</v>
      </c>
      <c r="B29" s="636" t="s">
        <v>47</v>
      </c>
      <c r="C29" s="637" t="s">
        <v>69</v>
      </c>
      <c r="D29" s="638" t="s">
        <v>132</v>
      </c>
      <c r="E29" s="637" t="s">
        <v>71</v>
      </c>
      <c r="F29" s="638">
        <v>1500</v>
      </c>
      <c r="G29" s="639">
        <v>11.56</v>
      </c>
      <c r="H29" s="639">
        <v>0</v>
      </c>
      <c r="I29" s="640">
        <v>0</v>
      </c>
      <c r="J29" s="641">
        <v>0</v>
      </c>
      <c r="K29" s="637" t="s">
        <v>9</v>
      </c>
      <c r="L29" s="640">
        <f t="shared" si="0"/>
        <v>17355.6355</v>
      </c>
      <c r="M29" s="465" t="s">
        <v>21</v>
      </c>
      <c r="N29" s="466">
        <f>IFERROR(AVERAGE(L52:L56),0)</f>
        <v>37471.170924999999</v>
      </c>
      <c r="O29" s="611"/>
      <c r="P29" s="611"/>
      <c r="Q29" s="611"/>
      <c r="R29" s="691"/>
      <c r="S29" s="674"/>
      <c r="T29" s="611"/>
      <c r="U29" s="611"/>
      <c r="V29" s="88"/>
      <c r="W29" s="88"/>
      <c r="X29" s="88"/>
      <c r="Y29" s="88"/>
      <c r="Z29" s="88"/>
    </row>
    <row r="30" spans="1:26" ht="14.5">
      <c r="A30" s="635">
        <v>43167</v>
      </c>
      <c r="B30" s="636" t="s">
        <v>48</v>
      </c>
      <c r="C30" s="637" t="s">
        <v>69</v>
      </c>
      <c r="D30" s="638" t="s">
        <v>132</v>
      </c>
      <c r="E30" s="637" t="s">
        <v>71</v>
      </c>
      <c r="F30" s="638">
        <v>1500</v>
      </c>
      <c r="G30" s="639">
        <v>11.03</v>
      </c>
      <c r="H30" s="639">
        <v>11.56</v>
      </c>
      <c r="I30" s="640">
        <v>-780.89999999999986</v>
      </c>
      <c r="J30" s="641">
        <v>-4.5</v>
      </c>
      <c r="K30" s="637" t="s">
        <v>9</v>
      </c>
      <c r="L30" s="640" t="str">
        <f t="shared" si="0"/>
        <v/>
      </c>
      <c r="M30" s="620" t="s">
        <v>24</v>
      </c>
      <c r="N30" s="467">
        <f>SUM(I52:I56)</f>
        <v>2770.0699999999997</v>
      </c>
      <c r="O30" s="611"/>
      <c r="P30" s="611"/>
      <c r="Q30" s="611"/>
      <c r="R30" s="691"/>
      <c r="S30" s="674"/>
      <c r="T30" s="611"/>
      <c r="U30" s="611"/>
      <c r="V30" s="88"/>
      <c r="W30" s="88"/>
      <c r="X30" s="88"/>
      <c r="Y30" s="88"/>
      <c r="Z30" s="88"/>
    </row>
    <row r="31" spans="1:26" ht="14.5">
      <c r="A31" s="665">
        <v>43172</v>
      </c>
      <c r="B31" s="666" t="s">
        <v>47</v>
      </c>
      <c r="C31" s="667" t="s">
        <v>69</v>
      </c>
      <c r="D31" s="668" t="s">
        <v>115</v>
      </c>
      <c r="E31" s="667" t="s">
        <v>71</v>
      </c>
      <c r="F31" s="668">
        <v>1000</v>
      </c>
      <c r="G31" s="669">
        <v>21.69</v>
      </c>
      <c r="H31" s="669">
        <v>0</v>
      </c>
      <c r="I31" s="670">
        <v>0</v>
      </c>
      <c r="J31" s="671">
        <v>0</v>
      </c>
      <c r="K31" s="667" t="s">
        <v>9</v>
      </c>
      <c r="L31" s="670">
        <f t="shared" si="0"/>
        <v>21707.04925</v>
      </c>
      <c r="M31" s="692" t="s">
        <v>102</v>
      </c>
      <c r="N31" s="522">
        <v>0</v>
      </c>
      <c r="O31" s="611"/>
      <c r="P31" s="611"/>
      <c r="Q31" s="611"/>
      <c r="R31" s="691"/>
      <c r="S31" s="674"/>
      <c r="T31" s="611"/>
      <c r="U31" s="611"/>
      <c r="V31" s="88"/>
      <c r="W31" s="88"/>
      <c r="X31" s="88"/>
      <c r="Y31" s="88"/>
      <c r="Z31" s="88"/>
    </row>
    <row r="32" spans="1:26" ht="14.5">
      <c r="A32" s="665">
        <v>43182</v>
      </c>
      <c r="B32" s="666" t="s">
        <v>48</v>
      </c>
      <c r="C32" s="667" t="s">
        <v>69</v>
      </c>
      <c r="D32" s="668" t="s">
        <v>115</v>
      </c>
      <c r="E32" s="667" t="s">
        <v>71</v>
      </c>
      <c r="F32" s="668">
        <v>1000</v>
      </c>
      <c r="G32" s="669">
        <v>20.239999999999998</v>
      </c>
      <c r="H32" s="669">
        <v>21.7</v>
      </c>
      <c r="I32" s="670">
        <v>-1453.48</v>
      </c>
      <c r="J32" s="671">
        <v>-6.69</v>
      </c>
      <c r="K32" s="667" t="s">
        <v>9</v>
      </c>
      <c r="L32" s="670" t="str">
        <f t="shared" si="0"/>
        <v/>
      </c>
      <c r="M32" s="523" t="s">
        <v>126</v>
      </c>
      <c r="N32" s="524">
        <f>SUM(J52:J56)/100</f>
        <v>7.350000000000001E-2</v>
      </c>
      <c r="O32" s="611"/>
      <c r="P32" s="611"/>
      <c r="Q32" s="611"/>
      <c r="R32" s="691"/>
      <c r="S32" s="674"/>
      <c r="T32" s="611"/>
      <c r="U32" s="611"/>
      <c r="V32" s="88"/>
      <c r="W32" s="88"/>
      <c r="X32" s="88"/>
      <c r="Y32" s="88"/>
      <c r="Z32" s="88"/>
    </row>
    <row r="33" spans="1:26" ht="14.5">
      <c r="A33" s="684">
        <v>43185</v>
      </c>
      <c r="B33" s="685" t="s">
        <v>47</v>
      </c>
      <c r="C33" s="686" t="s">
        <v>69</v>
      </c>
      <c r="D33" s="686" t="s">
        <v>129</v>
      </c>
      <c r="E33" s="686" t="s">
        <v>71</v>
      </c>
      <c r="F33" s="687">
        <v>2400</v>
      </c>
      <c r="G33" s="688">
        <v>8.57</v>
      </c>
      <c r="H33" s="688">
        <v>0</v>
      </c>
      <c r="I33" s="689">
        <v>0</v>
      </c>
      <c r="J33" s="690">
        <v>0</v>
      </c>
      <c r="K33" s="686" t="s">
        <v>9</v>
      </c>
      <c r="L33" s="689">
        <f t="shared" si="0"/>
        <v>20584.684600000001</v>
      </c>
      <c r="M33" s="876" t="s">
        <v>40</v>
      </c>
      <c r="N33" s="870"/>
      <c r="O33" s="611"/>
      <c r="P33" s="611"/>
      <c r="Q33" s="611"/>
      <c r="R33" s="691"/>
      <c r="S33" s="674"/>
      <c r="T33" s="611"/>
      <c r="U33" s="611"/>
      <c r="V33" s="88"/>
      <c r="W33" s="88"/>
      <c r="X33" s="88"/>
      <c r="Y33" s="88"/>
      <c r="Z33" s="88"/>
    </row>
    <row r="34" spans="1:26" ht="14.5">
      <c r="A34" s="684">
        <v>43186</v>
      </c>
      <c r="B34" s="685" t="s">
        <v>48</v>
      </c>
      <c r="C34" s="686" t="s">
        <v>69</v>
      </c>
      <c r="D34" s="686" t="s">
        <v>129</v>
      </c>
      <c r="E34" s="686" t="s">
        <v>71</v>
      </c>
      <c r="F34" s="687">
        <v>2400</v>
      </c>
      <c r="G34" s="688">
        <v>8.7899999999999991</v>
      </c>
      <c r="H34" s="688">
        <v>8.58</v>
      </c>
      <c r="I34" s="689">
        <v>518.59</v>
      </c>
      <c r="J34" s="690">
        <v>2.5099999999999998</v>
      </c>
      <c r="K34" s="686" t="s">
        <v>9</v>
      </c>
      <c r="L34" s="689" t="str">
        <f t="shared" si="0"/>
        <v/>
      </c>
      <c r="M34" s="465" t="s">
        <v>21</v>
      </c>
      <c r="N34" s="466">
        <f>IFERROR(AVERAGE(L57:L65),0)</f>
        <v>38858.421634999999</v>
      </c>
      <c r="O34" s="611"/>
      <c r="P34" s="611"/>
      <c r="Q34" s="611"/>
      <c r="R34" s="691"/>
      <c r="S34" s="674"/>
      <c r="T34" s="611"/>
      <c r="U34" s="611"/>
      <c r="V34" s="88"/>
      <c r="W34" s="88"/>
      <c r="X34" s="88"/>
      <c r="Y34" s="88"/>
      <c r="Z34" s="88"/>
    </row>
    <row r="35" spans="1:26" ht="14.5">
      <c r="A35" s="665">
        <v>43187</v>
      </c>
      <c r="B35" s="666" t="s">
        <v>47</v>
      </c>
      <c r="C35" s="667" t="s">
        <v>69</v>
      </c>
      <c r="D35" s="668" t="s">
        <v>115</v>
      </c>
      <c r="E35" s="667" t="s">
        <v>71</v>
      </c>
      <c r="F35" s="668">
        <v>1000</v>
      </c>
      <c r="G35" s="669">
        <v>20.56</v>
      </c>
      <c r="H35" s="669">
        <v>0</v>
      </c>
      <c r="I35" s="670">
        <v>0</v>
      </c>
      <c r="J35" s="671">
        <v>0</v>
      </c>
      <c r="K35" s="667" t="s">
        <v>9</v>
      </c>
      <c r="L35" s="670">
        <f t="shared" si="0"/>
        <v>20576.682000000001</v>
      </c>
      <c r="M35" s="620" t="s">
        <v>24</v>
      </c>
      <c r="N35" s="467">
        <f>SUM(I57:I65)</f>
        <v>1777.5099999999998</v>
      </c>
      <c r="O35" s="649"/>
      <c r="P35" s="649"/>
      <c r="Q35" s="649"/>
      <c r="R35" s="673"/>
      <c r="S35" s="674"/>
      <c r="T35" s="649"/>
      <c r="U35" s="649"/>
    </row>
    <row r="36" spans="1:26" ht="14.5">
      <c r="A36" s="533">
        <v>43188</v>
      </c>
      <c r="B36" s="534" t="s">
        <v>48</v>
      </c>
      <c r="C36" s="535" t="s">
        <v>69</v>
      </c>
      <c r="D36" s="535" t="s">
        <v>115</v>
      </c>
      <c r="E36" s="535" t="s">
        <v>71</v>
      </c>
      <c r="F36" s="536">
        <v>1000</v>
      </c>
      <c r="G36" s="537">
        <v>21.17</v>
      </c>
      <c r="H36" s="537">
        <v>20.57</v>
      </c>
      <c r="I36" s="538">
        <v>606.57000000000005</v>
      </c>
      <c r="J36" s="539">
        <v>2.94</v>
      </c>
      <c r="K36" s="535" t="s">
        <v>9</v>
      </c>
      <c r="L36" s="540" t="str">
        <f t="shared" si="0"/>
        <v/>
      </c>
      <c r="M36" s="692" t="s">
        <v>102</v>
      </c>
      <c r="N36" s="522">
        <v>0</v>
      </c>
      <c r="O36" s="650"/>
      <c r="P36" s="650"/>
      <c r="Q36" s="650"/>
      <c r="R36" s="707"/>
      <c r="S36" s="674"/>
      <c r="T36" s="650"/>
      <c r="U36" s="650"/>
      <c r="V36" s="136"/>
      <c r="W36" s="136"/>
      <c r="X36" s="136"/>
      <c r="Y36" s="136"/>
      <c r="Z36" s="136"/>
    </row>
    <row r="37" spans="1:26" ht="14.5">
      <c r="A37" s="665">
        <v>43194</v>
      </c>
      <c r="B37" s="666" t="s">
        <v>47</v>
      </c>
      <c r="C37" s="667" t="s">
        <v>69</v>
      </c>
      <c r="D37" s="668" t="s">
        <v>115</v>
      </c>
      <c r="E37" s="667" t="s">
        <v>71</v>
      </c>
      <c r="F37" s="668">
        <v>1000</v>
      </c>
      <c r="G37" s="669">
        <v>20.5</v>
      </c>
      <c r="H37" s="669">
        <v>0</v>
      </c>
      <c r="I37" s="670">
        <v>0</v>
      </c>
      <c r="J37" s="671">
        <v>0</v>
      </c>
      <c r="K37" s="667" t="s">
        <v>9</v>
      </c>
      <c r="L37" s="670">
        <f t="shared" si="0"/>
        <v>20516.662499999999</v>
      </c>
      <c r="M37" s="523" t="s">
        <v>126</v>
      </c>
      <c r="N37" s="524">
        <f>SUM(J57:J65)/100</f>
        <v>4.5999999999999999E-2</v>
      </c>
      <c r="O37" s="650"/>
      <c r="P37" s="650"/>
      <c r="Q37" s="650"/>
      <c r="R37" s="707"/>
      <c r="S37" s="674"/>
      <c r="T37" s="650"/>
      <c r="U37" s="650"/>
      <c r="V37" s="136"/>
      <c r="W37" s="136"/>
      <c r="X37" s="136"/>
      <c r="Y37" s="136"/>
      <c r="Z37" s="136"/>
    </row>
    <row r="38" spans="1:26" ht="14.5">
      <c r="A38" s="665">
        <v>43195</v>
      </c>
      <c r="B38" s="666" t="s">
        <v>48</v>
      </c>
      <c r="C38" s="667" t="s">
        <v>69</v>
      </c>
      <c r="D38" s="668" t="s">
        <v>115</v>
      </c>
      <c r="E38" s="667" t="s">
        <v>71</v>
      </c>
      <c r="F38" s="668">
        <v>1000</v>
      </c>
      <c r="G38" s="669">
        <v>21.09</v>
      </c>
      <c r="H38" s="669">
        <v>20.51</v>
      </c>
      <c r="I38" s="670">
        <v>586.53</v>
      </c>
      <c r="J38" s="671">
        <v>2.86</v>
      </c>
      <c r="K38" s="667" t="s">
        <v>9</v>
      </c>
      <c r="L38" s="670" t="str">
        <f t="shared" si="0"/>
        <v/>
      </c>
      <c r="M38" s="876" t="s">
        <v>41</v>
      </c>
      <c r="N38" s="870"/>
      <c r="O38" s="650"/>
      <c r="P38" s="650"/>
      <c r="Q38" s="650"/>
      <c r="R38" s="707"/>
      <c r="S38" s="674"/>
      <c r="T38" s="650"/>
      <c r="U38" s="650"/>
      <c r="V38" s="136"/>
      <c r="W38" s="136"/>
      <c r="X38" s="136"/>
      <c r="Y38" s="136"/>
      <c r="Z38" s="136"/>
    </row>
    <row r="39" spans="1:26" ht="14.5">
      <c r="A39" s="665">
        <v>43199</v>
      </c>
      <c r="B39" s="666" t="s">
        <v>47</v>
      </c>
      <c r="C39" s="667" t="s">
        <v>69</v>
      </c>
      <c r="D39" s="668" t="s">
        <v>115</v>
      </c>
      <c r="E39" s="667" t="s">
        <v>71</v>
      </c>
      <c r="F39" s="668">
        <v>900</v>
      </c>
      <c r="G39" s="669">
        <v>22.95</v>
      </c>
      <c r="H39" s="669">
        <v>0</v>
      </c>
      <c r="I39" s="670">
        <v>0</v>
      </c>
      <c r="J39" s="671">
        <v>0</v>
      </c>
      <c r="K39" s="667" t="s">
        <v>9</v>
      </c>
      <c r="L39" s="670">
        <f t="shared" si="0"/>
        <v>20671.712875000001</v>
      </c>
      <c r="M39" s="465" t="s">
        <v>21</v>
      </c>
      <c r="N39" s="466">
        <f>IFERROR(AVERAGE(L66:L74),0)</f>
        <v>40639.200199999999</v>
      </c>
      <c r="O39" s="650"/>
      <c r="P39" s="650"/>
      <c r="Q39" s="650"/>
      <c r="R39" s="707"/>
      <c r="S39" s="674"/>
      <c r="T39" s="650"/>
      <c r="U39" s="650"/>
      <c r="V39" s="136"/>
      <c r="W39" s="136"/>
      <c r="X39" s="136"/>
      <c r="Y39" s="136"/>
      <c r="Z39" s="136"/>
    </row>
    <row r="40" spans="1:26" ht="14.5">
      <c r="A40" s="665">
        <v>43200</v>
      </c>
      <c r="B40" s="666" t="s">
        <v>48</v>
      </c>
      <c r="C40" s="667" t="s">
        <v>69</v>
      </c>
      <c r="D40" s="668" t="s">
        <v>115</v>
      </c>
      <c r="E40" s="667" t="s">
        <v>71</v>
      </c>
      <c r="F40" s="668">
        <v>900</v>
      </c>
      <c r="G40" s="669">
        <v>23.33</v>
      </c>
      <c r="H40" s="669">
        <v>22.96</v>
      </c>
      <c r="I40" s="670">
        <v>335.52</v>
      </c>
      <c r="J40" s="671">
        <v>1.62</v>
      </c>
      <c r="K40" s="667" t="s">
        <v>9</v>
      </c>
      <c r="L40" s="670" t="str">
        <f t="shared" si="0"/>
        <v/>
      </c>
      <c r="M40" s="620" t="s">
        <v>24</v>
      </c>
      <c r="N40" s="467">
        <f>SUM(I66:I74)</f>
        <v>2137.2799999999997</v>
      </c>
      <c r="O40" s="650"/>
      <c r="P40" s="650"/>
      <c r="Q40" s="650"/>
      <c r="R40" s="707"/>
      <c r="S40" s="674"/>
      <c r="T40" s="650"/>
      <c r="U40" s="650"/>
      <c r="V40" s="136"/>
      <c r="W40" s="136"/>
      <c r="X40" s="136"/>
      <c r="Y40" s="136"/>
      <c r="Z40" s="136"/>
    </row>
    <row r="41" spans="1:26" ht="14.5">
      <c r="A41" s="665">
        <v>43203</v>
      </c>
      <c r="B41" s="666" t="s">
        <v>47</v>
      </c>
      <c r="C41" s="667" t="s">
        <v>69</v>
      </c>
      <c r="D41" s="668" t="s">
        <v>115</v>
      </c>
      <c r="E41" s="667" t="s">
        <v>71</v>
      </c>
      <c r="F41" s="668">
        <v>1000</v>
      </c>
      <c r="G41" s="669">
        <v>21.13</v>
      </c>
      <c r="H41" s="669">
        <v>0</v>
      </c>
      <c r="I41" s="670">
        <v>0</v>
      </c>
      <c r="J41" s="671">
        <v>0</v>
      </c>
      <c r="K41" s="667" t="s">
        <v>9</v>
      </c>
      <c r="L41" s="670">
        <f t="shared" si="0"/>
        <v>21146.867249999999</v>
      </c>
      <c r="M41" s="692" t="s">
        <v>102</v>
      </c>
      <c r="N41" s="522">
        <v>0</v>
      </c>
      <c r="O41" s="650"/>
      <c r="P41" s="650"/>
      <c r="Q41" s="650"/>
      <c r="R41" s="707"/>
      <c r="S41" s="674"/>
      <c r="T41" s="650"/>
      <c r="U41" s="650"/>
      <c r="V41" s="136"/>
      <c r="W41" s="136"/>
      <c r="X41" s="136"/>
      <c r="Y41" s="136"/>
      <c r="Z41" s="136"/>
    </row>
    <row r="42" spans="1:26" ht="14.5">
      <c r="A42" s="665">
        <v>43206</v>
      </c>
      <c r="B42" s="666" t="s">
        <v>48</v>
      </c>
      <c r="C42" s="667" t="s">
        <v>69</v>
      </c>
      <c r="D42" s="668" t="s">
        <v>115</v>
      </c>
      <c r="E42" s="667" t="s">
        <v>71</v>
      </c>
      <c r="F42" s="668">
        <v>1000</v>
      </c>
      <c r="G42" s="669">
        <v>20.78</v>
      </c>
      <c r="H42" s="669">
        <v>21.14</v>
      </c>
      <c r="I42" s="670">
        <v>-353.56</v>
      </c>
      <c r="J42" s="671">
        <v>-1.67</v>
      </c>
      <c r="K42" s="667" t="s">
        <v>9</v>
      </c>
      <c r="L42" s="670" t="str">
        <f t="shared" si="0"/>
        <v/>
      </c>
      <c r="M42" s="523" t="s">
        <v>126</v>
      </c>
      <c r="N42" s="524">
        <f>SUM(J66:J74)/100</f>
        <v>5.3200000000000004E-2</v>
      </c>
      <c r="O42" s="650"/>
      <c r="P42" s="650"/>
      <c r="Q42" s="650"/>
      <c r="R42" s="707"/>
      <c r="S42" s="674"/>
      <c r="T42" s="650"/>
      <c r="U42" s="650"/>
      <c r="V42" s="136"/>
      <c r="W42" s="136"/>
      <c r="X42" s="136"/>
      <c r="Y42" s="136"/>
      <c r="Z42" s="136"/>
    </row>
    <row r="43" spans="1:26" ht="14.5">
      <c r="A43" s="665">
        <v>43209</v>
      </c>
      <c r="B43" s="666" t="s">
        <v>47</v>
      </c>
      <c r="C43" s="667" t="s">
        <v>69</v>
      </c>
      <c r="D43" s="668" t="s">
        <v>115</v>
      </c>
      <c r="E43" s="667" t="s">
        <v>71</v>
      </c>
      <c r="F43" s="668">
        <v>800</v>
      </c>
      <c r="G43" s="669">
        <v>21.41</v>
      </c>
      <c r="H43" s="669">
        <v>0</v>
      </c>
      <c r="I43" s="670">
        <v>0</v>
      </c>
      <c r="J43" s="671">
        <v>0</v>
      </c>
      <c r="K43" s="667" t="s">
        <v>9</v>
      </c>
      <c r="L43" s="670">
        <f t="shared" si="0"/>
        <v>17143.566599999998</v>
      </c>
      <c r="M43" s="876" t="s">
        <v>42</v>
      </c>
      <c r="N43" s="870"/>
      <c r="O43" s="650"/>
      <c r="P43" s="650"/>
      <c r="Q43" s="650"/>
      <c r="R43" s="707"/>
      <c r="S43" s="674"/>
      <c r="T43" s="650"/>
      <c r="U43" s="650"/>
      <c r="V43" s="136"/>
      <c r="W43" s="136"/>
      <c r="X43" s="136"/>
      <c r="Y43" s="136"/>
      <c r="Z43" s="136"/>
    </row>
    <row r="44" spans="1:26" ht="14.5">
      <c r="A44" s="665">
        <v>43214</v>
      </c>
      <c r="B44" s="666" t="s">
        <v>48</v>
      </c>
      <c r="C44" s="667" t="s">
        <v>69</v>
      </c>
      <c r="D44" s="668" t="s">
        <v>115</v>
      </c>
      <c r="E44" s="667" t="s">
        <v>71</v>
      </c>
      <c r="F44" s="668">
        <v>800</v>
      </c>
      <c r="G44" s="669">
        <v>21.7</v>
      </c>
      <c r="H44" s="669">
        <v>21.42</v>
      </c>
      <c r="I44" s="670">
        <v>224.83</v>
      </c>
      <c r="J44" s="671">
        <v>1.31</v>
      </c>
      <c r="K44" s="667" t="s">
        <v>9</v>
      </c>
      <c r="L44" s="670" t="str">
        <f t="shared" si="0"/>
        <v/>
      </c>
      <c r="M44" s="465" t="s">
        <v>21</v>
      </c>
      <c r="N44" s="466">
        <f>IFERROR(AVERAGE(L75:L78),0)</f>
        <v>44124.33249999999</v>
      </c>
      <c r="O44" s="650"/>
      <c r="P44" s="650"/>
      <c r="Q44" s="650"/>
      <c r="R44" s="707"/>
      <c r="S44" s="674"/>
      <c r="T44" s="650"/>
      <c r="U44" s="650"/>
      <c r="V44" s="136"/>
      <c r="W44" s="136"/>
      <c r="X44" s="136"/>
      <c r="Y44" s="136"/>
      <c r="Z44" s="136"/>
    </row>
    <row r="45" spans="1:26" ht="14.5">
      <c r="A45" s="541">
        <v>43215</v>
      </c>
      <c r="B45" s="542" t="s">
        <v>47</v>
      </c>
      <c r="C45" s="543" t="s">
        <v>69</v>
      </c>
      <c r="D45" s="543" t="s">
        <v>82</v>
      </c>
      <c r="E45" s="543" t="s">
        <v>71</v>
      </c>
      <c r="F45" s="544">
        <v>500</v>
      </c>
      <c r="G45" s="545">
        <v>38.729999999999997</v>
      </c>
      <c r="H45" s="545">
        <v>0</v>
      </c>
      <c r="I45" s="546">
        <v>0</v>
      </c>
      <c r="J45" s="547">
        <v>0</v>
      </c>
      <c r="K45" s="543" t="s">
        <v>9</v>
      </c>
      <c r="L45" s="548">
        <f t="shared" si="0"/>
        <v>19381.293624999998</v>
      </c>
      <c r="M45" s="620" t="s">
        <v>24</v>
      </c>
      <c r="N45" s="467">
        <f>SUM(I75:I78)</f>
        <v>1852.18</v>
      </c>
      <c r="O45" s="650"/>
      <c r="P45" s="650"/>
      <c r="Q45" s="650"/>
      <c r="R45" s="707"/>
      <c r="S45" s="674"/>
      <c r="T45" s="650"/>
      <c r="U45" s="650"/>
      <c r="V45" s="136"/>
      <c r="W45" s="136"/>
      <c r="X45" s="136"/>
      <c r="Y45" s="136"/>
      <c r="Z45" s="136"/>
    </row>
    <row r="46" spans="1:26" ht="14.5">
      <c r="A46" s="708">
        <v>43223</v>
      </c>
      <c r="B46" s="709" t="s">
        <v>48</v>
      </c>
      <c r="C46" s="710" t="s">
        <v>69</v>
      </c>
      <c r="D46" s="710" t="s">
        <v>82</v>
      </c>
      <c r="E46" s="710" t="s">
        <v>71</v>
      </c>
      <c r="F46" s="711">
        <v>500</v>
      </c>
      <c r="G46" s="712">
        <v>40.700000000000003</v>
      </c>
      <c r="H46" s="712">
        <v>38.729999999999997</v>
      </c>
      <c r="I46" s="713">
        <v>987.13</v>
      </c>
      <c r="J46" s="714">
        <v>5.09</v>
      </c>
      <c r="K46" s="710" t="s">
        <v>9</v>
      </c>
      <c r="L46" s="713" t="str">
        <f t="shared" si="0"/>
        <v/>
      </c>
      <c r="M46" s="692" t="s">
        <v>102</v>
      </c>
      <c r="N46" s="522">
        <v>0</v>
      </c>
      <c r="O46" s="650"/>
      <c r="P46" s="650"/>
      <c r="Q46" s="650"/>
      <c r="R46" s="707"/>
      <c r="S46" s="674"/>
      <c r="T46" s="650"/>
      <c r="U46" s="650"/>
      <c r="V46" s="136"/>
      <c r="W46" s="136"/>
      <c r="X46" s="136"/>
      <c r="Y46" s="136"/>
      <c r="Z46" s="136"/>
    </row>
    <row r="47" spans="1:26" ht="14.5">
      <c r="A47" s="708">
        <v>43229</v>
      </c>
      <c r="B47" s="709" t="s">
        <v>47</v>
      </c>
      <c r="C47" s="710" t="s">
        <v>69</v>
      </c>
      <c r="D47" s="710" t="s">
        <v>82</v>
      </c>
      <c r="E47" s="710" t="s">
        <v>71</v>
      </c>
      <c r="F47" s="711">
        <v>900</v>
      </c>
      <c r="G47" s="712">
        <v>42.69</v>
      </c>
      <c r="H47" s="712">
        <v>0</v>
      </c>
      <c r="I47" s="713">
        <v>0</v>
      </c>
      <c r="J47" s="714">
        <v>0</v>
      </c>
      <c r="K47" s="710" t="s">
        <v>9</v>
      </c>
      <c r="L47" s="713">
        <f t="shared" si="0"/>
        <v>38443.486825</v>
      </c>
      <c r="M47" s="523" t="s">
        <v>126</v>
      </c>
      <c r="N47" s="524">
        <f>SUM(J75:J78)/100</f>
        <v>4.1899999999999993E-2</v>
      </c>
      <c r="O47" s="650"/>
      <c r="P47" s="650"/>
      <c r="Q47" s="650"/>
      <c r="R47" s="707"/>
      <c r="S47" s="674"/>
      <c r="T47" s="650"/>
      <c r="U47" s="650"/>
      <c r="V47" s="136"/>
      <c r="W47" s="136"/>
      <c r="X47" s="136"/>
      <c r="Y47" s="136"/>
      <c r="Z47" s="136"/>
    </row>
    <row r="48" spans="1:26" ht="14.5">
      <c r="A48" s="708">
        <v>43230</v>
      </c>
      <c r="B48" s="709" t="s">
        <v>48</v>
      </c>
      <c r="C48" s="710" t="s">
        <v>69</v>
      </c>
      <c r="D48" s="710" t="s">
        <v>82</v>
      </c>
      <c r="E48" s="710" t="s">
        <v>71</v>
      </c>
      <c r="F48" s="711">
        <v>900</v>
      </c>
      <c r="G48" s="712">
        <v>42.72</v>
      </c>
      <c r="H48" s="712">
        <v>42.69</v>
      </c>
      <c r="I48" s="713">
        <v>27.07</v>
      </c>
      <c r="J48" s="714">
        <v>7.0000000000000007E-2</v>
      </c>
      <c r="K48" s="710" t="s">
        <v>9</v>
      </c>
      <c r="L48" s="713" t="str">
        <f t="shared" si="0"/>
        <v/>
      </c>
      <c r="M48" s="876" t="s">
        <v>43</v>
      </c>
      <c r="N48" s="870"/>
      <c r="O48" s="650"/>
      <c r="P48" s="650"/>
      <c r="Q48" s="650"/>
      <c r="R48" s="707"/>
      <c r="S48" s="674"/>
      <c r="T48" s="650"/>
      <c r="U48" s="650"/>
      <c r="V48" s="136"/>
      <c r="W48" s="136"/>
      <c r="X48" s="136"/>
      <c r="Y48" s="136"/>
      <c r="Z48" s="136"/>
    </row>
    <row r="49" spans="1:26" ht="14.5">
      <c r="A49" s="708">
        <v>43231</v>
      </c>
      <c r="B49" s="709" t="s">
        <v>47</v>
      </c>
      <c r="C49" s="710" t="s">
        <v>69</v>
      </c>
      <c r="D49" s="710" t="s">
        <v>82</v>
      </c>
      <c r="E49" s="710" t="s">
        <v>71</v>
      </c>
      <c r="F49" s="711">
        <v>900</v>
      </c>
      <c r="G49" s="712">
        <v>42.93</v>
      </c>
      <c r="H49" s="712">
        <v>0</v>
      </c>
      <c r="I49" s="713">
        <v>0</v>
      </c>
      <c r="J49" s="714">
        <v>0</v>
      </c>
      <c r="K49" s="710" t="s">
        <v>9</v>
      </c>
      <c r="L49" s="713">
        <f t="shared" si="0"/>
        <v>38659.557025000002</v>
      </c>
      <c r="M49" s="465" t="s">
        <v>21</v>
      </c>
      <c r="N49" s="466">
        <f>IFERROR(AVERAGE(L79:L87),0)</f>
        <v>39036.279419999999</v>
      </c>
      <c r="O49" s="650"/>
      <c r="P49" s="650"/>
      <c r="Q49" s="650"/>
      <c r="R49" s="707"/>
      <c r="S49" s="674"/>
      <c r="T49" s="650"/>
      <c r="U49" s="650"/>
      <c r="V49" s="136"/>
      <c r="W49" s="136"/>
      <c r="X49" s="136"/>
      <c r="Y49" s="136"/>
      <c r="Z49" s="136"/>
    </row>
    <row r="50" spans="1:26" ht="14.5">
      <c r="A50" s="708">
        <v>43234</v>
      </c>
      <c r="B50" s="709" t="s">
        <v>48</v>
      </c>
      <c r="C50" s="710" t="s">
        <v>69</v>
      </c>
      <c r="D50" s="710" t="s">
        <v>82</v>
      </c>
      <c r="E50" s="710" t="s">
        <v>71</v>
      </c>
      <c r="F50" s="711">
        <v>900</v>
      </c>
      <c r="G50" s="712">
        <v>43.58</v>
      </c>
      <c r="H50" s="712">
        <v>42.94</v>
      </c>
      <c r="I50" s="713">
        <v>584.75</v>
      </c>
      <c r="J50" s="714">
        <v>1.51</v>
      </c>
      <c r="K50" s="710" t="s">
        <v>9</v>
      </c>
      <c r="L50" s="713" t="str">
        <f t="shared" si="0"/>
        <v/>
      </c>
      <c r="M50" s="620" t="s">
        <v>24</v>
      </c>
      <c r="N50" s="467">
        <f>SUM(I79:I87)</f>
        <v>3113.09</v>
      </c>
      <c r="O50" s="650"/>
      <c r="P50" s="650"/>
      <c r="Q50" s="650"/>
      <c r="R50" s="707"/>
      <c r="S50" s="674"/>
      <c r="T50" s="650"/>
      <c r="U50" s="650"/>
      <c r="V50" s="136"/>
      <c r="W50" s="136"/>
      <c r="X50" s="136"/>
      <c r="Y50" s="136"/>
      <c r="Z50" s="136"/>
    </row>
    <row r="51" spans="1:26" ht="14.5">
      <c r="A51" s="541">
        <v>43235</v>
      </c>
      <c r="B51" s="542" t="s">
        <v>47</v>
      </c>
      <c r="C51" s="543" t="s">
        <v>69</v>
      </c>
      <c r="D51" s="543" t="s">
        <v>82</v>
      </c>
      <c r="E51" s="543" t="s">
        <v>71</v>
      </c>
      <c r="F51" s="544">
        <v>800</v>
      </c>
      <c r="G51" s="545">
        <v>47.11</v>
      </c>
      <c r="H51" s="545">
        <v>0</v>
      </c>
      <c r="I51" s="546">
        <v>0</v>
      </c>
      <c r="J51" s="547">
        <v>0</v>
      </c>
      <c r="K51" s="543" t="s">
        <v>9</v>
      </c>
      <c r="L51" s="548">
        <f t="shared" si="0"/>
        <v>37710.248599999999</v>
      </c>
      <c r="M51" s="692" t="s">
        <v>102</v>
      </c>
      <c r="N51" s="522">
        <v>0</v>
      </c>
      <c r="O51" s="650"/>
      <c r="P51" s="650"/>
      <c r="Q51" s="650"/>
      <c r="R51" s="707"/>
      <c r="S51" s="674"/>
      <c r="T51" s="650"/>
      <c r="U51" s="650"/>
      <c r="V51" s="136"/>
      <c r="W51" s="136"/>
      <c r="X51" s="136"/>
      <c r="Y51" s="136"/>
      <c r="Z51" s="136"/>
    </row>
    <row r="52" spans="1:26" ht="14.5">
      <c r="A52" s="708">
        <v>43258</v>
      </c>
      <c r="B52" s="709" t="s">
        <v>48</v>
      </c>
      <c r="C52" s="710" t="s">
        <v>69</v>
      </c>
      <c r="D52" s="710" t="s">
        <v>82</v>
      </c>
      <c r="E52" s="710" t="s">
        <v>71</v>
      </c>
      <c r="F52" s="711">
        <v>800</v>
      </c>
      <c r="G52" s="712">
        <v>49.92</v>
      </c>
      <c r="H52" s="712">
        <v>47.12</v>
      </c>
      <c r="I52" s="713">
        <v>2243.04</v>
      </c>
      <c r="J52" s="714">
        <v>5.95</v>
      </c>
      <c r="K52" s="710" t="s">
        <v>9</v>
      </c>
      <c r="L52" s="713" t="str">
        <f t="shared" si="0"/>
        <v/>
      </c>
      <c r="M52" s="523" t="s">
        <v>126</v>
      </c>
      <c r="N52" s="524">
        <f>SUM(J79:J87)/100</f>
        <v>8.14E-2</v>
      </c>
      <c r="O52" s="650"/>
      <c r="P52" s="650"/>
      <c r="Q52" s="650"/>
      <c r="R52" s="707"/>
      <c r="S52" s="674"/>
      <c r="T52" s="650"/>
      <c r="U52" s="650"/>
      <c r="V52" s="136"/>
      <c r="W52" s="136"/>
      <c r="X52" s="136"/>
      <c r="Y52" s="136"/>
      <c r="Z52" s="136"/>
    </row>
    <row r="53" spans="1:26" ht="14.5">
      <c r="A53" s="684">
        <v>43258</v>
      </c>
      <c r="B53" s="685" t="s">
        <v>47</v>
      </c>
      <c r="C53" s="686" t="s">
        <v>69</v>
      </c>
      <c r="D53" s="686" t="s">
        <v>129</v>
      </c>
      <c r="E53" s="686" t="s">
        <v>71</v>
      </c>
      <c r="F53" s="687">
        <v>4500</v>
      </c>
      <c r="G53" s="688">
        <v>8.34</v>
      </c>
      <c r="H53" s="688">
        <v>0</v>
      </c>
      <c r="I53" s="689">
        <v>0</v>
      </c>
      <c r="J53" s="690">
        <v>0</v>
      </c>
      <c r="K53" s="686" t="s">
        <v>9</v>
      </c>
      <c r="L53" s="689">
        <f t="shared" si="0"/>
        <v>37552.197249999997</v>
      </c>
      <c r="M53" s="876" t="s">
        <v>44</v>
      </c>
      <c r="N53" s="870"/>
      <c r="O53" s="650"/>
      <c r="P53" s="650"/>
      <c r="Q53" s="650"/>
      <c r="R53" s="707"/>
      <c r="S53" s="674"/>
      <c r="T53" s="650"/>
      <c r="U53" s="650"/>
      <c r="V53" s="136"/>
      <c r="W53" s="136"/>
      <c r="X53" s="136"/>
      <c r="Y53" s="136"/>
      <c r="Z53" s="136"/>
    </row>
    <row r="54" spans="1:26" ht="14.5">
      <c r="A54" s="684">
        <v>43259</v>
      </c>
      <c r="B54" s="685" t="s">
        <v>48</v>
      </c>
      <c r="C54" s="686" t="s">
        <v>69</v>
      </c>
      <c r="D54" s="686" t="s">
        <v>129</v>
      </c>
      <c r="E54" s="686" t="s">
        <v>134</v>
      </c>
      <c r="F54" s="687">
        <v>4500</v>
      </c>
      <c r="G54" s="688">
        <v>8.3699999999999992</v>
      </c>
      <c r="H54" s="688">
        <v>8.34</v>
      </c>
      <c r="I54" s="689">
        <v>136</v>
      </c>
      <c r="J54" s="690">
        <v>0.36</v>
      </c>
      <c r="K54" s="686" t="s">
        <v>9</v>
      </c>
      <c r="L54" s="689" t="str">
        <f t="shared" si="0"/>
        <v/>
      </c>
      <c r="M54" s="465" t="s">
        <v>21</v>
      </c>
      <c r="N54" s="466">
        <f>IFERROR(AVERAGE(L88:L97),0)</f>
        <v>39051.684424999999</v>
      </c>
      <c r="O54" s="650"/>
      <c r="P54" s="650"/>
      <c r="Q54" s="650"/>
      <c r="R54" s="707"/>
      <c r="S54" s="674"/>
      <c r="T54" s="650"/>
      <c r="U54" s="650"/>
      <c r="V54" s="136"/>
      <c r="W54" s="136"/>
      <c r="X54" s="136"/>
      <c r="Y54" s="136"/>
      <c r="Z54" s="136"/>
    </row>
    <row r="55" spans="1:26" ht="14.5">
      <c r="A55" s="708">
        <v>43264</v>
      </c>
      <c r="B55" s="709" t="s">
        <v>47</v>
      </c>
      <c r="C55" s="710" t="s">
        <v>69</v>
      </c>
      <c r="D55" s="710" t="s">
        <v>82</v>
      </c>
      <c r="E55" s="710" t="s">
        <v>71</v>
      </c>
      <c r="F55" s="711">
        <v>800</v>
      </c>
      <c r="G55" s="712">
        <v>46.71</v>
      </c>
      <c r="H55" s="712">
        <v>0</v>
      </c>
      <c r="I55" s="713">
        <v>0</v>
      </c>
      <c r="J55" s="714">
        <v>0</v>
      </c>
      <c r="K55" s="710" t="s">
        <v>9</v>
      </c>
      <c r="L55" s="713">
        <f t="shared" si="0"/>
        <v>37390.1446</v>
      </c>
      <c r="M55" s="620" t="s">
        <v>24</v>
      </c>
      <c r="N55" s="467">
        <f>SUM(I88:I97)</f>
        <v>3100.01</v>
      </c>
      <c r="O55" s="650"/>
      <c r="P55" s="650"/>
      <c r="Q55" s="650"/>
      <c r="R55" s="707"/>
      <c r="S55" s="674"/>
      <c r="T55" s="650"/>
      <c r="U55" s="650"/>
      <c r="V55" s="136"/>
      <c r="W55" s="136"/>
      <c r="X55" s="136"/>
      <c r="Y55" s="136"/>
      <c r="Z55" s="136"/>
    </row>
    <row r="56" spans="1:26" ht="14.5">
      <c r="A56" s="541">
        <v>43265</v>
      </c>
      <c r="B56" s="542" t="s">
        <v>48</v>
      </c>
      <c r="C56" s="543" t="s">
        <v>69</v>
      </c>
      <c r="D56" s="543" t="s">
        <v>82</v>
      </c>
      <c r="E56" s="543" t="s">
        <v>71</v>
      </c>
      <c r="F56" s="544">
        <v>800</v>
      </c>
      <c r="G56" s="545">
        <v>47.2</v>
      </c>
      <c r="H56" s="545">
        <v>46.71</v>
      </c>
      <c r="I56" s="546">
        <v>391.03</v>
      </c>
      <c r="J56" s="547">
        <v>1.04</v>
      </c>
      <c r="K56" s="543" t="s">
        <v>9</v>
      </c>
      <c r="L56" s="548" t="str">
        <f t="shared" si="0"/>
        <v/>
      </c>
      <c r="M56" s="692" t="s">
        <v>102</v>
      </c>
      <c r="N56" s="522">
        <v>0</v>
      </c>
      <c r="O56" s="650"/>
      <c r="P56" s="650"/>
      <c r="Q56" s="650"/>
      <c r="R56" s="707"/>
      <c r="S56" s="674"/>
      <c r="T56" s="650"/>
      <c r="U56" s="650"/>
      <c r="V56" s="136"/>
      <c r="W56" s="136"/>
      <c r="X56" s="136"/>
      <c r="Y56" s="136"/>
      <c r="Z56" s="136"/>
    </row>
    <row r="57" spans="1:26" ht="14.5">
      <c r="A57" s="684">
        <v>43284</v>
      </c>
      <c r="B57" s="685" t="s">
        <v>47</v>
      </c>
      <c r="C57" s="686" t="s">
        <v>69</v>
      </c>
      <c r="D57" s="686" t="s">
        <v>129</v>
      </c>
      <c r="E57" s="686" t="s">
        <v>71</v>
      </c>
      <c r="F57" s="687">
        <v>5000</v>
      </c>
      <c r="G57" s="688">
        <v>7.87</v>
      </c>
      <c r="H57" s="688">
        <v>0</v>
      </c>
      <c r="I57" s="689">
        <v>0</v>
      </c>
      <c r="J57" s="690">
        <v>0</v>
      </c>
      <c r="K57" s="686" t="s">
        <v>9</v>
      </c>
      <c r="L57" s="689">
        <f t="shared" si="0"/>
        <v>39372.78875</v>
      </c>
      <c r="M57" s="523" t="s">
        <v>126</v>
      </c>
      <c r="N57" s="524">
        <f>SUM(J88:J97)/100</f>
        <v>7.9000000000000001E-2</v>
      </c>
      <c r="O57" s="650"/>
      <c r="P57" s="650"/>
      <c r="Q57" s="650"/>
      <c r="R57" s="707"/>
      <c r="S57" s="674"/>
      <c r="T57" s="650"/>
      <c r="U57" s="650"/>
      <c r="V57" s="136"/>
      <c r="W57" s="136"/>
      <c r="X57" s="136"/>
      <c r="Y57" s="136"/>
      <c r="Z57" s="136"/>
    </row>
    <row r="58" spans="1:26" ht="14.5">
      <c r="A58" s="684">
        <v>43285</v>
      </c>
      <c r="B58" s="685" t="s">
        <v>48</v>
      </c>
      <c r="C58" s="686" t="s">
        <v>69</v>
      </c>
      <c r="D58" s="686" t="s">
        <v>129</v>
      </c>
      <c r="E58" s="686" t="s">
        <v>71</v>
      </c>
      <c r="F58" s="687">
        <v>5000</v>
      </c>
      <c r="G58" s="688">
        <v>7.9</v>
      </c>
      <c r="H58" s="688">
        <v>7.87</v>
      </c>
      <c r="I58" s="689">
        <v>154.57</v>
      </c>
      <c r="J58" s="690">
        <v>0.39</v>
      </c>
      <c r="K58" s="686" t="s">
        <v>9</v>
      </c>
      <c r="L58" s="689" t="str">
        <f t="shared" si="0"/>
        <v/>
      </c>
      <c r="M58" s="876" t="s">
        <v>45</v>
      </c>
      <c r="N58" s="870"/>
      <c r="O58" s="650"/>
      <c r="P58" s="650"/>
      <c r="Q58" s="650"/>
      <c r="R58" s="707"/>
      <c r="S58" s="674"/>
      <c r="T58" s="650"/>
      <c r="U58" s="650"/>
      <c r="V58" s="136"/>
      <c r="W58" s="136"/>
      <c r="X58" s="136"/>
      <c r="Y58" s="136"/>
      <c r="Z58" s="136"/>
    </row>
    <row r="59" spans="1:26" ht="14.5">
      <c r="A59" s="684">
        <v>43292</v>
      </c>
      <c r="B59" s="685" t="s">
        <v>47</v>
      </c>
      <c r="C59" s="686" t="s">
        <v>69</v>
      </c>
      <c r="D59" s="686" t="s">
        <v>129</v>
      </c>
      <c r="E59" s="686" t="s">
        <v>71</v>
      </c>
      <c r="F59" s="687">
        <v>5000</v>
      </c>
      <c r="G59" s="688">
        <v>7.5999999999999988</v>
      </c>
      <c r="H59" s="688">
        <v>0</v>
      </c>
      <c r="I59" s="689">
        <v>0</v>
      </c>
      <c r="J59" s="690">
        <v>0</v>
      </c>
      <c r="K59" s="686" t="s">
        <v>9</v>
      </c>
      <c r="L59" s="689">
        <f t="shared" si="0"/>
        <v>38022.349999999991</v>
      </c>
      <c r="M59" s="465" t="s">
        <v>21</v>
      </c>
      <c r="N59" s="466">
        <f>IFERROR(AVERAGE(L98:L112),0)</f>
        <v>37617.885258333328</v>
      </c>
      <c r="O59" s="650"/>
      <c r="P59" s="650"/>
      <c r="Q59" s="650"/>
      <c r="R59" s="707"/>
      <c r="S59" s="674"/>
      <c r="T59" s="650"/>
      <c r="U59" s="650"/>
      <c r="V59" s="136"/>
      <c r="W59" s="136"/>
      <c r="X59" s="136"/>
      <c r="Y59" s="136"/>
      <c r="Z59" s="136"/>
    </row>
    <row r="60" spans="1:26" ht="14.5">
      <c r="A60" s="684">
        <v>43293</v>
      </c>
      <c r="B60" s="685" t="s">
        <v>48</v>
      </c>
      <c r="C60" s="686" t="s">
        <v>69</v>
      </c>
      <c r="D60" s="686" t="s">
        <v>129</v>
      </c>
      <c r="E60" s="686" t="s">
        <v>71</v>
      </c>
      <c r="F60" s="687">
        <v>5000</v>
      </c>
      <c r="G60" s="688">
        <v>7.83</v>
      </c>
      <c r="H60" s="688">
        <v>7.5999999999999988</v>
      </c>
      <c r="I60" s="689">
        <v>1155.1199999999999</v>
      </c>
      <c r="J60" s="690">
        <v>3.03</v>
      </c>
      <c r="K60" s="686" t="s">
        <v>9</v>
      </c>
      <c r="L60" s="689" t="str">
        <f t="shared" si="0"/>
        <v/>
      </c>
      <c r="M60" s="620" t="s">
        <v>24</v>
      </c>
      <c r="N60" s="467">
        <f>SUM(I98:I114)</f>
        <v>2833.97</v>
      </c>
      <c r="O60" s="650"/>
      <c r="P60" s="650"/>
      <c r="Q60" s="650"/>
      <c r="R60" s="707"/>
      <c r="S60" s="674"/>
      <c r="T60" s="650"/>
      <c r="U60" s="650"/>
      <c r="V60" s="136"/>
      <c r="W60" s="136"/>
      <c r="X60" s="136"/>
      <c r="Y60" s="136"/>
      <c r="Z60" s="136"/>
    </row>
    <row r="61" spans="1:26" ht="14.5">
      <c r="A61" s="708">
        <v>43299</v>
      </c>
      <c r="B61" s="709" t="s">
        <v>47</v>
      </c>
      <c r="C61" s="710" t="s">
        <v>69</v>
      </c>
      <c r="D61" s="710" t="s">
        <v>82</v>
      </c>
      <c r="E61" s="710" t="s">
        <v>71</v>
      </c>
      <c r="F61" s="711">
        <v>900</v>
      </c>
      <c r="G61" s="712">
        <v>42.47</v>
      </c>
      <c r="H61" s="712">
        <v>0</v>
      </c>
      <c r="I61" s="713">
        <v>0</v>
      </c>
      <c r="J61" s="714">
        <v>0</v>
      </c>
      <c r="K61" s="710" t="s">
        <v>9</v>
      </c>
      <c r="L61" s="713">
        <f t="shared" si="0"/>
        <v>38245.422474999999</v>
      </c>
      <c r="M61" s="692" t="s">
        <v>102</v>
      </c>
      <c r="N61" s="522">
        <v>0</v>
      </c>
      <c r="O61" s="650"/>
      <c r="P61" s="650"/>
      <c r="Q61" s="650"/>
      <c r="R61" s="707"/>
      <c r="S61" s="674"/>
      <c r="T61" s="650"/>
      <c r="U61" s="650"/>
      <c r="V61" s="136"/>
      <c r="W61" s="136"/>
      <c r="X61" s="136"/>
      <c r="Y61" s="136"/>
      <c r="Z61" s="136"/>
    </row>
    <row r="62" spans="1:26" ht="14.5">
      <c r="A62" s="708">
        <v>43300</v>
      </c>
      <c r="B62" s="709" t="s">
        <v>48</v>
      </c>
      <c r="C62" s="710" t="s">
        <v>69</v>
      </c>
      <c r="D62" s="710" t="s">
        <v>82</v>
      </c>
      <c r="E62" s="710" t="s">
        <v>71</v>
      </c>
      <c r="F62" s="711">
        <v>900</v>
      </c>
      <c r="G62" s="712">
        <v>42.54</v>
      </c>
      <c r="H62" s="712">
        <v>42.47</v>
      </c>
      <c r="I62" s="713">
        <v>63.34</v>
      </c>
      <c r="J62" s="714">
        <v>0.16</v>
      </c>
      <c r="K62" s="710" t="s">
        <v>9</v>
      </c>
      <c r="L62" s="713" t="str">
        <f t="shared" si="0"/>
        <v/>
      </c>
      <c r="M62" s="523" t="s">
        <v>126</v>
      </c>
      <c r="N62" s="524">
        <f>SUM(J98:J114)/100</f>
        <v>7.5300000000000006E-2</v>
      </c>
      <c r="O62" s="650"/>
      <c r="P62" s="650"/>
      <c r="Q62" s="650"/>
      <c r="R62" s="707"/>
      <c r="S62" s="674"/>
      <c r="T62" s="650"/>
      <c r="U62" s="650"/>
      <c r="V62" s="136"/>
      <c r="W62" s="136"/>
      <c r="X62" s="136"/>
      <c r="Y62" s="136"/>
      <c r="Z62" s="136"/>
    </row>
    <row r="63" spans="1:26" ht="14.5">
      <c r="A63" s="684">
        <v>43306</v>
      </c>
      <c r="B63" s="685" t="s">
        <v>47</v>
      </c>
      <c r="C63" s="686" t="s">
        <v>69</v>
      </c>
      <c r="D63" s="686" t="s">
        <v>129</v>
      </c>
      <c r="E63" s="686" t="s">
        <v>71</v>
      </c>
      <c r="F63" s="687">
        <v>4500</v>
      </c>
      <c r="G63" s="688">
        <v>8.75</v>
      </c>
      <c r="H63" s="688">
        <v>0</v>
      </c>
      <c r="I63" s="689">
        <v>0</v>
      </c>
      <c r="J63" s="690">
        <v>0</v>
      </c>
      <c r="K63" s="686" t="s">
        <v>9</v>
      </c>
      <c r="L63" s="689">
        <f t="shared" si="0"/>
        <v>39397.796875</v>
      </c>
      <c r="M63" s="649"/>
      <c r="N63" s="650"/>
      <c r="O63" s="650"/>
      <c r="P63" s="650"/>
      <c r="Q63" s="650"/>
      <c r="R63" s="707"/>
      <c r="S63" s="674"/>
      <c r="T63" s="650"/>
      <c r="U63" s="650"/>
      <c r="V63" s="136"/>
      <c r="W63" s="136"/>
      <c r="X63" s="136"/>
      <c r="Y63" s="136"/>
      <c r="Z63" s="136"/>
    </row>
    <row r="64" spans="1:26" ht="14.5">
      <c r="A64" s="684">
        <v>43308</v>
      </c>
      <c r="B64" s="685" t="s">
        <v>48</v>
      </c>
      <c r="C64" s="686" t="s">
        <v>69</v>
      </c>
      <c r="D64" s="686" t="s">
        <v>129</v>
      </c>
      <c r="E64" s="686" t="s">
        <v>71</v>
      </c>
      <c r="F64" s="687">
        <v>4500</v>
      </c>
      <c r="G64" s="688">
        <v>8.84</v>
      </c>
      <c r="H64" s="688">
        <v>8.759999999999998</v>
      </c>
      <c r="I64" s="689">
        <v>404.48</v>
      </c>
      <c r="J64" s="690">
        <v>1.02</v>
      </c>
      <c r="K64" s="686" t="s">
        <v>9</v>
      </c>
      <c r="L64" s="689" t="str">
        <f t="shared" si="0"/>
        <v/>
      </c>
      <c r="M64" s="649"/>
      <c r="N64" s="650"/>
      <c r="O64" s="650"/>
      <c r="P64" s="650"/>
      <c r="Q64" s="650"/>
      <c r="R64" s="707"/>
      <c r="S64" s="674"/>
      <c r="T64" s="650"/>
      <c r="U64" s="650"/>
      <c r="V64" s="136"/>
      <c r="W64" s="136"/>
      <c r="X64" s="136"/>
      <c r="Y64" s="136"/>
      <c r="Z64" s="136"/>
    </row>
    <row r="65" spans="1:26" ht="14.5">
      <c r="A65" s="533">
        <v>43311</v>
      </c>
      <c r="B65" s="534" t="s">
        <v>47</v>
      </c>
      <c r="C65" s="535" t="s">
        <v>69</v>
      </c>
      <c r="D65" s="535" t="s">
        <v>115</v>
      </c>
      <c r="E65" s="535" t="s">
        <v>71</v>
      </c>
      <c r="F65" s="536">
        <v>2700</v>
      </c>
      <c r="G65" s="537">
        <v>14.53</v>
      </c>
      <c r="H65" s="537">
        <v>0</v>
      </c>
      <c r="I65" s="538">
        <v>0</v>
      </c>
      <c r="J65" s="539">
        <v>0</v>
      </c>
      <c r="K65" s="535" t="s">
        <v>9</v>
      </c>
      <c r="L65" s="540">
        <f t="shared" si="0"/>
        <v>39253.750075000004</v>
      </c>
      <c r="M65" s="649"/>
      <c r="N65" s="650"/>
      <c r="O65" s="650"/>
      <c r="P65" s="650"/>
      <c r="Q65" s="650"/>
      <c r="R65" s="707"/>
      <c r="S65" s="674"/>
      <c r="T65" s="650"/>
      <c r="U65" s="650"/>
      <c r="V65" s="136"/>
      <c r="W65" s="136"/>
      <c r="X65" s="136"/>
      <c r="Y65" s="136"/>
      <c r="Z65" s="136"/>
    </row>
    <row r="66" spans="1:26" ht="14.5">
      <c r="A66" s="665">
        <v>43318</v>
      </c>
      <c r="B66" s="666" t="s">
        <v>48</v>
      </c>
      <c r="C66" s="667" t="s">
        <v>69</v>
      </c>
      <c r="D66" s="668" t="s">
        <v>115</v>
      </c>
      <c r="E66" s="667" t="s">
        <v>71</v>
      </c>
      <c r="F66" s="668">
        <v>2700</v>
      </c>
      <c r="G66" s="669">
        <v>14.69</v>
      </c>
      <c r="H66" s="669">
        <v>14.54</v>
      </c>
      <c r="I66" s="670">
        <v>413.46</v>
      </c>
      <c r="J66" s="671">
        <v>1.05</v>
      </c>
      <c r="K66" s="667" t="s">
        <v>9</v>
      </c>
      <c r="L66" s="670" t="str">
        <f t="shared" si="0"/>
        <v/>
      </c>
      <c r="M66" s="649"/>
      <c r="N66" s="650"/>
      <c r="O66" s="650"/>
      <c r="P66" s="650"/>
      <c r="Q66" s="650"/>
      <c r="R66" s="707"/>
      <c r="S66" s="674"/>
      <c r="T66" s="650"/>
      <c r="U66" s="650"/>
      <c r="V66" s="136"/>
      <c r="W66" s="136"/>
      <c r="X66" s="136"/>
      <c r="Y66" s="136"/>
      <c r="Z66" s="136"/>
    </row>
    <row r="67" spans="1:26" ht="14.5">
      <c r="A67" s="684">
        <v>43322</v>
      </c>
      <c r="B67" s="685" t="s">
        <v>47</v>
      </c>
      <c r="C67" s="686" t="s">
        <v>69</v>
      </c>
      <c r="D67" s="686" t="s">
        <v>129</v>
      </c>
      <c r="E67" s="686" t="s">
        <v>71</v>
      </c>
      <c r="F67" s="687">
        <v>4500</v>
      </c>
      <c r="G67" s="688">
        <v>9.32</v>
      </c>
      <c r="H67" s="688">
        <v>0</v>
      </c>
      <c r="I67" s="689">
        <v>0</v>
      </c>
      <c r="J67" s="690">
        <v>0</v>
      </c>
      <c r="K67" s="686" t="s">
        <v>9</v>
      </c>
      <c r="L67" s="689">
        <f t="shared" ref="L67:L130" si="1">IF(B67="Compra",(F67*G67)+10+(F67*G67*0.000325),"")</f>
        <v>41963.630499999999</v>
      </c>
      <c r="M67" s="649"/>
      <c r="N67" s="650"/>
      <c r="O67" s="650"/>
      <c r="P67" s="650"/>
      <c r="Q67" s="650"/>
      <c r="R67" s="707"/>
      <c r="S67" s="674"/>
      <c r="T67" s="650"/>
      <c r="U67" s="650"/>
      <c r="V67" s="136"/>
      <c r="W67" s="136"/>
      <c r="X67" s="136"/>
      <c r="Y67" s="136"/>
      <c r="Z67" s="136"/>
    </row>
    <row r="68" spans="1:26" ht="14.5">
      <c r="A68" s="684">
        <v>43325</v>
      </c>
      <c r="B68" s="685" t="s">
        <v>48</v>
      </c>
      <c r="C68" s="686" t="s">
        <v>69</v>
      </c>
      <c r="D68" s="686" t="s">
        <v>129</v>
      </c>
      <c r="E68" s="686" t="s">
        <v>71</v>
      </c>
      <c r="F68" s="687">
        <v>4500</v>
      </c>
      <c r="G68" s="688">
        <v>9.33</v>
      </c>
      <c r="H68" s="688">
        <v>9.33</v>
      </c>
      <c r="I68" s="689">
        <v>42.72</v>
      </c>
      <c r="J68" s="690">
        <v>0.1</v>
      </c>
      <c r="K68" s="686" t="s">
        <v>9</v>
      </c>
      <c r="L68" s="689" t="str">
        <f t="shared" si="1"/>
        <v/>
      </c>
      <c r="M68" s="649"/>
      <c r="N68" s="650"/>
      <c r="O68" s="650"/>
      <c r="P68" s="650"/>
      <c r="Q68" s="650"/>
      <c r="R68" s="707"/>
      <c r="S68" s="674"/>
      <c r="T68" s="650"/>
      <c r="U68" s="650"/>
      <c r="V68" s="136"/>
      <c r="W68" s="136"/>
      <c r="X68" s="136"/>
      <c r="Y68" s="136"/>
      <c r="Z68" s="136"/>
    </row>
    <row r="69" spans="1:26" ht="14.5">
      <c r="A69" s="684">
        <v>43327</v>
      </c>
      <c r="B69" s="685" t="s">
        <v>47</v>
      </c>
      <c r="C69" s="686" t="s">
        <v>69</v>
      </c>
      <c r="D69" s="686" t="s">
        <v>129</v>
      </c>
      <c r="E69" s="686" t="s">
        <v>71</v>
      </c>
      <c r="F69" s="687">
        <v>4400</v>
      </c>
      <c r="G69" s="688">
        <v>9.0399999999999991</v>
      </c>
      <c r="H69" s="688">
        <v>0</v>
      </c>
      <c r="I69" s="689">
        <v>0</v>
      </c>
      <c r="J69" s="690">
        <v>0</v>
      </c>
      <c r="K69" s="686" t="s">
        <v>9</v>
      </c>
      <c r="L69" s="689">
        <f t="shared" si="1"/>
        <v>39798.927199999991</v>
      </c>
      <c r="M69" s="649"/>
      <c r="N69" s="650"/>
      <c r="O69" s="650"/>
      <c r="P69" s="650"/>
      <c r="Q69" s="650"/>
      <c r="R69" s="707"/>
      <c r="S69" s="674"/>
      <c r="T69" s="650"/>
      <c r="U69" s="650"/>
      <c r="V69" s="136"/>
      <c r="W69" s="136"/>
      <c r="X69" s="136"/>
      <c r="Y69" s="136"/>
      <c r="Z69" s="136"/>
    </row>
    <row r="70" spans="1:26" ht="14.5">
      <c r="A70" s="684">
        <v>43332</v>
      </c>
      <c r="B70" s="685" t="s">
        <v>48</v>
      </c>
      <c r="C70" s="686" t="s">
        <v>69</v>
      </c>
      <c r="D70" s="686" t="s">
        <v>129</v>
      </c>
      <c r="E70" s="686" t="s">
        <v>71</v>
      </c>
      <c r="F70" s="687">
        <v>4400</v>
      </c>
      <c r="G70" s="688">
        <v>9.14</v>
      </c>
      <c r="H70" s="688">
        <v>9.0500000000000007</v>
      </c>
      <c r="I70" s="689">
        <v>438</v>
      </c>
      <c r="J70" s="690">
        <v>1.1000000000000001</v>
      </c>
      <c r="K70" s="686" t="s">
        <v>9</v>
      </c>
      <c r="L70" s="689" t="str">
        <f t="shared" si="1"/>
        <v/>
      </c>
      <c r="M70" s="649"/>
      <c r="N70" s="650"/>
      <c r="O70" s="650"/>
      <c r="P70" s="650"/>
      <c r="Q70" s="650"/>
      <c r="R70" s="707"/>
      <c r="S70" s="674"/>
      <c r="T70" s="650"/>
      <c r="U70" s="650"/>
      <c r="V70" s="136"/>
      <c r="W70" s="136"/>
      <c r="X70" s="136"/>
      <c r="Y70" s="136"/>
      <c r="Z70" s="136"/>
    </row>
    <row r="71" spans="1:26" ht="14.5">
      <c r="A71" s="684">
        <v>43333</v>
      </c>
      <c r="B71" s="685" t="s">
        <v>47</v>
      </c>
      <c r="C71" s="686" t="s">
        <v>69</v>
      </c>
      <c r="D71" s="686" t="s">
        <v>129</v>
      </c>
      <c r="E71" s="686" t="s">
        <v>71</v>
      </c>
      <c r="F71" s="687">
        <v>4400</v>
      </c>
      <c r="G71" s="688">
        <v>9.09</v>
      </c>
      <c r="H71" s="688">
        <v>0</v>
      </c>
      <c r="I71" s="689">
        <v>0</v>
      </c>
      <c r="J71" s="690">
        <v>0</v>
      </c>
      <c r="K71" s="686" t="s">
        <v>9</v>
      </c>
      <c r="L71" s="689">
        <f t="shared" si="1"/>
        <v>40018.998699999996</v>
      </c>
      <c r="M71" s="649"/>
      <c r="N71" s="650"/>
      <c r="O71" s="650"/>
      <c r="P71" s="650"/>
      <c r="Q71" s="650"/>
      <c r="R71" s="707"/>
      <c r="S71" s="674"/>
      <c r="T71" s="650"/>
      <c r="U71" s="650"/>
      <c r="V71" s="136"/>
      <c r="W71" s="136"/>
      <c r="X71" s="136"/>
      <c r="Y71" s="136"/>
      <c r="Z71" s="136"/>
    </row>
    <row r="72" spans="1:26" ht="14.5">
      <c r="A72" s="684">
        <v>43334</v>
      </c>
      <c r="B72" s="685" t="s">
        <v>48</v>
      </c>
      <c r="C72" s="686" t="s">
        <v>69</v>
      </c>
      <c r="D72" s="686" t="s">
        <v>129</v>
      </c>
      <c r="E72" s="686" t="s">
        <v>71</v>
      </c>
      <c r="F72" s="687">
        <v>4400</v>
      </c>
      <c r="G72" s="688">
        <v>9.23</v>
      </c>
      <c r="H72" s="688">
        <v>9.09</v>
      </c>
      <c r="I72" s="689">
        <v>617.79999999999995</v>
      </c>
      <c r="J72" s="690">
        <v>1.54</v>
      </c>
      <c r="K72" s="686" t="s">
        <v>9</v>
      </c>
      <c r="L72" s="689" t="str">
        <f t="shared" si="1"/>
        <v/>
      </c>
      <c r="M72" s="649"/>
      <c r="N72" s="650"/>
      <c r="O72" s="650"/>
      <c r="P72" s="650"/>
      <c r="Q72" s="650"/>
      <c r="R72" s="707"/>
      <c r="S72" s="674"/>
      <c r="T72" s="650"/>
      <c r="U72" s="650"/>
      <c r="V72" s="136"/>
      <c r="W72" s="136"/>
      <c r="X72" s="136"/>
      <c r="Y72" s="136"/>
      <c r="Z72" s="136"/>
    </row>
    <row r="73" spans="1:26" ht="14.5">
      <c r="A73" s="684">
        <v>43340</v>
      </c>
      <c r="B73" s="685" t="s">
        <v>47</v>
      </c>
      <c r="C73" s="686" t="s">
        <v>69</v>
      </c>
      <c r="D73" s="686" t="s">
        <v>129</v>
      </c>
      <c r="E73" s="686" t="s">
        <v>71</v>
      </c>
      <c r="F73" s="687">
        <v>4800</v>
      </c>
      <c r="G73" s="688">
        <v>8.49</v>
      </c>
      <c r="H73" s="688">
        <v>0</v>
      </c>
      <c r="I73" s="689">
        <v>0</v>
      </c>
      <c r="J73" s="690">
        <v>0</v>
      </c>
      <c r="K73" s="686" t="s">
        <v>9</v>
      </c>
      <c r="L73" s="689">
        <f t="shared" si="1"/>
        <v>40775.244400000003</v>
      </c>
      <c r="M73" s="649"/>
      <c r="N73" s="650"/>
      <c r="O73" s="650"/>
      <c r="P73" s="650"/>
      <c r="Q73" s="650"/>
      <c r="R73" s="707"/>
      <c r="S73" s="674"/>
      <c r="T73" s="650"/>
      <c r="U73" s="650"/>
      <c r="V73" s="136"/>
      <c r="W73" s="136"/>
      <c r="X73" s="136"/>
      <c r="Y73" s="136"/>
      <c r="Z73" s="136"/>
    </row>
    <row r="74" spans="1:26" ht="14.5">
      <c r="A74" s="525">
        <v>43341</v>
      </c>
      <c r="B74" s="526" t="s">
        <v>48</v>
      </c>
      <c r="C74" s="527" t="s">
        <v>69</v>
      </c>
      <c r="D74" s="527" t="s">
        <v>129</v>
      </c>
      <c r="E74" s="527" t="s">
        <v>71</v>
      </c>
      <c r="F74" s="528">
        <v>4800</v>
      </c>
      <c r="G74" s="529">
        <v>8.6199999999999992</v>
      </c>
      <c r="H74" s="529">
        <v>8.49</v>
      </c>
      <c r="I74" s="530">
        <v>625.29999999999995</v>
      </c>
      <c r="J74" s="531">
        <v>1.53</v>
      </c>
      <c r="K74" s="527" t="s">
        <v>9</v>
      </c>
      <c r="L74" s="532" t="str">
        <f t="shared" si="1"/>
        <v/>
      </c>
      <c r="M74" s="649"/>
      <c r="N74" s="650"/>
      <c r="O74" s="650"/>
      <c r="P74" s="650"/>
      <c r="Q74" s="650"/>
      <c r="R74" s="707"/>
      <c r="S74" s="674"/>
      <c r="T74" s="650"/>
      <c r="U74" s="650"/>
      <c r="V74" s="136"/>
      <c r="W74" s="136"/>
      <c r="X74" s="136"/>
      <c r="Y74" s="136"/>
      <c r="Z74" s="136"/>
    </row>
    <row r="75" spans="1:26" ht="14.5">
      <c r="A75" s="684">
        <v>43346</v>
      </c>
      <c r="B75" s="685" t="s">
        <v>47</v>
      </c>
      <c r="C75" s="686" t="s">
        <v>69</v>
      </c>
      <c r="D75" s="686" t="s">
        <v>129</v>
      </c>
      <c r="E75" s="686" t="s">
        <v>71</v>
      </c>
      <c r="F75" s="687">
        <v>5000</v>
      </c>
      <c r="G75" s="688">
        <v>8.8499999999999979</v>
      </c>
      <c r="H75" s="688">
        <v>0</v>
      </c>
      <c r="I75" s="689">
        <v>0</v>
      </c>
      <c r="J75" s="690">
        <v>0</v>
      </c>
      <c r="K75" s="686" t="s">
        <v>9</v>
      </c>
      <c r="L75" s="689">
        <f t="shared" si="1"/>
        <v>44274.381249999991</v>
      </c>
      <c r="M75" s="649"/>
      <c r="N75" s="650"/>
      <c r="O75" s="650"/>
      <c r="P75" s="650"/>
      <c r="Q75" s="650"/>
      <c r="R75" s="707"/>
      <c r="S75" s="674"/>
      <c r="T75" s="650"/>
      <c r="U75" s="650"/>
      <c r="V75" s="136"/>
      <c r="W75" s="136"/>
      <c r="X75" s="136"/>
      <c r="Y75" s="136"/>
      <c r="Z75" s="136"/>
    </row>
    <row r="76" spans="1:26" ht="14.5">
      <c r="A76" s="684">
        <v>43364</v>
      </c>
      <c r="B76" s="685" t="s">
        <v>48</v>
      </c>
      <c r="C76" s="686" t="s">
        <v>69</v>
      </c>
      <c r="D76" s="686" t="s">
        <v>129</v>
      </c>
      <c r="E76" s="686" t="s">
        <v>71</v>
      </c>
      <c r="F76" s="687">
        <v>5000</v>
      </c>
      <c r="G76" s="688">
        <v>9.0500000000000007</v>
      </c>
      <c r="H76" s="688">
        <v>8.8499999999999979</v>
      </c>
      <c r="I76" s="689">
        <v>1000.95</v>
      </c>
      <c r="J76" s="690">
        <v>2.2599999999999998</v>
      </c>
      <c r="K76" s="686" t="s">
        <v>9</v>
      </c>
      <c r="L76" s="689" t="str">
        <f t="shared" si="1"/>
        <v/>
      </c>
      <c r="M76" s="649"/>
      <c r="N76" s="650"/>
      <c r="O76" s="650"/>
      <c r="P76" s="650"/>
      <c r="Q76" s="650"/>
      <c r="R76" s="707"/>
      <c r="S76" s="674"/>
      <c r="T76" s="650"/>
      <c r="U76" s="650"/>
      <c r="V76" s="136"/>
      <c r="W76" s="136"/>
      <c r="X76" s="136"/>
      <c r="Y76" s="136"/>
      <c r="Z76" s="136"/>
    </row>
    <row r="77" spans="1:26" ht="14.5">
      <c r="A77" s="684">
        <v>43367</v>
      </c>
      <c r="B77" s="685" t="s">
        <v>47</v>
      </c>
      <c r="C77" s="686" t="s">
        <v>69</v>
      </c>
      <c r="D77" s="686" t="s">
        <v>129</v>
      </c>
      <c r="E77" s="686" t="s">
        <v>71</v>
      </c>
      <c r="F77" s="687">
        <v>5000</v>
      </c>
      <c r="G77" s="688">
        <v>8.7899999999999991</v>
      </c>
      <c r="H77" s="688">
        <v>0</v>
      </c>
      <c r="I77" s="689">
        <v>0</v>
      </c>
      <c r="J77" s="690">
        <v>0</v>
      </c>
      <c r="K77" s="686" t="s">
        <v>9</v>
      </c>
      <c r="L77" s="689">
        <f t="shared" si="1"/>
        <v>43974.283749999995</v>
      </c>
      <c r="M77" s="649"/>
      <c r="N77" s="650"/>
      <c r="O77" s="650"/>
      <c r="P77" s="650"/>
      <c r="Q77" s="650"/>
      <c r="R77" s="707"/>
      <c r="S77" s="674"/>
      <c r="T77" s="650"/>
      <c r="U77" s="650"/>
      <c r="V77" s="136"/>
      <c r="W77" s="136"/>
      <c r="X77" s="136"/>
      <c r="Y77" s="136"/>
      <c r="Z77" s="136"/>
    </row>
    <row r="78" spans="1:26" ht="14.5">
      <c r="A78" s="525">
        <v>43368</v>
      </c>
      <c r="B78" s="526" t="s">
        <v>48</v>
      </c>
      <c r="C78" s="527" t="s">
        <v>69</v>
      </c>
      <c r="D78" s="527" t="s">
        <v>129</v>
      </c>
      <c r="E78" s="527" t="s">
        <v>71</v>
      </c>
      <c r="F78" s="528">
        <v>5000</v>
      </c>
      <c r="G78" s="529">
        <v>8.9600000000000009</v>
      </c>
      <c r="H78" s="529">
        <v>8.7899999999999991</v>
      </c>
      <c r="I78" s="530">
        <v>851.23</v>
      </c>
      <c r="J78" s="531">
        <v>1.93</v>
      </c>
      <c r="K78" s="527" t="s">
        <v>9</v>
      </c>
      <c r="L78" s="532" t="str">
        <f t="shared" si="1"/>
        <v/>
      </c>
      <c r="M78" s="649"/>
      <c r="N78" s="650"/>
      <c r="O78" s="650"/>
      <c r="P78" s="650"/>
      <c r="Q78" s="650"/>
      <c r="R78" s="707"/>
      <c r="S78" s="674"/>
      <c r="T78" s="650"/>
      <c r="U78" s="650"/>
      <c r="V78" s="136"/>
      <c r="W78" s="136"/>
      <c r="X78" s="136"/>
      <c r="Y78" s="136"/>
      <c r="Z78" s="136"/>
    </row>
    <row r="79" spans="1:26" ht="14.5">
      <c r="A79" s="684">
        <v>43374</v>
      </c>
      <c r="B79" s="685" t="s">
        <v>47</v>
      </c>
      <c r="C79" s="686" t="s">
        <v>69</v>
      </c>
      <c r="D79" s="686" t="s">
        <v>129</v>
      </c>
      <c r="E79" s="686" t="s">
        <v>71</v>
      </c>
      <c r="F79" s="687">
        <v>3800</v>
      </c>
      <c r="G79" s="688">
        <v>9.31</v>
      </c>
      <c r="H79" s="688">
        <v>0</v>
      </c>
      <c r="I79" s="689">
        <v>0</v>
      </c>
      <c r="J79" s="690">
        <v>0</v>
      </c>
      <c r="K79" s="686" t="s">
        <v>9</v>
      </c>
      <c r="L79" s="689">
        <f t="shared" si="1"/>
        <v>35399.49785</v>
      </c>
      <c r="M79" s="649"/>
      <c r="N79" s="650"/>
      <c r="O79" s="650"/>
      <c r="P79" s="650"/>
      <c r="Q79" s="650"/>
      <c r="R79" s="464">
        <v>1000</v>
      </c>
      <c r="S79" s="612"/>
      <c r="T79" s="650"/>
      <c r="U79" s="650"/>
      <c r="V79" s="136"/>
      <c r="W79" s="136"/>
      <c r="X79" s="136"/>
      <c r="Y79" s="136"/>
      <c r="Z79" s="136"/>
    </row>
    <row r="80" spans="1:26" ht="14.5">
      <c r="A80" s="684">
        <v>43375</v>
      </c>
      <c r="B80" s="685" t="s">
        <v>48</v>
      </c>
      <c r="C80" s="686" t="s">
        <v>69</v>
      </c>
      <c r="D80" s="686" t="s">
        <v>129</v>
      </c>
      <c r="E80" s="686" t="s">
        <v>71</v>
      </c>
      <c r="F80" s="687">
        <v>3800</v>
      </c>
      <c r="G80" s="688">
        <v>9.61</v>
      </c>
      <c r="H80" s="688">
        <v>9.32</v>
      </c>
      <c r="I80" s="689">
        <v>1134.67</v>
      </c>
      <c r="J80" s="690">
        <v>3.2</v>
      </c>
      <c r="K80" s="686" t="s">
        <v>9</v>
      </c>
      <c r="L80" s="689" t="str">
        <f t="shared" si="1"/>
        <v/>
      </c>
      <c r="M80" s="506"/>
      <c r="N80" s="507"/>
      <c r="O80" s="507"/>
      <c r="P80" s="507"/>
      <c r="Q80" s="507"/>
      <c r="R80" s="464">
        <f>R79*((J80/100)+1)</f>
        <v>1032</v>
      </c>
      <c r="S80" s="612">
        <f t="shared" ref="S80:S102" si="2">IF(R80&lt;&gt;R79,R80-R79,"")</f>
        <v>32</v>
      </c>
      <c r="T80" s="650"/>
      <c r="U80" s="650"/>
      <c r="V80" s="136"/>
      <c r="W80" s="136"/>
      <c r="X80" s="136"/>
      <c r="Y80" s="136"/>
      <c r="Z80" s="136"/>
    </row>
    <row r="81" spans="1:26" ht="14.5">
      <c r="A81" s="684">
        <v>43377</v>
      </c>
      <c r="B81" s="685" t="s">
        <v>47</v>
      </c>
      <c r="C81" s="686" t="s">
        <v>69</v>
      </c>
      <c r="D81" s="686" t="s">
        <v>129</v>
      </c>
      <c r="E81" s="686" t="s">
        <v>71</v>
      </c>
      <c r="F81" s="687">
        <v>4100</v>
      </c>
      <c r="G81" s="688">
        <v>9.61</v>
      </c>
      <c r="H81" s="688">
        <v>0</v>
      </c>
      <c r="I81" s="689">
        <v>0</v>
      </c>
      <c r="J81" s="690">
        <v>0</v>
      </c>
      <c r="K81" s="686" t="s">
        <v>9</v>
      </c>
      <c r="L81" s="689">
        <f t="shared" si="1"/>
        <v>39423.805325000001</v>
      </c>
      <c r="M81" s="649"/>
      <c r="N81" s="650"/>
      <c r="O81" s="650"/>
      <c r="P81" s="650"/>
      <c r="Q81" s="650"/>
      <c r="R81" s="464">
        <f>R80*((J81/100)+1)</f>
        <v>1032</v>
      </c>
      <c r="S81" s="612" t="str">
        <f t="shared" si="2"/>
        <v/>
      </c>
      <c r="T81" s="650"/>
      <c r="U81" s="650"/>
      <c r="V81" s="136"/>
      <c r="W81" s="136"/>
      <c r="X81" s="136"/>
      <c r="Y81" s="136"/>
      <c r="Z81" s="136"/>
    </row>
    <row r="82" spans="1:26" ht="14.5">
      <c r="A82" s="684">
        <v>43381</v>
      </c>
      <c r="B82" s="685" t="s">
        <v>48</v>
      </c>
      <c r="C82" s="686" t="s">
        <v>69</v>
      </c>
      <c r="D82" s="686" t="s">
        <v>129</v>
      </c>
      <c r="E82" s="686" t="s">
        <v>71</v>
      </c>
      <c r="F82" s="687">
        <v>4100</v>
      </c>
      <c r="G82" s="688">
        <v>9.8000000000000007</v>
      </c>
      <c r="H82" s="688">
        <v>9.6199999999999992</v>
      </c>
      <c r="I82" s="689">
        <v>786.14</v>
      </c>
      <c r="J82" s="690">
        <v>1.99</v>
      </c>
      <c r="K82" s="686" t="s">
        <v>9</v>
      </c>
      <c r="L82" s="689" t="str">
        <f t="shared" si="1"/>
        <v/>
      </c>
      <c r="M82" s="506"/>
      <c r="N82" s="507"/>
      <c r="O82" s="507"/>
      <c r="P82" s="507"/>
      <c r="Q82" s="507"/>
      <c r="R82" s="464">
        <f>R81*((J82/100)+1)</f>
        <v>1052.5368000000001</v>
      </c>
      <c r="S82" s="612">
        <f t="shared" si="2"/>
        <v>20.536800000000085</v>
      </c>
      <c r="T82" s="650"/>
      <c r="U82" s="650"/>
      <c r="V82" s="136"/>
      <c r="W82" s="136"/>
      <c r="X82" s="136"/>
      <c r="Y82" s="136"/>
      <c r="Z82" s="136"/>
    </row>
    <row r="83" spans="1:26" ht="14.5">
      <c r="A83" s="684">
        <v>43383</v>
      </c>
      <c r="B83" s="685" t="s">
        <v>47</v>
      </c>
      <c r="C83" s="686" t="s">
        <v>69</v>
      </c>
      <c r="D83" s="686" t="s">
        <v>129</v>
      </c>
      <c r="E83" s="686" t="s">
        <v>71</v>
      </c>
      <c r="F83" s="687">
        <v>4300</v>
      </c>
      <c r="G83" s="688">
        <v>9.33</v>
      </c>
      <c r="H83" s="688">
        <v>0</v>
      </c>
      <c r="I83" s="689">
        <v>0</v>
      </c>
      <c r="J83" s="690">
        <v>0</v>
      </c>
      <c r="K83" s="686" t="s">
        <v>9</v>
      </c>
      <c r="L83" s="689">
        <f t="shared" si="1"/>
        <v>40142.038675000003</v>
      </c>
      <c r="M83" s="649"/>
      <c r="N83" s="650"/>
      <c r="O83" s="650"/>
      <c r="P83" s="650"/>
      <c r="Q83" s="650"/>
      <c r="R83" s="464">
        <f>R82*((J83/100)+1)</f>
        <v>1052.5368000000001</v>
      </c>
      <c r="S83" s="612" t="str">
        <f t="shared" si="2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84">
        <v>43384</v>
      </c>
      <c r="B84" s="685" t="s">
        <v>48</v>
      </c>
      <c r="C84" s="686" t="s">
        <v>69</v>
      </c>
      <c r="D84" s="686" t="s">
        <v>129</v>
      </c>
      <c r="E84" s="686" t="s">
        <v>71</v>
      </c>
      <c r="F84" s="687">
        <v>4300</v>
      </c>
      <c r="G84" s="688">
        <v>9.4700000000000006</v>
      </c>
      <c r="H84" s="688">
        <v>9.34</v>
      </c>
      <c r="I84" s="689">
        <v>598.73</v>
      </c>
      <c r="J84" s="690">
        <v>1.49</v>
      </c>
      <c r="K84" s="686" t="s">
        <v>9</v>
      </c>
      <c r="L84" s="689" t="str">
        <f t="shared" si="1"/>
        <v/>
      </c>
      <c r="M84" s="506"/>
      <c r="N84" s="507"/>
      <c r="O84" s="507"/>
      <c r="P84" s="507"/>
      <c r="Q84" s="507"/>
      <c r="R84" s="464">
        <f>R83*((J84/100)+1)</f>
        <v>1068.2195983199999</v>
      </c>
      <c r="S84" s="612">
        <f t="shared" si="2"/>
        <v>15.682798319999847</v>
      </c>
      <c r="T84" s="650"/>
      <c r="U84" s="650"/>
      <c r="V84" s="136"/>
      <c r="W84" s="136"/>
      <c r="X84" s="136"/>
      <c r="Y84" s="136"/>
      <c r="Z84" s="136"/>
    </row>
    <row r="85" spans="1:26" ht="14.5">
      <c r="A85" s="684">
        <v>43390</v>
      </c>
      <c r="B85" s="685" t="s">
        <v>47</v>
      </c>
      <c r="C85" s="686" t="s">
        <v>69</v>
      </c>
      <c r="D85" s="686" t="s">
        <v>129</v>
      </c>
      <c r="E85" s="686" t="s">
        <v>71</v>
      </c>
      <c r="F85" s="687">
        <v>4000</v>
      </c>
      <c r="G85" s="688">
        <v>10.1</v>
      </c>
      <c r="H85" s="688">
        <v>0</v>
      </c>
      <c r="I85" s="689">
        <v>0</v>
      </c>
      <c r="J85" s="690">
        <v>0</v>
      </c>
      <c r="K85" s="686" t="s">
        <v>9</v>
      </c>
      <c r="L85" s="689">
        <f t="shared" si="1"/>
        <v>40423.129999999997</v>
      </c>
      <c r="M85" s="649"/>
      <c r="N85" s="650"/>
      <c r="O85" s="650"/>
      <c r="P85" s="650"/>
      <c r="Q85" s="650"/>
      <c r="R85" s="464">
        <f>R84*((J85/100)+1)+180</f>
        <v>1248.2195983199999</v>
      </c>
      <c r="S85" s="612">
        <f t="shared" si="2"/>
        <v>180</v>
      </c>
      <c r="T85" s="650"/>
      <c r="U85" s="650"/>
      <c r="V85" s="136"/>
      <c r="W85" s="136"/>
      <c r="X85" s="136"/>
      <c r="Y85" s="136"/>
      <c r="Z85" s="136"/>
    </row>
    <row r="86" spans="1:26" ht="14.5">
      <c r="A86" s="684">
        <v>43391</v>
      </c>
      <c r="B86" s="685" t="s">
        <v>48</v>
      </c>
      <c r="C86" s="686" t="s">
        <v>69</v>
      </c>
      <c r="D86" s="686" t="s">
        <v>129</v>
      </c>
      <c r="E86" s="686" t="s">
        <v>71</v>
      </c>
      <c r="F86" s="687">
        <v>4000</v>
      </c>
      <c r="G86" s="688">
        <v>10.25</v>
      </c>
      <c r="H86" s="688">
        <v>10.11</v>
      </c>
      <c r="I86" s="689">
        <v>593.54999999999995</v>
      </c>
      <c r="J86" s="690">
        <v>1.46</v>
      </c>
      <c r="K86" s="686" t="s">
        <v>9</v>
      </c>
      <c r="L86" s="689" t="str">
        <f t="shared" si="1"/>
        <v/>
      </c>
      <c r="M86" s="506"/>
      <c r="N86" s="507"/>
      <c r="O86" s="507"/>
      <c r="P86" s="507"/>
      <c r="Q86" s="507"/>
      <c r="R86" s="464">
        <f t="shared" ref="R86:R102" si="3">R85*((J86/100)+1)</f>
        <v>1266.4436044554718</v>
      </c>
      <c r="S86" s="612">
        <f t="shared" si="2"/>
        <v>18.224006135471882</v>
      </c>
      <c r="T86" s="650"/>
      <c r="U86" s="650"/>
      <c r="V86" s="136"/>
      <c r="W86" s="136"/>
      <c r="X86" s="136"/>
      <c r="Y86" s="136"/>
      <c r="Z86" s="136"/>
    </row>
    <row r="87" spans="1:26" ht="14.5">
      <c r="A87" s="525">
        <v>43396</v>
      </c>
      <c r="B87" s="526" t="s">
        <v>47</v>
      </c>
      <c r="C87" s="527" t="s">
        <v>69</v>
      </c>
      <c r="D87" s="527" t="s">
        <v>129</v>
      </c>
      <c r="E87" s="527" t="s">
        <v>134</v>
      </c>
      <c r="F87" s="528">
        <v>4100</v>
      </c>
      <c r="G87" s="529">
        <v>9.6999999999999993</v>
      </c>
      <c r="H87" s="529">
        <v>0</v>
      </c>
      <c r="I87" s="530">
        <v>0</v>
      </c>
      <c r="J87" s="531">
        <v>0</v>
      </c>
      <c r="K87" s="527" t="s">
        <v>9</v>
      </c>
      <c r="L87" s="532">
        <f t="shared" si="1"/>
        <v>39792.92525</v>
      </c>
      <c r="M87" s="649"/>
      <c r="N87" s="650"/>
      <c r="O87" s="650"/>
      <c r="P87" s="650"/>
      <c r="Q87" s="650"/>
      <c r="R87" s="464">
        <f t="shared" si="3"/>
        <v>1266.4436044554718</v>
      </c>
      <c r="S87" s="612" t="str">
        <f t="shared" si="2"/>
        <v/>
      </c>
      <c r="T87" s="650"/>
      <c r="U87" s="650"/>
      <c r="V87" s="136"/>
      <c r="W87" s="136"/>
      <c r="X87" s="136"/>
      <c r="Y87" s="136"/>
      <c r="Z87" s="136"/>
    </row>
    <row r="88" spans="1:26" ht="14.5">
      <c r="A88" s="684">
        <v>43412</v>
      </c>
      <c r="B88" s="685" t="s">
        <v>48</v>
      </c>
      <c r="C88" s="686" t="s">
        <v>69</v>
      </c>
      <c r="D88" s="686" t="s">
        <v>129</v>
      </c>
      <c r="E88" s="686" t="s">
        <v>71</v>
      </c>
      <c r="F88" s="687">
        <v>4100</v>
      </c>
      <c r="G88" s="688">
        <v>9.85</v>
      </c>
      <c r="H88" s="688">
        <v>9.7100000000000009</v>
      </c>
      <c r="I88" s="689">
        <v>610.34</v>
      </c>
      <c r="J88" s="690">
        <v>1.53</v>
      </c>
      <c r="K88" s="686" t="s">
        <v>9</v>
      </c>
      <c r="L88" s="689" t="str">
        <f t="shared" si="1"/>
        <v/>
      </c>
      <c r="M88" s="506"/>
      <c r="N88" s="507"/>
      <c r="O88" s="507"/>
      <c r="P88" s="507"/>
      <c r="Q88" s="507"/>
      <c r="R88" s="464">
        <f t="shared" si="3"/>
        <v>1285.8201916036408</v>
      </c>
      <c r="S88" s="612">
        <f t="shared" si="2"/>
        <v>19.376587148168937</v>
      </c>
      <c r="T88" s="650"/>
      <c r="U88" s="650"/>
      <c r="V88" s="136"/>
      <c r="W88" s="136"/>
      <c r="X88" s="136"/>
      <c r="Y88" s="136"/>
      <c r="Z88" s="136"/>
    </row>
    <row r="89" spans="1:26" ht="14.5">
      <c r="A89" s="665">
        <v>43413</v>
      </c>
      <c r="B89" s="666" t="s">
        <v>47</v>
      </c>
      <c r="C89" s="667" t="s">
        <v>69</v>
      </c>
      <c r="D89" s="668" t="s">
        <v>115</v>
      </c>
      <c r="E89" s="667" t="s">
        <v>71</v>
      </c>
      <c r="F89" s="668">
        <v>2000</v>
      </c>
      <c r="G89" s="669">
        <v>19.95</v>
      </c>
      <c r="H89" s="669">
        <v>0</v>
      </c>
      <c r="I89" s="670">
        <v>0</v>
      </c>
      <c r="J89" s="671">
        <v>0</v>
      </c>
      <c r="K89" s="667" t="s">
        <v>9</v>
      </c>
      <c r="L89" s="670">
        <f t="shared" si="1"/>
        <v>39922.967499999999</v>
      </c>
      <c r="M89" s="649"/>
      <c r="N89" s="650"/>
      <c r="O89" s="650"/>
      <c r="P89" s="650"/>
      <c r="Q89" s="650"/>
      <c r="R89" s="464">
        <f t="shared" si="3"/>
        <v>1285.8201916036408</v>
      </c>
      <c r="S89" s="612" t="str">
        <f t="shared" si="2"/>
        <v/>
      </c>
      <c r="T89" s="650"/>
      <c r="U89" s="650"/>
      <c r="V89" s="136"/>
      <c r="W89" s="136"/>
      <c r="X89" s="136"/>
      <c r="Y89" s="136"/>
      <c r="Z89" s="136"/>
    </row>
    <row r="90" spans="1:26" ht="14.5">
      <c r="A90" s="665">
        <v>43416</v>
      </c>
      <c r="B90" s="666" t="s">
        <v>48</v>
      </c>
      <c r="C90" s="667" t="s">
        <v>69</v>
      </c>
      <c r="D90" s="668" t="s">
        <v>115</v>
      </c>
      <c r="E90" s="667" t="s">
        <v>71</v>
      </c>
      <c r="F90" s="668">
        <v>2000</v>
      </c>
      <c r="G90" s="669">
        <v>20.22</v>
      </c>
      <c r="H90" s="669">
        <v>19.95</v>
      </c>
      <c r="I90" s="670">
        <v>554.66</v>
      </c>
      <c r="J90" s="671">
        <v>1.39</v>
      </c>
      <c r="K90" s="667" t="s">
        <v>9</v>
      </c>
      <c r="L90" s="670" t="str">
        <f t="shared" si="1"/>
        <v/>
      </c>
      <c r="M90" s="506"/>
      <c r="N90" s="507"/>
      <c r="O90" s="507"/>
      <c r="P90" s="507"/>
      <c r="Q90" s="507"/>
      <c r="R90" s="464">
        <f t="shared" si="3"/>
        <v>1303.6930922669314</v>
      </c>
      <c r="S90" s="612">
        <f t="shared" si="2"/>
        <v>17.872900663290693</v>
      </c>
      <c r="T90" s="649"/>
      <c r="U90" s="649"/>
    </row>
    <row r="91" spans="1:26" ht="14.5">
      <c r="A91" s="665">
        <v>43423</v>
      </c>
      <c r="B91" s="666" t="s">
        <v>47</v>
      </c>
      <c r="C91" s="667" t="s">
        <v>69</v>
      </c>
      <c r="D91" s="668" t="s">
        <v>115</v>
      </c>
      <c r="E91" s="667" t="s">
        <v>71</v>
      </c>
      <c r="F91" s="668">
        <v>2000</v>
      </c>
      <c r="G91" s="669">
        <v>20.149999999999999</v>
      </c>
      <c r="H91" s="669">
        <v>0</v>
      </c>
      <c r="I91" s="670">
        <v>0</v>
      </c>
      <c r="J91" s="671">
        <v>0</v>
      </c>
      <c r="K91" s="667" t="s">
        <v>9</v>
      </c>
      <c r="L91" s="670">
        <f t="shared" si="1"/>
        <v>40323.097500000003</v>
      </c>
      <c r="M91" s="649"/>
      <c r="N91" s="650"/>
      <c r="O91" s="649"/>
      <c r="P91" s="649"/>
      <c r="Q91" s="649"/>
      <c r="R91" s="464">
        <f t="shared" si="3"/>
        <v>1303.6930922669314</v>
      </c>
      <c r="S91" s="612" t="str">
        <f t="shared" si="2"/>
        <v/>
      </c>
      <c r="T91" s="649"/>
      <c r="U91" s="649"/>
    </row>
    <row r="92" spans="1:26" ht="14.5">
      <c r="A92" s="665">
        <v>43425</v>
      </c>
      <c r="B92" s="666" t="s">
        <v>48</v>
      </c>
      <c r="C92" s="667" t="s">
        <v>69</v>
      </c>
      <c r="D92" s="668" t="s">
        <v>115</v>
      </c>
      <c r="E92" s="667" t="s">
        <v>71</v>
      </c>
      <c r="F92" s="668">
        <v>2000</v>
      </c>
      <c r="G92" s="669">
        <v>20.440000000000001</v>
      </c>
      <c r="H92" s="669">
        <v>20.149999999999999</v>
      </c>
      <c r="I92" s="670">
        <v>594.4</v>
      </c>
      <c r="J92" s="671">
        <v>1.47</v>
      </c>
      <c r="K92" s="667" t="s">
        <v>9</v>
      </c>
      <c r="L92" s="670" t="str">
        <f t="shared" si="1"/>
        <v/>
      </c>
      <c r="M92" s="506"/>
      <c r="N92" s="507"/>
      <c r="O92" s="507"/>
      <c r="P92" s="507"/>
      <c r="Q92" s="507"/>
      <c r="R92" s="464">
        <f t="shared" si="3"/>
        <v>1322.8573807232553</v>
      </c>
      <c r="S92" s="612">
        <f t="shared" si="2"/>
        <v>19.164288456323902</v>
      </c>
      <c r="T92" s="649"/>
      <c r="U92" s="649"/>
    </row>
    <row r="93" spans="1:26" ht="14.5">
      <c r="A93" s="665">
        <v>43426</v>
      </c>
      <c r="B93" s="666" t="s">
        <v>47</v>
      </c>
      <c r="C93" s="667" t="s">
        <v>69</v>
      </c>
      <c r="D93" s="668" t="s">
        <v>115</v>
      </c>
      <c r="E93" s="667" t="s">
        <v>71</v>
      </c>
      <c r="F93" s="668">
        <v>1700</v>
      </c>
      <c r="G93" s="669">
        <v>22.09</v>
      </c>
      <c r="H93" s="669">
        <v>0</v>
      </c>
      <c r="I93" s="670">
        <v>0</v>
      </c>
      <c r="J93" s="671">
        <v>0</v>
      </c>
      <c r="K93" s="667" t="s">
        <v>9</v>
      </c>
      <c r="L93" s="670">
        <f t="shared" si="1"/>
        <v>37575.204725000003</v>
      </c>
      <c r="M93" s="649"/>
      <c r="N93" s="650"/>
      <c r="O93" s="649"/>
      <c r="P93" s="649"/>
      <c r="Q93" s="649"/>
      <c r="R93" s="464">
        <f t="shared" si="3"/>
        <v>1322.8573807232553</v>
      </c>
      <c r="S93" s="612" t="str">
        <f t="shared" si="2"/>
        <v/>
      </c>
      <c r="T93" s="649"/>
      <c r="U93" s="649"/>
    </row>
    <row r="94" spans="1:26" ht="14.5">
      <c r="A94" s="665">
        <v>43427</v>
      </c>
      <c r="B94" s="666" t="s">
        <v>48</v>
      </c>
      <c r="C94" s="667" t="s">
        <v>69</v>
      </c>
      <c r="D94" s="668" t="s">
        <v>115</v>
      </c>
      <c r="E94" s="667" t="s">
        <v>71</v>
      </c>
      <c r="F94" s="668">
        <v>1700</v>
      </c>
      <c r="G94" s="669">
        <v>22.42</v>
      </c>
      <c r="H94" s="669">
        <v>22.09</v>
      </c>
      <c r="I94" s="670">
        <v>568.13</v>
      </c>
      <c r="J94" s="671">
        <v>1.51</v>
      </c>
      <c r="K94" s="667" t="s">
        <v>9</v>
      </c>
      <c r="L94" s="670" t="str">
        <f t="shared" si="1"/>
        <v/>
      </c>
      <c r="M94" s="506"/>
      <c r="N94" s="507"/>
      <c r="O94" s="507"/>
      <c r="P94" s="507"/>
      <c r="Q94" s="507"/>
      <c r="R94" s="464">
        <f t="shared" si="3"/>
        <v>1342.8325271721765</v>
      </c>
      <c r="S94" s="612">
        <f t="shared" si="2"/>
        <v>19.975146448921123</v>
      </c>
      <c r="T94" s="649"/>
      <c r="U94" s="649"/>
    </row>
    <row r="95" spans="1:26" ht="14.5">
      <c r="A95" s="665">
        <v>43430</v>
      </c>
      <c r="B95" s="666" t="s">
        <v>47</v>
      </c>
      <c r="C95" s="667" t="s">
        <v>69</v>
      </c>
      <c r="D95" s="668" t="s">
        <v>115</v>
      </c>
      <c r="E95" s="667" t="s">
        <v>71</v>
      </c>
      <c r="F95" s="668">
        <v>1900</v>
      </c>
      <c r="G95" s="669">
        <v>20.260000000000002</v>
      </c>
      <c r="H95" s="669">
        <v>0</v>
      </c>
      <c r="I95" s="670">
        <v>0</v>
      </c>
      <c r="J95" s="671">
        <v>0</v>
      </c>
      <c r="K95" s="667" t="s">
        <v>9</v>
      </c>
      <c r="L95" s="670">
        <f t="shared" si="1"/>
        <v>38516.510549999999</v>
      </c>
      <c r="M95" s="649"/>
      <c r="N95" s="650"/>
      <c r="O95" s="649"/>
      <c r="P95" s="649"/>
      <c r="Q95" s="649"/>
      <c r="R95" s="464">
        <f t="shared" si="3"/>
        <v>1342.8325271721765</v>
      </c>
      <c r="S95" s="612" t="str">
        <f t="shared" si="2"/>
        <v/>
      </c>
      <c r="T95" s="649"/>
      <c r="U95" s="649"/>
    </row>
    <row r="96" spans="1:26" ht="14.5">
      <c r="A96" s="665">
        <v>43431</v>
      </c>
      <c r="B96" s="666" t="s">
        <v>48</v>
      </c>
      <c r="C96" s="667" t="s">
        <v>69</v>
      </c>
      <c r="D96" s="668" t="s">
        <v>115</v>
      </c>
      <c r="E96" s="667" t="s">
        <v>71</v>
      </c>
      <c r="F96" s="668">
        <v>1900</v>
      </c>
      <c r="G96" s="669">
        <v>20.66</v>
      </c>
      <c r="H96" s="669">
        <v>20.260000000000002</v>
      </c>
      <c r="I96" s="670">
        <v>772.48</v>
      </c>
      <c r="J96" s="671">
        <v>2</v>
      </c>
      <c r="K96" s="667" t="s">
        <v>9</v>
      </c>
      <c r="L96" s="670" t="str">
        <f t="shared" si="1"/>
        <v/>
      </c>
      <c r="M96" s="506"/>
      <c r="N96" s="507"/>
      <c r="O96" s="507"/>
      <c r="P96" s="507"/>
      <c r="Q96" s="507"/>
      <c r="R96" s="464">
        <f t="shared" si="3"/>
        <v>1369.68917771562</v>
      </c>
      <c r="S96" s="612">
        <f t="shared" si="2"/>
        <v>26.856650543443493</v>
      </c>
      <c r="T96" s="649"/>
      <c r="U96" s="649"/>
    </row>
    <row r="97" spans="1:26" ht="14.5">
      <c r="A97" s="533">
        <v>43434</v>
      </c>
      <c r="B97" s="534" t="s">
        <v>47</v>
      </c>
      <c r="C97" s="535" t="s">
        <v>69</v>
      </c>
      <c r="D97" s="535" t="s">
        <v>115</v>
      </c>
      <c r="E97" s="535" t="s">
        <v>71</v>
      </c>
      <c r="F97" s="536">
        <v>1800</v>
      </c>
      <c r="G97" s="537">
        <v>21.61</v>
      </c>
      <c r="H97" s="537">
        <v>0</v>
      </c>
      <c r="I97" s="538">
        <v>0</v>
      </c>
      <c r="J97" s="539">
        <v>0</v>
      </c>
      <c r="K97" s="535" t="s">
        <v>9</v>
      </c>
      <c r="L97" s="540">
        <f t="shared" si="1"/>
        <v>38920.64185</v>
      </c>
      <c r="M97" s="649"/>
      <c r="N97" s="650"/>
      <c r="O97" s="649"/>
      <c r="P97" s="649"/>
      <c r="Q97" s="649"/>
      <c r="R97" s="464">
        <f t="shared" si="3"/>
        <v>1369.68917771562</v>
      </c>
      <c r="S97" s="612" t="str">
        <f t="shared" si="2"/>
        <v/>
      </c>
      <c r="T97" s="649"/>
      <c r="U97" s="649"/>
    </row>
    <row r="98" spans="1:26" ht="14.5">
      <c r="A98" s="665">
        <v>43437</v>
      </c>
      <c r="B98" s="666" t="s">
        <v>48</v>
      </c>
      <c r="C98" s="667" t="s">
        <v>69</v>
      </c>
      <c r="D98" s="668" t="s">
        <v>115</v>
      </c>
      <c r="E98" s="667" t="s">
        <v>71</v>
      </c>
      <c r="F98" s="668">
        <v>1800</v>
      </c>
      <c r="G98" s="669">
        <v>22.01</v>
      </c>
      <c r="H98" s="669">
        <v>21.61</v>
      </c>
      <c r="I98" s="670">
        <v>729.24</v>
      </c>
      <c r="J98" s="671">
        <v>1.87</v>
      </c>
      <c r="K98" s="667" t="s">
        <v>9</v>
      </c>
      <c r="L98" s="670" t="str">
        <f t="shared" si="1"/>
        <v/>
      </c>
      <c r="M98" s="506"/>
      <c r="N98" s="507"/>
      <c r="O98" s="507"/>
      <c r="P98" s="507"/>
      <c r="Q98" s="507"/>
      <c r="R98" s="464">
        <f t="shared" si="3"/>
        <v>1395.3023653389021</v>
      </c>
      <c r="S98" s="612">
        <f t="shared" si="2"/>
        <v>25.613187623282101</v>
      </c>
      <c r="T98" s="649"/>
      <c r="U98" s="649"/>
    </row>
    <row r="99" spans="1:26" ht="14.5">
      <c r="A99" s="665">
        <v>43440</v>
      </c>
      <c r="B99" s="666" t="s">
        <v>47</v>
      </c>
      <c r="C99" s="667" t="s">
        <v>69</v>
      </c>
      <c r="D99" s="668" t="s">
        <v>115</v>
      </c>
      <c r="E99" s="667" t="s">
        <v>71</v>
      </c>
      <c r="F99" s="668">
        <v>2000</v>
      </c>
      <c r="G99" s="669">
        <v>20.420000000000002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1"/>
        <v>40863.273000000001</v>
      </c>
      <c r="M99" s="649"/>
      <c r="N99" s="650"/>
      <c r="O99" s="672"/>
      <c r="P99" s="672"/>
      <c r="Q99" s="672"/>
      <c r="R99" s="464">
        <f t="shared" si="3"/>
        <v>1395.3023653389021</v>
      </c>
      <c r="S99" s="612" t="str">
        <f t="shared" si="2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43445</v>
      </c>
      <c r="B100" s="666" t="s">
        <v>48</v>
      </c>
      <c r="C100" s="667" t="s">
        <v>69</v>
      </c>
      <c r="D100" s="668" t="s">
        <v>115</v>
      </c>
      <c r="E100" s="667" t="s">
        <v>71</v>
      </c>
      <c r="F100" s="668">
        <v>2000</v>
      </c>
      <c r="G100" s="669">
        <v>20.7</v>
      </c>
      <c r="H100" s="669">
        <v>20.420000000000002</v>
      </c>
      <c r="I100" s="670">
        <v>573.89</v>
      </c>
      <c r="J100" s="671">
        <v>1.4</v>
      </c>
      <c r="K100" s="667" t="s">
        <v>9</v>
      </c>
      <c r="L100" s="670" t="str">
        <f t="shared" si="1"/>
        <v/>
      </c>
      <c r="M100" s="506"/>
      <c r="N100" s="507"/>
      <c r="O100" s="507"/>
      <c r="P100" s="507"/>
      <c r="Q100" s="507"/>
      <c r="R100" s="464">
        <f t="shared" si="3"/>
        <v>1414.8365984536467</v>
      </c>
      <c r="S100" s="612">
        <f t="shared" si="2"/>
        <v>19.534233114744666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43452</v>
      </c>
      <c r="B101" s="666" t="s">
        <v>47</v>
      </c>
      <c r="C101" s="667" t="s">
        <v>69</v>
      </c>
      <c r="D101" s="668" t="s">
        <v>115</v>
      </c>
      <c r="E101" s="667" t="s">
        <v>71</v>
      </c>
      <c r="F101" s="668">
        <v>1400</v>
      </c>
      <c r="G101" s="669">
        <v>25.13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1"/>
        <v>35203.434150000001</v>
      </c>
      <c r="M101" s="649"/>
      <c r="N101" s="650"/>
      <c r="O101" s="672"/>
      <c r="P101" s="672"/>
      <c r="Q101" s="672"/>
      <c r="R101" s="464">
        <f t="shared" si="3"/>
        <v>1414.8365984536467</v>
      </c>
      <c r="S101" s="612" t="str">
        <f t="shared" si="2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43453</v>
      </c>
      <c r="B102" s="666" t="s">
        <v>48</v>
      </c>
      <c r="C102" s="667" t="s">
        <v>69</v>
      </c>
      <c r="D102" s="668" t="s">
        <v>115</v>
      </c>
      <c r="E102" s="667" t="s">
        <v>71</v>
      </c>
      <c r="F102" s="668">
        <v>1400</v>
      </c>
      <c r="G102" s="669">
        <v>25.73</v>
      </c>
      <c r="H102" s="669">
        <v>25.14</v>
      </c>
      <c r="I102" s="670">
        <v>839.39999999999986</v>
      </c>
      <c r="J102" s="671">
        <v>2.38</v>
      </c>
      <c r="K102" s="667" t="s">
        <v>9</v>
      </c>
      <c r="L102" s="670" t="str">
        <f t="shared" si="1"/>
        <v/>
      </c>
      <c r="M102" s="649"/>
      <c r="N102" s="650"/>
      <c r="O102" s="672"/>
      <c r="P102" s="672"/>
      <c r="Q102" s="672"/>
      <c r="R102" s="464">
        <f t="shared" si="3"/>
        <v>1448.5097094968435</v>
      </c>
      <c r="S102" s="612">
        <f t="shared" si="2"/>
        <v>33.673111043196741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43460</v>
      </c>
      <c r="B103" s="666" t="s">
        <v>47</v>
      </c>
      <c r="C103" s="667" t="s">
        <v>69</v>
      </c>
      <c r="D103" s="668" t="s">
        <v>115</v>
      </c>
      <c r="E103" s="667" t="s">
        <v>71</v>
      </c>
      <c r="F103" s="668">
        <v>1500</v>
      </c>
      <c r="G103" s="669">
        <v>24.51</v>
      </c>
      <c r="H103" s="669">
        <v>0</v>
      </c>
      <c r="I103" s="670">
        <v>0</v>
      </c>
      <c r="J103" s="671">
        <v>0</v>
      </c>
      <c r="K103" s="667" t="s">
        <v>9</v>
      </c>
      <c r="L103" s="670">
        <f t="shared" si="1"/>
        <v>36786.948624999997</v>
      </c>
      <c r="M103" s="649"/>
      <c r="N103" s="650"/>
      <c r="O103" s="672"/>
      <c r="P103" s="672"/>
      <c r="Q103" s="672" t="s">
        <v>135</v>
      </c>
      <c r="R103" s="464">
        <f>R102*((J103/100)+1)+S103</f>
        <v>1433.0228735078213</v>
      </c>
      <c r="S103" s="612">
        <f>(R97-R87)*-0.15</f>
        <v>-15.486835989022222</v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33">
        <v>43461</v>
      </c>
      <c r="B104" s="534" t="s">
        <v>48</v>
      </c>
      <c r="C104" s="535" t="s">
        <v>69</v>
      </c>
      <c r="D104" s="535" t="s">
        <v>115</v>
      </c>
      <c r="E104" s="535" t="s">
        <v>71</v>
      </c>
      <c r="F104" s="536">
        <v>1500</v>
      </c>
      <c r="G104" s="537">
        <v>24.97</v>
      </c>
      <c r="H104" s="537">
        <v>24.51</v>
      </c>
      <c r="I104" s="538">
        <v>691.44000000000017</v>
      </c>
      <c r="J104" s="539">
        <v>1.88</v>
      </c>
      <c r="K104" s="535" t="s">
        <v>9</v>
      </c>
      <c r="L104" s="540" t="str">
        <f t="shared" si="1"/>
        <v/>
      </c>
      <c r="M104" s="649"/>
      <c r="N104" s="650"/>
      <c r="O104" s="672"/>
      <c r="P104" s="672"/>
      <c r="Q104" s="672"/>
      <c r="R104" s="464">
        <f t="shared" ref="R104:R195" si="4">R103*((J104/100)+1)</f>
        <v>1459.9637035297683</v>
      </c>
      <c r="S104" s="612">
        <f t="shared" ref="S104:S195" si="5">IF(R104&lt;&gt;R103,R104-R103,"")</f>
        <v>26.940830021947022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/>
      <c r="B105" s="666"/>
      <c r="C105" s="667"/>
      <c r="D105" s="668"/>
      <c r="E105" s="667"/>
      <c r="F105" s="668"/>
      <c r="G105" s="669"/>
      <c r="H105" s="669"/>
      <c r="I105" s="670"/>
      <c r="J105" s="671"/>
      <c r="K105" s="667"/>
      <c r="L105" s="670" t="str">
        <f t="shared" si="1"/>
        <v/>
      </c>
      <c r="M105" s="649"/>
      <c r="N105" s="650"/>
      <c r="O105" s="672"/>
      <c r="P105" s="672"/>
      <c r="Q105" s="672"/>
      <c r="R105" s="464">
        <f t="shared" si="4"/>
        <v>1459.9637035297683</v>
      </c>
      <c r="S105" s="612" t="str">
        <f t="shared" si="5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/>
      <c r="B106" s="666"/>
      <c r="C106" s="667"/>
      <c r="D106" s="668"/>
      <c r="E106" s="667"/>
      <c r="F106" s="668"/>
      <c r="G106" s="669"/>
      <c r="H106" s="669"/>
      <c r="I106" s="670"/>
      <c r="J106" s="671"/>
      <c r="K106" s="667"/>
      <c r="L106" s="670" t="str">
        <f t="shared" si="1"/>
        <v/>
      </c>
      <c r="M106" s="649"/>
      <c r="N106" s="650"/>
      <c r="O106" s="672"/>
      <c r="P106" s="672"/>
      <c r="Q106" s="672"/>
      <c r="R106" s="464">
        <f t="shared" si="4"/>
        <v>1459.9637035297683</v>
      </c>
      <c r="S106" s="612" t="str">
        <f t="shared" si="5"/>
        <v/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/>
      <c r="B107" s="666"/>
      <c r="C107" s="667"/>
      <c r="D107" s="668"/>
      <c r="E107" s="667"/>
      <c r="F107" s="668"/>
      <c r="G107" s="669"/>
      <c r="H107" s="669"/>
      <c r="I107" s="670"/>
      <c r="J107" s="671"/>
      <c r="K107" s="667"/>
      <c r="L107" s="670" t="str">
        <f t="shared" si="1"/>
        <v/>
      </c>
      <c r="M107" s="649"/>
      <c r="N107" s="650"/>
      <c r="O107" s="672"/>
      <c r="P107" s="672"/>
      <c r="Q107" s="672"/>
      <c r="R107" s="464">
        <f t="shared" si="4"/>
        <v>1459.9637035297683</v>
      </c>
      <c r="S107" s="612" t="str">
        <f t="shared" si="5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/>
      <c r="B108" s="666"/>
      <c r="C108" s="667"/>
      <c r="D108" s="668"/>
      <c r="E108" s="667"/>
      <c r="F108" s="668"/>
      <c r="G108" s="669"/>
      <c r="H108" s="669"/>
      <c r="I108" s="670"/>
      <c r="J108" s="671"/>
      <c r="K108" s="667"/>
      <c r="L108" s="670" t="str">
        <f t="shared" si="1"/>
        <v/>
      </c>
      <c r="M108" s="649"/>
      <c r="N108" s="650"/>
      <c r="O108" s="672"/>
      <c r="P108" s="672"/>
      <c r="Q108" s="672"/>
      <c r="R108" s="464">
        <f t="shared" si="4"/>
        <v>1459.9637035297683</v>
      </c>
      <c r="S108" s="612" t="str">
        <f t="shared" si="5"/>
        <v/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/>
      <c r="B109" s="666"/>
      <c r="C109" s="667"/>
      <c r="D109" s="668"/>
      <c r="E109" s="667"/>
      <c r="F109" s="668"/>
      <c r="G109" s="669"/>
      <c r="H109" s="669"/>
      <c r="I109" s="670"/>
      <c r="J109" s="671"/>
      <c r="K109" s="667"/>
      <c r="L109" s="670" t="str">
        <f t="shared" si="1"/>
        <v/>
      </c>
      <c r="M109" s="649"/>
      <c r="N109" s="650"/>
      <c r="O109" s="649"/>
      <c r="P109" s="649"/>
      <c r="Q109" s="649"/>
      <c r="R109" s="464">
        <f t="shared" si="4"/>
        <v>1459.9637035297683</v>
      </c>
      <c r="S109" s="612" t="str">
        <f t="shared" si="5"/>
        <v/>
      </c>
      <c r="T109" s="649"/>
      <c r="U109" s="649"/>
    </row>
    <row r="110" spans="1:26" ht="14.5">
      <c r="A110" s="665"/>
      <c r="B110" s="666"/>
      <c r="C110" s="667"/>
      <c r="D110" s="668"/>
      <c r="E110" s="667"/>
      <c r="F110" s="668"/>
      <c r="G110" s="669"/>
      <c r="H110" s="669"/>
      <c r="I110" s="670"/>
      <c r="J110" s="671"/>
      <c r="K110" s="667"/>
      <c r="L110" s="670" t="str">
        <f t="shared" si="1"/>
        <v/>
      </c>
      <c r="M110" s="649"/>
      <c r="N110" s="650"/>
      <c r="O110" s="649"/>
      <c r="P110" s="649"/>
      <c r="Q110" s="649"/>
      <c r="R110" s="464">
        <f t="shared" si="4"/>
        <v>1459.9637035297683</v>
      </c>
      <c r="S110" s="612" t="str">
        <f t="shared" si="5"/>
        <v/>
      </c>
      <c r="T110" s="649"/>
      <c r="U110" s="649"/>
    </row>
    <row r="111" spans="1:26" ht="14.5">
      <c r="A111" s="665"/>
      <c r="B111" s="666"/>
      <c r="C111" s="667"/>
      <c r="D111" s="668"/>
      <c r="E111" s="667"/>
      <c r="F111" s="668"/>
      <c r="G111" s="669"/>
      <c r="H111" s="669"/>
      <c r="I111" s="670"/>
      <c r="J111" s="671"/>
      <c r="K111" s="667"/>
      <c r="L111" s="670" t="str">
        <f t="shared" si="1"/>
        <v/>
      </c>
      <c r="M111" s="649"/>
      <c r="N111" s="650"/>
      <c r="O111" s="649"/>
      <c r="P111" s="649"/>
      <c r="Q111" s="649"/>
      <c r="R111" s="464">
        <f t="shared" si="4"/>
        <v>1459.9637035297683</v>
      </c>
      <c r="S111" s="612" t="str">
        <f t="shared" si="5"/>
        <v/>
      </c>
      <c r="T111" s="649"/>
      <c r="U111" s="649"/>
    </row>
    <row r="112" spans="1:26" ht="14.5">
      <c r="A112" s="665"/>
      <c r="B112" s="666"/>
      <c r="C112" s="667"/>
      <c r="D112" s="668"/>
      <c r="E112" s="667"/>
      <c r="F112" s="668"/>
      <c r="G112" s="669"/>
      <c r="H112" s="669"/>
      <c r="I112" s="670"/>
      <c r="J112" s="671"/>
      <c r="K112" s="667"/>
      <c r="L112" s="670" t="str">
        <f t="shared" si="1"/>
        <v/>
      </c>
      <c r="M112" s="649"/>
      <c r="N112" s="650"/>
      <c r="O112" s="649"/>
      <c r="P112" s="649"/>
      <c r="Q112" s="649"/>
      <c r="R112" s="464">
        <f t="shared" si="4"/>
        <v>1459.9637035297683</v>
      </c>
      <c r="S112" s="612" t="str">
        <f t="shared" si="5"/>
        <v/>
      </c>
      <c r="T112" s="649"/>
      <c r="U112" s="649"/>
    </row>
    <row r="113" spans="1:21" ht="14.5">
      <c r="A113" s="665"/>
      <c r="B113" s="666"/>
      <c r="C113" s="667"/>
      <c r="D113" s="668"/>
      <c r="E113" s="667"/>
      <c r="F113" s="668"/>
      <c r="G113" s="669"/>
      <c r="H113" s="669"/>
      <c r="I113" s="670"/>
      <c r="J113" s="671"/>
      <c r="K113" s="667"/>
      <c r="L113" s="670" t="str">
        <f t="shared" si="1"/>
        <v/>
      </c>
      <c r="M113" s="649"/>
      <c r="N113" s="650"/>
      <c r="O113" s="649"/>
      <c r="P113" s="649"/>
      <c r="Q113" s="649"/>
      <c r="R113" s="464">
        <f t="shared" si="4"/>
        <v>1459.9637035297683</v>
      </c>
      <c r="S113" s="612" t="str">
        <f t="shared" si="5"/>
        <v/>
      </c>
      <c r="T113" s="649"/>
      <c r="U113" s="649"/>
    </row>
    <row r="114" spans="1:21" ht="14.5">
      <c r="A114" s="665"/>
      <c r="B114" s="666"/>
      <c r="C114" s="667"/>
      <c r="D114" s="668"/>
      <c r="E114" s="667"/>
      <c r="F114" s="668"/>
      <c r="G114" s="669"/>
      <c r="H114" s="669"/>
      <c r="I114" s="670"/>
      <c r="J114" s="671"/>
      <c r="K114" s="667"/>
      <c r="L114" s="670" t="str">
        <f t="shared" si="1"/>
        <v/>
      </c>
      <c r="M114" s="649"/>
      <c r="N114" s="650"/>
      <c r="O114" s="649"/>
      <c r="P114" s="649"/>
      <c r="Q114" s="649"/>
      <c r="R114" s="464">
        <f t="shared" si="4"/>
        <v>1459.9637035297683</v>
      </c>
      <c r="S114" s="612" t="str">
        <f t="shared" si="5"/>
        <v/>
      </c>
      <c r="T114" s="649"/>
      <c r="U114" s="649"/>
    </row>
    <row r="115" spans="1:21" ht="14.5">
      <c r="A115" s="665"/>
      <c r="B115" s="666"/>
      <c r="C115" s="667"/>
      <c r="D115" s="668"/>
      <c r="E115" s="667"/>
      <c r="F115" s="668"/>
      <c r="G115" s="669"/>
      <c r="H115" s="669"/>
      <c r="I115" s="670"/>
      <c r="J115" s="671"/>
      <c r="K115" s="667"/>
      <c r="L115" s="670" t="str">
        <f t="shared" si="1"/>
        <v/>
      </c>
      <c r="M115" s="649"/>
      <c r="N115" s="650"/>
      <c r="O115" s="649"/>
      <c r="P115" s="649"/>
      <c r="Q115" s="649"/>
      <c r="R115" s="464">
        <f t="shared" si="4"/>
        <v>1459.9637035297683</v>
      </c>
      <c r="S115" s="612" t="str">
        <f t="shared" si="5"/>
        <v/>
      </c>
      <c r="T115" s="649"/>
      <c r="U115" s="649"/>
    </row>
    <row r="116" spans="1:21" ht="14.5">
      <c r="A116" s="665"/>
      <c r="B116" s="666"/>
      <c r="C116" s="667"/>
      <c r="D116" s="668"/>
      <c r="E116" s="667"/>
      <c r="F116" s="668"/>
      <c r="G116" s="669"/>
      <c r="H116" s="669"/>
      <c r="I116" s="670"/>
      <c r="J116" s="671"/>
      <c r="K116" s="667"/>
      <c r="L116" s="670" t="str">
        <f t="shared" si="1"/>
        <v/>
      </c>
      <c r="M116" s="649"/>
      <c r="N116" s="650"/>
      <c r="O116" s="649"/>
      <c r="P116" s="649"/>
      <c r="Q116" s="649"/>
      <c r="R116" s="464">
        <f t="shared" si="4"/>
        <v>1459.9637035297683</v>
      </c>
      <c r="S116" s="612" t="str">
        <f t="shared" si="5"/>
        <v/>
      </c>
      <c r="T116" s="649"/>
      <c r="U116" s="649"/>
    </row>
    <row r="117" spans="1:21" ht="14.5">
      <c r="A117" s="665"/>
      <c r="B117" s="666"/>
      <c r="C117" s="667"/>
      <c r="D117" s="668"/>
      <c r="E117" s="667"/>
      <c r="F117" s="668"/>
      <c r="G117" s="669"/>
      <c r="H117" s="669"/>
      <c r="I117" s="670"/>
      <c r="J117" s="671"/>
      <c r="K117" s="667"/>
      <c r="L117" s="670" t="str">
        <f t="shared" si="1"/>
        <v/>
      </c>
      <c r="M117" s="649"/>
      <c r="N117" s="650"/>
      <c r="O117" s="649"/>
      <c r="P117" s="649"/>
      <c r="Q117" s="649"/>
      <c r="R117" s="464">
        <f t="shared" si="4"/>
        <v>1459.9637035297683</v>
      </c>
      <c r="S117" s="612" t="str">
        <f t="shared" si="5"/>
        <v/>
      </c>
      <c r="T117" s="649"/>
      <c r="U117" s="649"/>
    </row>
    <row r="118" spans="1:21" ht="14.5">
      <c r="A118" s="665"/>
      <c r="B118" s="666"/>
      <c r="C118" s="667"/>
      <c r="D118" s="668"/>
      <c r="E118" s="667"/>
      <c r="F118" s="668"/>
      <c r="G118" s="669"/>
      <c r="H118" s="669"/>
      <c r="I118" s="670"/>
      <c r="J118" s="671"/>
      <c r="K118" s="667"/>
      <c r="L118" s="670" t="str">
        <f t="shared" si="1"/>
        <v/>
      </c>
      <c r="M118" s="649"/>
      <c r="N118" s="650"/>
      <c r="O118" s="649"/>
      <c r="P118" s="649"/>
      <c r="Q118" s="649"/>
      <c r="R118" s="464">
        <f t="shared" si="4"/>
        <v>1459.9637035297683</v>
      </c>
      <c r="S118" s="612" t="str">
        <f t="shared" si="5"/>
        <v/>
      </c>
      <c r="T118" s="649"/>
      <c r="U118" s="649"/>
    </row>
    <row r="119" spans="1:21" ht="14.5">
      <c r="A119" s="665"/>
      <c r="B119" s="666"/>
      <c r="C119" s="667"/>
      <c r="D119" s="668"/>
      <c r="E119" s="667"/>
      <c r="F119" s="668"/>
      <c r="G119" s="669"/>
      <c r="H119" s="669"/>
      <c r="I119" s="670"/>
      <c r="J119" s="671"/>
      <c r="K119" s="667"/>
      <c r="L119" s="670" t="str">
        <f t="shared" si="1"/>
        <v/>
      </c>
      <c r="M119" s="649"/>
      <c r="N119" s="650"/>
      <c r="O119" s="649"/>
      <c r="P119" s="649"/>
      <c r="Q119" s="649"/>
      <c r="R119" s="464">
        <f t="shared" si="4"/>
        <v>1459.9637035297683</v>
      </c>
      <c r="S119" s="612" t="str">
        <f t="shared" si="5"/>
        <v/>
      </c>
      <c r="T119" s="649"/>
      <c r="U119" s="649"/>
    </row>
    <row r="120" spans="1:21" ht="14.5">
      <c r="A120" s="665"/>
      <c r="B120" s="666"/>
      <c r="C120" s="667"/>
      <c r="D120" s="668"/>
      <c r="E120" s="667"/>
      <c r="F120" s="668"/>
      <c r="G120" s="669"/>
      <c r="H120" s="669"/>
      <c r="I120" s="670"/>
      <c r="J120" s="671"/>
      <c r="K120" s="667"/>
      <c r="L120" s="670" t="str">
        <f t="shared" si="1"/>
        <v/>
      </c>
      <c r="M120" s="649"/>
      <c r="N120" s="650"/>
      <c r="O120" s="649"/>
      <c r="P120" s="649"/>
      <c r="Q120" s="649"/>
      <c r="R120" s="464">
        <f t="shared" si="4"/>
        <v>1459.9637035297683</v>
      </c>
      <c r="S120" s="612" t="str">
        <f t="shared" si="5"/>
        <v/>
      </c>
      <c r="T120" s="649"/>
      <c r="U120" s="649"/>
    </row>
    <row r="121" spans="1:21" ht="14.5">
      <c r="A121" s="665"/>
      <c r="B121" s="666"/>
      <c r="C121" s="667"/>
      <c r="D121" s="668"/>
      <c r="E121" s="667"/>
      <c r="F121" s="668"/>
      <c r="G121" s="669"/>
      <c r="H121" s="669"/>
      <c r="I121" s="670"/>
      <c r="J121" s="671"/>
      <c r="K121" s="667"/>
      <c r="L121" s="670" t="str">
        <f t="shared" si="1"/>
        <v/>
      </c>
      <c r="M121" s="649"/>
      <c r="N121" s="650"/>
      <c r="O121" s="649"/>
      <c r="P121" s="649"/>
      <c r="Q121" s="649"/>
      <c r="R121" s="464">
        <f t="shared" si="4"/>
        <v>1459.9637035297683</v>
      </c>
      <c r="S121" s="612" t="str">
        <f t="shared" si="5"/>
        <v/>
      </c>
      <c r="T121" s="649"/>
      <c r="U121" s="649"/>
    </row>
    <row r="122" spans="1:21" ht="14.5">
      <c r="A122" s="665"/>
      <c r="B122" s="666"/>
      <c r="C122" s="667"/>
      <c r="D122" s="668"/>
      <c r="E122" s="667"/>
      <c r="F122" s="668"/>
      <c r="G122" s="669"/>
      <c r="H122" s="669"/>
      <c r="I122" s="670"/>
      <c r="J122" s="671"/>
      <c r="K122" s="667"/>
      <c r="L122" s="670" t="str">
        <f t="shared" si="1"/>
        <v/>
      </c>
      <c r="M122" s="649"/>
      <c r="N122" s="650"/>
      <c r="O122" s="649"/>
      <c r="P122" s="649"/>
      <c r="Q122" s="649"/>
      <c r="R122" s="464">
        <f t="shared" si="4"/>
        <v>1459.9637035297683</v>
      </c>
      <c r="S122" s="612" t="str">
        <f t="shared" si="5"/>
        <v/>
      </c>
      <c r="T122" s="649"/>
      <c r="U122" s="649"/>
    </row>
    <row r="123" spans="1:21" ht="14.5">
      <c r="A123" s="665"/>
      <c r="B123" s="666"/>
      <c r="C123" s="667"/>
      <c r="D123" s="668"/>
      <c r="E123" s="667"/>
      <c r="F123" s="668"/>
      <c r="G123" s="669"/>
      <c r="H123" s="669"/>
      <c r="I123" s="670"/>
      <c r="J123" s="671"/>
      <c r="K123" s="667"/>
      <c r="L123" s="670" t="str">
        <f t="shared" si="1"/>
        <v/>
      </c>
      <c r="M123" s="649"/>
      <c r="N123" s="650"/>
      <c r="O123" s="649"/>
      <c r="P123" s="649"/>
      <c r="Q123" s="649"/>
      <c r="R123" s="464">
        <f t="shared" si="4"/>
        <v>1459.9637035297683</v>
      </c>
      <c r="S123" s="612" t="str">
        <f t="shared" si="5"/>
        <v/>
      </c>
      <c r="T123" s="649"/>
      <c r="U123" s="649"/>
    </row>
    <row r="124" spans="1:21" ht="14.5">
      <c r="A124" s="665"/>
      <c r="B124" s="666"/>
      <c r="C124" s="667"/>
      <c r="D124" s="668"/>
      <c r="E124" s="667"/>
      <c r="F124" s="668"/>
      <c r="G124" s="669"/>
      <c r="H124" s="669"/>
      <c r="I124" s="670"/>
      <c r="J124" s="671"/>
      <c r="K124" s="667"/>
      <c r="L124" s="670" t="str">
        <f t="shared" si="1"/>
        <v/>
      </c>
      <c r="M124" s="649"/>
      <c r="N124" s="650"/>
      <c r="O124" s="649"/>
      <c r="P124" s="649"/>
      <c r="Q124" s="649"/>
      <c r="R124" s="464">
        <f t="shared" si="4"/>
        <v>1459.9637035297683</v>
      </c>
      <c r="S124" s="612" t="str">
        <f t="shared" si="5"/>
        <v/>
      </c>
      <c r="T124" s="649"/>
      <c r="U124" s="649"/>
    </row>
    <row r="125" spans="1:21" ht="14.5">
      <c r="A125" s="665"/>
      <c r="B125" s="666"/>
      <c r="C125" s="667"/>
      <c r="D125" s="668"/>
      <c r="E125" s="667"/>
      <c r="F125" s="668"/>
      <c r="G125" s="669"/>
      <c r="H125" s="669"/>
      <c r="I125" s="670"/>
      <c r="J125" s="671"/>
      <c r="K125" s="667"/>
      <c r="L125" s="670" t="str">
        <f t="shared" si="1"/>
        <v/>
      </c>
      <c r="M125" s="649"/>
      <c r="N125" s="650"/>
      <c r="O125" s="649"/>
      <c r="P125" s="649"/>
      <c r="Q125" s="649"/>
      <c r="R125" s="464">
        <f t="shared" si="4"/>
        <v>1459.9637035297683</v>
      </c>
      <c r="S125" s="612" t="str">
        <f t="shared" si="5"/>
        <v/>
      </c>
      <c r="T125" s="649"/>
      <c r="U125" s="649"/>
    </row>
    <row r="126" spans="1:21" ht="14.5">
      <c r="A126" s="665"/>
      <c r="B126" s="666"/>
      <c r="C126" s="667"/>
      <c r="D126" s="668"/>
      <c r="E126" s="667"/>
      <c r="F126" s="668"/>
      <c r="G126" s="669"/>
      <c r="H126" s="669"/>
      <c r="I126" s="670"/>
      <c r="J126" s="671"/>
      <c r="K126" s="667"/>
      <c r="L126" s="670" t="str">
        <f t="shared" si="1"/>
        <v/>
      </c>
      <c r="M126" s="649"/>
      <c r="N126" s="650"/>
      <c r="O126" s="649"/>
      <c r="P126" s="649"/>
      <c r="Q126" s="649"/>
      <c r="R126" s="464">
        <f t="shared" si="4"/>
        <v>1459.9637035297683</v>
      </c>
      <c r="S126" s="612" t="str">
        <f t="shared" si="5"/>
        <v/>
      </c>
      <c r="T126" s="649"/>
      <c r="U126" s="649"/>
    </row>
    <row r="127" spans="1:21" ht="14.5">
      <c r="A127" s="665"/>
      <c r="B127" s="666"/>
      <c r="C127" s="667"/>
      <c r="D127" s="668"/>
      <c r="E127" s="667"/>
      <c r="F127" s="668"/>
      <c r="G127" s="669"/>
      <c r="H127" s="669"/>
      <c r="I127" s="670"/>
      <c r="J127" s="671"/>
      <c r="K127" s="667"/>
      <c r="L127" s="670" t="str">
        <f t="shared" si="1"/>
        <v/>
      </c>
      <c r="M127" s="649"/>
      <c r="N127" s="650"/>
      <c r="O127" s="649"/>
      <c r="P127" s="649"/>
      <c r="Q127" s="649"/>
      <c r="R127" s="464">
        <f t="shared" si="4"/>
        <v>1459.9637035297683</v>
      </c>
      <c r="S127" s="612" t="str">
        <f t="shared" si="5"/>
        <v/>
      </c>
      <c r="T127" s="649"/>
      <c r="U127" s="649"/>
    </row>
    <row r="128" spans="1:21" ht="14.5">
      <c r="A128" s="665"/>
      <c r="B128" s="666"/>
      <c r="C128" s="667"/>
      <c r="D128" s="668"/>
      <c r="E128" s="667"/>
      <c r="F128" s="668"/>
      <c r="G128" s="669"/>
      <c r="H128" s="669"/>
      <c r="I128" s="670"/>
      <c r="J128" s="671"/>
      <c r="K128" s="667"/>
      <c r="L128" s="670" t="str">
        <f t="shared" si="1"/>
        <v/>
      </c>
      <c r="M128" s="649"/>
      <c r="N128" s="650"/>
      <c r="O128" s="649"/>
      <c r="P128" s="649"/>
      <c r="Q128" s="649"/>
      <c r="R128" s="464">
        <f t="shared" si="4"/>
        <v>1459.9637035297683</v>
      </c>
      <c r="S128" s="612" t="str">
        <f t="shared" si="5"/>
        <v/>
      </c>
      <c r="T128" s="649"/>
      <c r="U128" s="649"/>
    </row>
    <row r="129" spans="1:26" ht="14.5">
      <c r="A129" s="665"/>
      <c r="B129" s="666"/>
      <c r="C129" s="667"/>
      <c r="D129" s="668"/>
      <c r="E129" s="667"/>
      <c r="F129" s="668"/>
      <c r="G129" s="669"/>
      <c r="H129" s="669"/>
      <c r="I129" s="670"/>
      <c r="J129" s="671"/>
      <c r="K129" s="667"/>
      <c r="L129" s="670" t="str">
        <f t="shared" si="1"/>
        <v/>
      </c>
      <c r="M129" s="649"/>
      <c r="N129" s="650"/>
      <c r="O129" s="649"/>
      <c r="P129" s="649"/>
      <c r="Q129" s="649"/>
      <c r="R129" s="464">
        <f t="shared" si="4"/>
        <v>1459.9637035297683</v>
      </c>
      <c r="S129" s="612" t="str">
        <f t="shared" si="5"/>
        <v/>
      </c>
      <c r="T129" s="649"/>
      <c r="U129" s="649"/>
    </row>
    <row r="130" spans="1:26" ht="14.5">
      <c r="A130" s="665"/>
      <c r="B130" s="666"/>
      <c r="C130" s="667"/>
      <c r="D130" s="668"/>
      <c r="E130" s="667"/>
      <c r="F130" s="668"/>
      <c r="G130" s="669"/>
      <c r="H130" s="669"/>
      <c r="I130" s="670"/>
      <c r="J130" s="671"/>
      <c r="K130" s="667"/>
      <c r="L130" s="670" t="str">
        <f t="shared" si="1"/>
        <v/>
      </c>
      <c r="M130" s="649"/>
      <c r="N130" s="650"/>
      <c r="O130" s="649"/>
      <c r="P130" s="649"/>
      <c r="Q130" s="649"/>
      <c r="R130" s="464">
        <f t="shared" si="4"/>
        <v>1459.9637035297683</v>
      </c>
      <c r="S130" s="612" t="str">
        <f t="shared" si="5"/>
        <v/>
      </c>
      <c r="T130" s="649"/>
      <c r="U130" s="649"/>
    </row>
    <row r="131" spans="1:26" ht="14.5">
      <c r="A131" s="665"/>
      <c r="B131" s="666"/>
      <c r="C131" s="667"/>
      <c r="D131" s="668"/>
      <c r="E131" s="667"/>
      <c r="F131" s="668"/>
      <c r="G131" s="669"/>
      <c r="H131" s="669"/>
      <c r="I131" s="670"/>
      <c r="J131" s="671"/>
      <c r="K131" s="667"/>
      <c r="L131" s="670" t="str">
        <f t="shared" ref="L131:L194" si="6">IF(B131="Compra",(F131*G131)+10+(F131*G131*0.000325),"")</f>
        <v/>
      </c>
      <c r="M131" s="649"/>
      <c r="N131" s="650"/>
      <c r="O131" s="649"/>
      <c r="P131" s="649"/>
      <c r="Q131" s="649"/>
      <c r="R131" s="464">
        <f t="shared" si="4"/>
        <v>1459.9637035297683</v>
      </c>
      <c r="S131" s="612" t="str">
        <f t="shared" si="5"/>
        <v/>
      </c>
      <c r="T131" s="649"/>
      <c r="U131" s="649"/>
    </row>
    <row r="132" spans="1:26" ht="14.5">
      <c r="A132" s="665"/>
      <c r="B132" s="666"/>
      <c r="C132" s="667"/>
      <c r="D132" s="668"/>
      <c r="E132" s="667"/>
      <c r="F132" s="668"/>
      <c r="G132" s="669"/>
      <c r="H132" s="669"/>
      <c r="I132" s="670"/>
      <c r="J132" s="671"/>
      <c r="K132" s="667"/>
      <c r="L132" s="670" t="str">
        <f t="shared" si="6"/>
        <v/>
      </c>
      <c r="M132" s="649"/>
      <c r="N132" s="650"/>
      <c r="O132" s="649"/>
      <c r="P132" s="649"/>
      <c r="Q132" s="649"/>
      <c r="R132" s="464">
        <f t="shared" si="4"/>
        <v>1459.9637035297683</v>
      </c>
      <c r="S132" s="612" t="str">
        <f t="shared" si="5"/>
        <v/>
      </c>
      <c r="T132" s="649"/>
      <c r="U132" s="649"/>
    </row>
    <row r="133" spans="1:26" ht="14.5">
      <c r="A133" s="665"/>
      <c r="B133" s="666"/>
      <c r="C133" s="667"/>
      <c r="D133" s="668"/>
      <c r="E133" s="667"/>
      <c r="F133" s="668"/>
      <c r="G133" s="669"/>
      <c r="H133" s="669"/>
      <c r="I133" s="670"/>
      <c r="J133" s="671"/>
      <c r="K133" s="667"/>
      <c r="L133" s="670" t="str">
        <f t="shared" si="6"/>
        <v/>
      </c>
      <c r="M133" s="649"/>
      <c r="N133" s="650"/>
      <c r="O133" s="649"/>
      <c r="P133" s="649"/>
      <c r="Q133" s="649"/>
      <c r="R133" s="464">
        <f t="shared" si="4"/>
        <v>1459.9637035297683</v>
      </c>
      <c r="S133" s="612" t="str">
        <f t="shared" si="5"/>
        <v/>
      </c>
      <c r="T133" s="649"/>
      <c r="U133" s="649"/>
    </row>
    <row r="134" spans="1:26" ht="14.5">
      <c r="A134" s="665"/>
      <c r="B134" s="666"/>
      <c r="C134" s="667"/>
      <c r="D134" s="668"/>
      <c r="E134" s="667"/>
      <c r="F134" s="668"/>
      <c r="G134" s="669"/>
      <c r="H134" s="669"/>
      <c r="I134" s="670"/>
      <c r="J134" s="671"/>
      <c r="K134" s="667"/>
      <c r="L134" s="670" t="str">
        <f t="shared" si="6"/>
        <v/>
      </c>
      <c r="M134" s="649"/>
      <c r="N134" s="650"/>
      <c r="O134" s="649"/>
      <c r="P134" s="649"/>
      <c r="Q134" s="649"/>
      <c r="R134" s="464">
        <f t="shared" si="4"/>
        <v>1459.9637035297683</v>
      </c>
      <c r="S134" s="612" t="str">
        <f t="shared" si="5"/>
        <v/>
      </c>
      <c r="T134" s="649"/>
      <c r="U134" s="649"/>
    </row>
    <row r="135" spans="1:26" ht="14.5">
      <c r="A135" s="665"/>
      <c r="B135" s="666"/>
      <c r="C135" s="667"/>
      <c r="D135" s="668"/>
      <c r="E135" s="667"/>
      <c r="F135" s="668"/>
      <c r="G135" s="669"/>
      <c r="H135" s="669"/>
      <c r="I135" s="670"/>
      <c r="J135" s="671"/>
      <c r="K135" s="667"/>
      <c r="L135" s="670" t="str">
        <f t="shared" si="6"/>
        <v/>
      </c>
      <c r="M135" s="649"/>
      <c r="N135" s="650"/>
      <c r="O135" s="649"/>
      <c r="P135" s="649"/>
      <c r="Q135" s="649"/>
      <c r="R135" s="464">
        <f t="shared" si="4"/>
        <v>1459.9637035297683</v>
      </c>
      <c r="S135" s="612" t="str">
        <f t="shared" si="5"/>
        <v/>
      </c>
      <c r="T135" s="649"/>
      <c r="U135" s="649"/>
    </row>
    <row r="136" spans="1:26" ht="14.5">
      <c r="A136" s="665"/>
      <c r="B136" s="666"/>
      <c r="C136" s="667"/>
      <c r="D136" s="668"/>
      <c r="E136" s="667"/>
      <c r="F136" s="668"/>
      <c r="G136" s="669"/>
      <c r="H136" s="669"/>
      <c r="I136" s="670"/>
      <c r="J136" s="671"/>
      <c r="K136" s="667"/>
      <c r="L136" s="670" t="str">
        <f t="shared" si="6"/>
        <v/>
      </c>
      <c r="M136" s="649"/>
      <c r="N136" s="650"/>
      <c r="O136" s="649"/>
      <c r="P136" s="649"/>
      <c r="Q136" s="649"/>
      <c r="R136" s="464">
        <f t="shared" si="4"/>
        <v>1459.9637035297683</v>
      </c>
      <c r="S136" s="612" t="str">
        <f t="shared" si="5"/>
        <v/>
      </c>
      <c r="T136" s="649"/>
      <c r="U136" s="649"/>
    </row>
    <row r="137" spans="1:26" ht="14.5">
      <c r="A137" s="665"/>
      <c r="B137" s="666"/>
      <c r="C137" s="667"/>
      <c r="D137" s="668"/>
      <c r="E137" s="667"/>
      <c r="F137" s="668"/>
      <c r="G137" s="669"/>
      <c r="H137" s="669"/>
      <c r="I137" s="670"/>
      <c r="J137" s="671"/>
      <c r="K137" s="667"/>
      <c r="L137" s="670" t="str">
        <f t="shared" si="6"/>
        <v/>
      </c>
      <c r="M137" s="649"/>
      <c r="N137" s="650"/>
      <c r="O137" s="649"/>
      <c r="P137" s="649"/>
      <c r="Q137" s="649"/>
      <c r="R137" s="464">
        <f t="shared" si="4"/>
        <v>1459.9637035297683</v>
      </c>
      <c r="S137" s="612" t="str">
        <f t="shared" si="5"/>
        <v/>
      </c>
      <c r="T137" s="649"/>
      <c r="U137" s="649"/>
    </row>
    <row r="138" spans="1:26" ht="14.5">
      <c r="A138" s="665"/>
      <c r="B138" s="666"/>
      <c r="C138" s="667"/>
      <c r="D138" s="668"/>
      <c r="E138" s="667"/>
      <c r="F138" s="668"/>
      <c r="G138" s="669"/>
      <c r="H138" s="669"/>
      <c r="I138" s="670"/>
      <c r="J138" s="671"/>
      <c r="K138" s="667"/>
      <c r="L138" s="670" t="str">
        <f t="shared" si="6"/>
        <v/>
      </c>
      <c r="M138" s="649"/>
      <c r="N138" s="650"/>
      <c r="O138" s="649"/>
      <c r="P138" s="649"/>
      <c r="Q138" s="649"/>
      <c r="R138" s="464">
        <f t="shared" si="4"/>
        <v>1459.9637035297683</v>
      </c>
      <c r="S138" s="612" t="str">
        <f t="shared" si="5"/>
        <v/>
      </c>
      <c r="T138" s="649"/>
      <c r="U138" s="649"/>
    </row>
    <row r="139" spans="1:26" ht="14.5">
      <c r="A139" s="665"/>
      <c r="B139" s="666"/>
      <c r="C139" s="667"/>
      <c r="D139" s="668"/>
      <c r="E139" s="667"/>
      <c r="F139" s="668"/>
      <c r="G139" s="669"/>
      <c r="H139" s="669"/>
      <c r="I139" s="670"/>
      <c r="J139" s="671"/>
      <c r="K139" s="667"/>
      <c r="L139" s="670" t="str">
        <f t="shared" si="6"/>
        <v/>
      </c>
      <c r="M139" s="649"/>
      <c r="N139" s="650"/>
      <c r="O139" s="649"/>
      <c r="P139" s="649"/>
      <c r="Q139" s="649"/>
      <c r="R139" s="464">
        <f t="shared" si="4"/>
        <v>1459.9637035297683</v>
      </c>
      <c r="S139" s="612" t="str">
        <f t="shared" si="5"/>
        <v/>
      </c>
      <c r="T139" s="649"/>
      <c r="U139" s="649"/>
    </row>
    <row r="140" spans="1:26" ht="14.5">
      <c r="A140" s="665"/>
      <c r="B140" s="666"/>
      <c r="C140" s="667"/>
      <c r="D140" s="668"/>
      <c r="E140" s="667"/>
      <c r="F140" s="668"/>
      <c r="G140" s="669"/>
      <c r="H140" s="669"/>
      <c r="I140" s="670"/>
      <c r="J140" s="671"/>
      <c r="K140" s="667"/>
      <c r="L140" s="670" t="str">
        <f t="shared" si="6"/>
        <v/>
      </c>
      <c r="M140" s="649"/>
      <c r="N140" s="650"/>
      <c r="O140" s="649"/>
      <c r="P140" s="649"/>
      <c r="Q140" s="649"/>
      <c r="R140" s="464">
        <f t="shared" si="4"/>
        <v>1459.9637035297683</v>
      </c>
      <c r="S140" s="612" t="str">
        <f t="shared" si="5"/>
        <v/>
      </c>
      <c r="T140" s="649"/>
      <c r="U140" s="649"/>
    </row>
    <row r="141" spans="1:26" ht="14.5">
      <c r="A141" s="665"/>
      <c r="B141" s="666"/>
      <c r="C141" s="667"/>
      <c r="D141" s="668"/>
      <c r="E141" s="667"/>
      <c r="F141" s="668"/>
      <c r="G141" s="669"/>
      <c r="H141" s="669"/>
      <c r="I141" s="670"/>
      <c r="J141" s="671"/>
      <c r="K141" s="667"/>
      <c r="L141" s="670" t="str">
        <f t="shared" si="6"/>
        <v/>
      </c>
      <c r="M141" s="649"/>
      <c r="N141" s="650"/>
      <c r="O141" s="650"/>
      <c r="P141" s="650"/>
      <c r="Q141" s="650"/>
      <c r="R141" s="464">
        <f t="shared" si="4"/>
        <v>1459.9637035297683</v>
      </c>
      <c r="S141" s="612" t="str">
        <f t="shared" si="5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/>
      <c r="B142" s="666"/>
      <c r="C142" s="667"/>
      <c r="D142" s="668"/>
      <c r="E142" s="667"/>
      <c r="F142" s="668"/>
      <c r="G142" s="669"/>
      <c r="H142" s="669"/>
      <c r="I142" s="670"/>
      <c r="J142" s="671"/>
      <c r="K142" s="667"/>
      <c r="L142" s="670" t="str">
        <f t="shared" si="6"/>
        <v/>
      </c>
      <c r="M142" s="649"/>
      <c r="N142" s="650"/>
      <c r="O142" s="649"/>
      <c r="P142" s="649"/>
      <c r="Q142" s="649"/>
      <c r="R142" s="464">
        <f t="shared" si="4"/>
        <v>1459.9637035297683</v>
      </c>
      <c r="S142" s="612" t="str">
        <f t="shared" si="5"/>
        <v/>
      </c>
      <c r="T142" s="649"/>
      <c r="U142" s="649"/>
    </row>
    <row r="143" spans="1:26" ht="14.5">
      <c r="A143" s="665"/>
      <c r="B143" s="666"/>
      <c r="C143" s="667"/>
      <c r="D143" s="668"/>
      <c r="E143" s="667"/>
      <c r="F143" s="668"/>
      <c r="G143" s="669"/>
      <c r="H143" s="669"/>
      <c r="I143" s="670"/>
      <c r="J143" s="671"/>
      <c r="K143" s="667"/>
      <c r="L143" s="670" t="str">
        <f t="shared" si="6"/>
        <v/>
      </c>
      <c r="M143" s="649"/>
      <c r="N143" s="650"/>
      <c r="O143" s="649"/>
      <c r="P143" s="649"/>
      <c r="Q143" s="649"/>
      <c r="R143" s="464">
        <f t="shared" si="4"/>
        <v>1459.9637035297683</v>
      </c>
      <c r="S143" s="612" t="str">
        <f t="shared" si="5"/>
        <v/>
      </c>
      <c r="T143" s="649"/>
      <c r="U143" s="649"/>
    </row>
    <row r="144" spans="1:26" ht="14.5">
      <c r="A144" s="665"/>
      <c r="B144" s="666"/>
      <c r="C144" s="667"/>
      <c r="D144" s="668"/>
      <c r="E144" s="667"/>
      <c r="F144" s="668"/>
      <c r="G144" s="669"/>
      <c r="H144" s="669"/>
      <c r="I144" s="670"/>
      <c r="J144" s="671"/>
      <c r="K144" s="667"/>
      <c r="L144" s="670" t="str">
        <f t="shared" si="6"/>
        <v/>
      </c>
      <c r="M144" s="649"/>
      <c r="N144" s="650"/>
      <c r="O144" s="649"/>
      <c r="P144" s="649"/>
      <c r="Q144" s="649"/>
      <c r="R144" s="464">
        <f t="shared" si="4"/>
        <v>1459.9637035297683</v>
      </c>
      <c r="S144" s="612" t="str">
        <f t="shared" si="5"/>
        <v/>
      </c>
      <c r="T144" s="649"/>
      <c r="U144" s="649"/>
    </row>
    <row r="145" spans="1:21" ht="14.5">
      <c r="A145" s="665"/>
      <c r="B145" s="666"/>
      <c r="C145" s="667"/>
      <c r="D145" s="668"/>
      <c r="E145" s="667"/>
      <c r="F145" s="668"/>
      <c r="G145" s="669"/>
      <c r="H145" s="669"/>
      <c r="I145" s="670"/>
      <c r="J145" s="671"/>
      <c r="K145" s="667"/>
      <c r="L145" s="670" t="str">
        <f t="shared" si="6"/>
        <v/>
      </c>
      <c r="M145" s="649"/>
      <c r="N145" s="650"/>
      <c r="O145" s="649"/>
      <c r="P145" s="649"/>
      <c r="Q145" s="649"/>
      <c r="R145" s="464">
        <f t="shared" si="4"/>
        <v>1459.9637035297683</v>
      </c>
      <c r="S145" s="612" t="str">
        <f t="shared" si="5"/>
        <v/>
      </c>
      <c r="T145" s="649"/>
      <c r="U145" s="649"/>
    </row>
    <row r="146" spans="1:21" ht="14.5">
      <c r="A146" s="665"/>
      <c r="B146" s="666"/>
      <c r="C146" s="667"/>
      <c r="D146" s="668"/>
      <c r="E146" s="667"/>
      <c r="F146" s="668"/>
      <c r="G146" s="669"/>
      <c r="H146" s="669"/>
      <c r="I146" s="670"/>
      <c r="J146" s="671"/>
      <c r="K146" s="667"/>
      <c r="L146" s="670" t="str">
        <f t="shared" si="6"/>
        <v/>
      </c>
      <c r="M146" s="649"/>
      <c r="N146" s="650"/>
      <c r="O146" s="649"/>
      <c r="P146" s="649"/>
      <c r="Q146" s="649"/>
      <c r="R146" s="464">
        <f t="shared" si="4"/>
        <v>1459.9637035297683</v>
      </c>
      <c r="S146" s="612" t="str">
        <f t="shared" si="5"/>
        <v/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6"/>
        <v/>
      </c>
      <c r="M147" s="649"/>
      <c r="N147" s="650"/>
      <c r="O147" s="649"/>
      <c r="P147" s="649"/>
      <c r="Q147" s="649"/>
      <c r="R147" s="464">
        <f t="shared" si="4"/>
        <v>1459.9637035297683</v>
      </c>
      <c r="S147" s="612" t="str">
        <f t="shared" si="5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6"/>
        <v/>
      </c>
      <c r="M148" s="649"/>
      <c r="N148" s="650"/>
      <c r="O148" s="649"/>
      <c r="P148" s="649"/>
      <c r="Q148" s="649"/>
      <c r="R148" s="464">
        <f t="shared" si="4"/>
        <v>1459.9637035297683</v>
      </c>
      <c r="S148" s="612" t="str">
        <f t="shared" si="5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6"/>
        <v/>
      </c>
      <c r="M149" s="649"/>
      <c r="N149" s="650"/>
      <c r="O149" s="649"/>
      <c r="P149" s="649"/>
      <c r="Q149" s="649"/>
      <c r="R149" s="464">
        <f t="shared" si="4"/>
        <v>1459.9637035297683</v>
      </c>
      <c r="S149" s="612" t="str">
        <f t="shared" si="5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6"/>
        <v/>
      </c>
      <c r="M150" s="649"/>
      <c r="N150" s="650"/>
      <c r="O150" s="649"/>
      <c r="P150" s="649"/>
      <c r="Q150" s="649"/>
      <c r="R150" s="464">
        <f t="shared" si="4"/>
        <v>1459.9637035297683</v>
      </c>
      <c r="S150" s="612" t="str">
        <f t="shared" si="5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6"/>
        <v/>
      </c>
      <c r="M151" s="649"/>
      <c r="N151" s="650"/>
      <c r="O151" s="649"/>
      <c r="P151" s="649"/>
      <c r="Q151" s="649"/>
      <c r="R151" s="464">
        <f t="shared" si="4"/>
        <v>1459.9637035297683</v>
      </c>
      <c r="S151" s="612" t="str">
        <f t="shared" si="5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6"/>
        <v/>
      </c>
      <c r="M152" s="649"/>
      <c r="N152" s="650"/>
      <c r="O152" s="649"/>
      <c r="P152" s="649"/>
      <c r="Q152" s="649"/>
      <c r="R152" s="464">
        <f t="shared" si="4"/>
        <v>1459.9637035297683</v>
      </c>
      <c r="S152" s="612" t="str">
        <f t="shared" si="5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6"/>
        <v/>
      </c>
      <c r="M153" s="649"/>
      <c r="N153" s="650"/>
      <c r="O153" s="649"/>
      <c r="P153" s="649"/>
      <c r="Q153" s="649"/>
      <c r="R153" s="464">
        <f t="shared" si="4"/>
        <v>1459.9637035297683</v>
      </c>
      <c r="S153" s="612" t="str">
        <f t="shared" si="5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6"/>
        <v/>
      </c>
      <c r="M154" s="649"/>
      <c r="N154" s="650"/>
      <c r="O154" s="649"/>
      <c r="P154" s="649"/>
      <c r="Q154" s="649"/>
      <c r="R154" s="464">
        <f t="shared" si="4"/>
        <v>1459.9637035297683</v>
      </c>
      <c r="S154" s="612" t="str">
        <f t="shared" si="5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6"/>
        <v/>
      </c>
      <c r="M155" s="649"/>
      <c r="N155" s="650"/>
      <c r="O155" s="649"/>
      <c r="P155" s="649"/>
      <c r="Q155" s="649"/>
      <c r="R155" s="464">
        <f t="shared" si="4"/>
        <v>1459.9637035297683</v>
      </c>
      <c r="S155" s="612" t="str">
        <f t="shared" si="5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6"/>
        <v/>
      </c>
      <c r="M156" s="649"/>
      <c r="N156" s="650"/>
      <c r="O156" s="649"/>
      <c r="P156" s="649"/>
      <c r="Q156" s="649"/>
      <c r="R156" s="464">
        <f t="shared" si="4"/>
        <v>1459.9637035297683</v>
      </c>
      <c r="S156" s="612" t="str">
        <f t="shared" si="5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6"/>
        <v/>
      </c>
      <c r="M157" s="649"/>
      <c r="N157" s="650"/>
      <c r="O157" s="649"/>
      <c r="P157" s="649"/>
      <c r="Q157" s="649"/>
      <c r="R157" s="464">
        <f t="shared" si="4"/>
        <v>1459.9637035297683</v>
      </c>
      <c r="S157" s="612" t="str">
        <f t="shared" si="5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6"/>
        <v/>
      </c>
      <c r="M158" s="649"/>
      <c r="N158" s="650"/>
      <c r="O158" s="649"/>
      <c r="P158" s="649"/>
      <c r="Q158" s="649"/>
      <c r="R158" s="464">
        <f t="shared" si="4"/>
        <v>1459.9637035297683</v>
      </c>
      <c r="S158" s="612" t="str">
        <f t="shared" si="5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6"/>
        <v/>
      </c>
      <c r="M159" s="649"/>
      <c r="N159" s="650"/>
      <c r="O159" s="649"/>
      <c r="P159" s="649"/>
      <c r="Q159" s="649"/>
      <c r="R159" s="464">
        <f t="shared" si="4"/>
        <v>1459.9637035297683</v>
      </c>
      <c r="S159" s="612" t="str">
        <f t="shared" si="5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6"/>
        <v/>
      </c>
      <c r="M160" s="649"/>
      <c r="N160" s="650"/>
      <c r="O160" s="649"/>
      <c r="P160" s="649"/>
      <c r="Q160" s="649"/>
      <c r="R160" s="464">
        <f t="shared" si="4"/>
        <v>1459.9637035297683</v>
      </c>
      <c r="S160" s="612" t="str">
        <f t="shared" si="5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6"/>
        <v/>
      </c>
      <c r="M161" s="649"/>
      <c r="N161" s="650"/>
      <c r="O161" s="649"/>
      <c r="P161" s="649"/>
      <c r="Q161" s="649"/>
      <c r="R161" s="464">
        <f t="shared" si="4"/>
        <v>1459.9637035297683</v>
      </c>
      <c r="S161" s="612" t="str">
        <f t="shared" si="5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6"/>
        <v/>
      </c>
      <c r="M162" s="649"/>
      <c r="N162" s="650"/>
      <c r="O162" s="649"/>
      <c r="P162" s="649"/>
      <c r="Q162" s="649"/>
      <c r="R162" s="464">
        <f t="shared" si="4"/>
        <v>1459.9637035297683</v>
      </c>
      <c r="S162" s="612" t="str">
        <f t="shared" si="5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6"/>
        <v/>
      </c>
      <c r="M163" s="649"/>
      <c r="N163" s="650"/>
      <c r="O163" s="649"/>
      <c r="P163" s="649"/>
      <c r="Q163" s="649"/>
      <c r="R163" s="464">
        <f t="shared" si="4"/>
        <v>1459.9637035297683</v>
      </c>
      <c r="S163" s="612" t="str">
        <f t="shared" si="5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6"/>
        <v/>
      </c>
      <c r="M164" s="649"/>
      <c r="N164" s="650"/>
      <c r="O164" s="649"/>
      <c r="P164" s="649"/>
      <c r="Q164" s="649"/>
      <c r="R164" s="464">
        <f t="shared" si="4"/>
        <v>1459.9637035297683</v>
      </c>
      <c r="S164" s="612" t="str">
        <f t="shared" si="5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6"/>
        <v/>
      </c>
      <c r="M165" s="649"/>
      <c r="N165" s="650"/>
      <c r="O165" s="649"/>
      <c r="P165" s="649"/>
      <c r="Q165" s="649"/>
      <c r="R165" s="464">
        <f t="shared" si="4"/>
        <v>1459.9637035297683</v>
      </c>
      <c r="S165" s="612" t="str">
        <f t="shared" si="5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6"/>
        <v/>
      </c>
      <c r="M166" s="649"/>
      <c r="N166" s="650"/>
      <c r="O166" s="649"/>
      <c r="P166" s="649"/>
      <c r="Q166" s="649"/>
      <c r="R166" s="464">
        <f t="shared" si="4"/>
        <v>1459.9637035297683</v>
      </c>
      <c r="S166" s="612" t="str">
        <f t="shared" si="5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6"/>
        <v/>
      </c>
      <c r="M167" s="649"/>
      <c r="N167" s="650"/>
      <c r="O167" s="649"/>
      <c r="P167" s="649"/>
      <c r="Q167" s="649"/>
      <c r="R167" s="464">
        <f t="shared" si="4"/>
        <v>1459.9637035297683</v>
      </c>
      <c r="S167" s="612" t="str">
        <f t="shared" si="5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6"/>
        <v/>
      </c>
      <c r="M168" s="649"/>
      <c r="N168" s="650"/>
      <c r="O168" s="649"/>
      <c r="P168" s="649"/>
      <c r="Q168" s="649"/>
      <c r="R168" s="464">
        <f t="shared" si="4"/>
        <v>1459.9637035297683</v>
      </c>
      <c r="S168" s="612" t="str">
        <f t="shared" si="5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6"/>
        <v/>
      </c>
      <c r="M169" s="649"/>
      <c r="N169" s="650"/>
      <c r="O169" s="649"/>
      <c r="P169" s="649"/>
      <c r="Q169" s="649"/>
      <c r="R169" s="464">
        <f t="shared" si="4"/>
        <v>1459.9637035297683</v>
      </c>
      <c r="S169" s="612" t="str">
        <f t="shared" si="5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6"/>
        <v/>
      </c>
      <c r="M170" s="649"/>
      <c r="N170" s="650"/>
      <c r="O170" s="649"/>
      <c r="P170" s="649"/>
      <c r="Q170" s="649"/>
      <c r="R170" s="464">
        <f t="shared" si="4"/>
        <v>1459.9637035297683</v>
      </c>
      <c r="S170" s="612" t="str">
        <f t="shared" si="5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6"/>
        <v/>
      </c>
      <c r="M171" s="649"/>
      <c r="N171" s="650"/>
      <c r="O171" s="649"/>
      <c r="P171" s="649"/>
      <c r="Q171" s="649"/>
      <c r="R171" s="464">
        <f t="shared" si="4"/>
        <v>1459.9637035297683</v>
      </c>
      <c r="S171" s="612" t="str">
        <f t="shared" si="5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6"/>
        <v/>
      </c>
      <c r="M172" s="649"/>
      <c r="N172" s="650"/>
      <c r="O172" s="649"/>
      <c r="P172" s="649"/>
      <c r="Q172" s="649"/>
      <c r="R172" s="464">
        <f t="shared" si="4"/>
        <v>1459.9637035297683</v>
      </c>
      <c r="S172" s="612" t="str">
        <f t="shared" si="5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6"/>
        <v/>
      </c>
      <c r="M173" s="649"/>
      <c r="N173" s="650"/>
      <c r="O173" s="649"/>
      <c r="P173" s="649"/>
      <c r="Q173" s="649"/>
      <c r="R173" s="464">
        <f t="shared" si="4"/>
        <v>1459.9637035297683</v>
      </c>
      <c r="S173" s="612" t="str">
        <f t="shared" si="5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6"/>
        <v/>
      </c>
      <c r="M174" s="649"/>
      <c r="N174" s="650"/>
      <c r="O174" s="649"/>
      <c r="P174" s="649"/>
      <c r="Q174" s="649"/>
      <c r="R174" s="464">
        <f t="shared" si="4"/>
        <v>1459.9637035297683</v>
      </c>
      <c r="S174" s="612" t="str">
        <f t="shared" si="5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6"/>
        <v/>
      </c>
      <c r="M175" s="649"/>
      <c r="N175" s="650"/>
      <c r="O175" s="649"/>
      <c r="P175" s="649"/>
      <c r="Q175" s="649"/>
      <c r="R175" s="464">
        <f t="shared" si="4"/>
        <v>1459.9637035297683</v>
      </c>
      <c r="S175" s="612" t="str">
        <f t="shared" si="5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6"/>
        <v/>
      </c>
      <c r="M176" s="649"/>
      <c r="N176" s="650"/>
      <c r="O176" s="649"/>
      <c r="P176" s="649"/>
      <c r="Q176" s="649"/>
      <c r="R176" s="464">
        <f t="shared" si="4"/>
        <v>1459.9637035297683</v>
      </c>
      <c r="S176" s="612" t="str">
        <f t="shared" si="5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6"/>
        <v/>
      </c>
      <c r="M177" s="649"/>
      <c r="N177" s="650"/>
      <c r="O177" s="649"/>
      <c r="P177" s="649"/>
      <c r="Q177" s="649"/>
      <c r="R177" s="464">
        <f t="shared" si="4"/>
        <v>1459.9637035297683</v>
      </c>
      <c r="S177" s="612" t="str">
        <f t="shared" si="5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6"/>
        <v/>
      </c>
      <c r="M178" s="649"/>
      <c r="N178" s="650"/>
      <c r="O178" s="649"/>
      <c r="P178" s="649"/>
      <c r="Q178" s="649"/>
      <c r="R178" s="464">
        <f t="shared" si="4"/>
        <v>1459.9637035297683</v>
      </c>
      <c r="S178" s="612" t="str">
        <f t="shared" si="5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6"/>
        <v/>
      </c>
      <c r="M179" s="649"/>
      <c r="N179" s="650"/>
      <c r="O179" s="649"/>
      <c r="P179" s="649"/>
      <c r="Q179" s="649"/>
      <c r="R179" s="464">
        <f t="shared" si="4"/>
        <v>1459.9637035297683</v>
      </c>
      <c r="S179" s="612" t="str">
        <f t="shared" si="5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6"/>
        <v/>
      </c>
      <c r="M180" s="649"/>
      <c r="N180" s="650"/>
      <c r="O180" s="649"/>
      <c r="P180" s="649"/>
      <c r="Q180" s="649"/>
      <c r="R180" s="464">
        <f t="shared" si="4"/>
        <v>1459.9637035297683</v>
      </c>
      <c r="S180" s="612" t="str">
        <f t="shared" si="5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6"/>
        <v/>
      </c>
      <c r="M181" s="649"/>
      <c r="N181" s="650"/>
      <c r="O181" s="649"/>
      <c r="P181" s="649"/>
      <c r="Q181" s="649"/>
      <c r="R181" s="464">
        <f t="shared" si="4"/>
        <v>1459.9637035297683</v>
      </c>
      <c r="S181" s="612" t="str">
        <f t="shared" si="5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6"/>
        <v/>
      </c>
      <c r="M182" s="649"/>
      <c r="N182" s="650"/>
      <c r="O182" s="649"/>
      <c r="P182" s="649"/>
      <c r="Q182" s="649"/>
      <c r="R182" s="464">
        <f t="shared" si="4"/>
        <v>1459.9637035297683</v>
      </c>
      <c r="S182" s="612" t="str">
        <f t="shared" si="5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6"/>
        <v/>
      </c>
      <c r="M183" s="649"/>
      <c r="N183" s="650"/>
      <c r="O183" s="649"/>
      <c r="P183" s="649"/>
      <c r="Q183" s="649"/>
      <c r="R183" s="464">
        <f t="shared" si="4"/>
        <v>1459.9637035297683</v>
      </c>
      <c r="S183" s="612" t="str">
        <f t="shared" si="5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6"/>
        <v/>
      </c>
      <c r="M184" s="649"/>
      <c r="N184" s="650"/>
      <c r="O184" s="649"/>
      <c r="P184" s="649"/>
      <c r="Q184" s="649"/>
      <c r="R184" s="464">
        <f t="shared" si="4"/>
        <v>1459.9637035297683</v>
      </c>
      <c r="S184" s="612" t="str">
        <f t="shared" si="5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6"/>
        <v/>
      </c>
      <c r="M185" s="649"/>
      <c r="N185" s="650"/>
      <c r="O185" s="649"/>
      <c r="P185" s="649"/>
      <c r="Q185" s="649"/>
      <c r="R185" s="464">
        <f t="shared" si="4"/>
        <v>1459.9637035297683</v>
      </c>
      <c r="S185" s="612" t="str">
        <f t="shared" si="5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6"/>
        <v/>
      </c>
      <c r="M186" s="649"/>
      <c r="N186" s="650"/>
      <c r="O186" s="649"/>
      <c r="P186" s="649"/>
      <c r="Q186" s="649"/>
      <c r="R186" s="464">
        <f t="shared" si="4"/>
        <v>1459.9637035297683</v>
      </c>
      <c r="S186" s="612" t="str">
        <f t="shared" si="5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6"/>
        <v/>
      </c>
      <c r="M187" s="649"/>
      <c r="N187" s="650"/>
      <c r="O187" s="649"/>
      <c r="P187" s="649"/>
      <c r="Q187" s="649"/>
      <c r="R187" s="464">
        <f t="shared" si="4"/>
        <v>1459.9637035297683</v>
      </c>
      <c r="S187" s="612" t="str">
        <f t="shared" si="5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6"/>
        <v/>
      </c>
      <c r="M188" s="649"/>
      <c r="N188" s="650"/>
      <c r="O188" s="649"/>
      <c r="P188" s="649"/>
      <c r="Q188" s="649"/>
      <c r="R188" s="464">
        <f t="shared" si="4"/>
        <v>1459.9637035297683</v>
      </c>
      <c r="S188" s="612" t="str">
        <f t="shared" si="5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6"/>
        <v/>
      </c>
      <c r="M189" s="649"/>
      <c r="N189" s="650"/>
      <c r="O189" s="649"/>
      <c r="P189" s="649"/>
      <c r="Q189" s="649"/>
      <c r="R189" s="464">
        <f t="shared" si="4"/>
        <v>1459.9637035297683</v>
      </c>
      <c r="S189" s="612" t="str">
        <f t="shared" si="5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6"/>
        <v/>
      </c>
      <c r="M190" s="649"/>
      <c r="N190" s="650"/>
      <c r="O190" s="649"/>
      <c r="P190" s="649"/>
      <c r="Q190" s="649"/>
      <c r="R190" s="464">
        <f t="shared" si="4"/>
        <v>1459.9637035297683</v>
      </c>
      <c r="S190" s="612" t="str">
        <f t="shared" si="5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6"/>
        <v/>
      </c>
      <c r="M191" s="649"/>
      <c r="N191" s="650"/>
      <c r="O191" s="649"/>
      <c r="P191" s="649"/>
      <c r="Q191" s="649"/>
      <c r="R191" s="464">
        <f t="shared" si="4"/>
        <v>1459.9637035297683</v>
      </c>
      <c r="S191" s="612" t="str">
        <f t="shared" si="5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6"/>
        <v/>
      </c>
      <c r="M192" s="649"/>
      <c r="N192" s="650"/>
      <c r="O192" s="649"/>
      <c r="P192" s="649"/>
      <c r="Q192" s="649"/>
      <c r="R192" s="464">
        <f t="shared" si="4"/>
        <v>1459.9637035297683</v>
      </c>
      <c r="S192" s="612" t="str">
        <f t="shared" si="5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6"/>
        <v/>
      </c>
      <c r="M193" s="649"/>
      <c r="N193" s="650"/>
      <c r="O193" s="649"/>
      <c r="P193" s="649"/>
      <c r="Q193" s="649"/>
      <c r="R193" s="464">
        <f t="shared" si="4"/>
        <v>1459.9637035297683</v>
      </c>
      <c r="S193" s="612" t="str">
        <f t="shared" si="5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6"/>
        <v/>
      </c>
      <c r="M194" s="649"/>
      <c r="N194" s="650"/>
      <c r="O194" s="649"/>
      <c r="P194" s="649"/>
      <c r="Q194" s="649"/>
      <c r="R194" s="464">
        <f t="shared" si="4"/>
        <v>1459.9637035297683</v>
      </c>
      <c r="S194" s="612" t="str">
        <f t="shared" si="5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ref="L195:L258" si="7">IF(B195="Compra",(F195*G195)+10+(F195*G195*0.000325),"")</f>
        <v/>
      </c>
      <c r="M195" s="649"/>
      <c r="N195" s="650"/>
      <c r="O195" s="649"/>
      <c r="P195" s="649"/>
      <c r="Q195" s="649"/>
      <c r="R195" s="464">
        <f t="shared" si="4"/>
        <v>1459.9637035297683</v>
      </c>
      <c r="S195" s="612" t="str">
        <f t="shared" si="5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7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7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7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7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7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7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7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7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7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7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7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7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7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7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7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7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7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7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7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7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7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7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7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7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7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7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7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7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7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7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7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7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7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7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7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7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7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7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7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7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7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7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7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7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7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7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7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7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7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7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7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7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7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7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7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7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7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7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7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7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7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7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7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ref="L259:L300" si="8">IF(B259="Compra",(F259*G259)+10+(F259*G259*0.000325),"")</f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8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8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8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8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8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8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8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8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8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8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8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8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8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8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8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8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8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8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8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8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8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8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8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8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8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8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8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8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8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8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8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8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8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8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8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8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8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8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8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8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8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9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9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9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9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9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9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9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9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9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9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9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9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9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9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9"/>
        <v/>
      </c>
      <c r="M315" s="649"/>
      <c r="N315" s="650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9"/>
        <v/>
      </c>
      <c r="M316" s="649"/>
      <c r="N316" s="650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9"/>
        <v/>
      </c>
      <c r="M317" s="649"/>
      <c r="N317" s="650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9"/>
        <v/>
      </c>
      <c r="M318" s="649"/>
      <c r="N318" s="650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9"/>
        <v/>
      </c>
      <c r="M319" s="649"/>
      <c r="N319" s="650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9"/>
        <v/>
      </c>
      <c r="M320" s="649"/>
      <c r="N320" s="650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9"/>
        <v/>
      </c>
      <c r="M321" s="649"/>
      <c r="N321" s="650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9"/>
        <v/>
      </c>
      <c r="M322" s="649"/>
      <c r="N322" s="650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9"/>
        <v/>
      </c>
      <c r="M323" s="649"/>
      <c r="N323" s="650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9"/>
        <v/>
      </c>
      <c r="M324" s="649"/>
      <c r="N324" s="650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9"/>
        <v/>
      </c>
      <c r="M325" s="649"/>
      <c r="N325" s="650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9"/>
        <v/>
      </c>
      <c r="M326" s="649"/>
      <c r="N326" s="650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9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9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9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9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9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9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9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9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9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9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9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9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9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9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9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9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9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9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9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9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9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9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9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9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9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9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9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9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9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9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9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9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9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9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9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9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9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9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9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9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9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9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9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9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9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9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9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9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9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9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9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9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9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9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9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9"/>
        <v/>
      </c>
      <c r="M382" s="649"/>
      <c r="N382" s="649"/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9"/>
        <v/>
      </c>
      <c r="M383" s="649"/>
      <c r="N383" s="649"/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9"/>
        <v/>
      </c>
      <c r="M384" s="649"/>
      <c r="N384" s="649"/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9"/>
        <v/>
      </c>
      <c r="M385" s="649"/>
      <c r="N385" s="649"/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9"/>
        <v/>
      </c>
      <c r="M386" s="649"/>
      <c r="N386" s="649"/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9"/>
        <v/>
      </c>
      <c r="M387" s="649"/>
      <c r="N387" s="649"/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9"/>
        <v/>
      </c>
      <c r="M388" s="649"/>
      <c r="N388" s="649"/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9"/>
        <v/>
      </c>
      <c r="M389" s="649"/>
      <c r="N389" s="649"/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9"/>
        <v/>
      </c>
      <c r="M390" s="649"/>
      <c r="N390" s="649"/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9"/>
        <v/>
      </c>
      <c r="M391" s="649"/>
      <c r="N391" s="649"/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9"/>
        <v/>
      </c>
      <c r="M392" s="649"/>
      <c r="N392" s="649"/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9"/>
        <v/>
      </c>
      <c r="M393" s="649"/>
      <c r="N393" s="649"/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9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9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9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9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9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M48:N48"/>
    <mergeCell ref="M53:N53"/>
    <mergeCell ref="M58:N58"/>
    <mergeCell ref="J1:K1"/>
    <mergeCell ref="L1:L2"/>
    <mergeCell ref="M23:N23"/>
    <mergeCell ref="M28:N28"/>
    <mergeCell ref="M33:N33"/>
    <mergeCell ref="M38:N38"/>
    <mergeCell ref="M43:N43"/>
    <mergeCell ref="R1:R2"/>
    <mergeCell ref="M3:N3"/>
    <mergeCell ref="M8:N8"/>
    <mergeCell ref="M13:N13"/>
    <mergeCell ref="M18:N18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Operações 2021</vt:lpstr>
      <vt:lpstr>CÁLCULOS</vt:lpstr>
      <vt:lpstr>CÁLCULOS (2)</vt:lpstr>
      <vt:lpstr>CÁLCULOS (3)</vt:lpstr>
      <vt:lpstr>Intraday</vt:lpstr>
      <vt:lpstr>Operações 2020</vt:lpstr>
      <vt:lpstr>Antes de Comprar!!!</vt:lpstr>
      <vt:lpstr>Operações 2019</vt:lpstr>
      <vt:lpstr>Operações 2018</vt:lpstr>
      <vt:lpstr>Operações 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ESMERALDO OLIVEIRA E SILVA</dc:creator>
  <cp:keywords/>
  <dc:description/>
  <cp:lastModifiedBy>Alexandre Esmeraldo Oliveira e Silva</cp:lastModifiedBy>
  <cp:revision/>
  <dcterms:created xsi:type="dcterms:W3CDTF">2016-12-06T17:11:05Z</dcterms:created>
  <dcterms:modified xsi:type="dcterms:W3CDTF">2023-06-13T14:38:41Z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2021-12-23T17:22:56Z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c56247da-dd75-45c6-8fa8-ce07ec5f4dbb</vt:lpwstr>
  </property>
  <property fmtid="{D5CDD505-2E9C-101B-9397-08002B2CF9AE}" pid="8" name="MSIP_Label_40881dc9-f7f2-41de-a334-ceff3dc15b31_ContentBits">
    <vt:lpwstr>1</vt:lpwstr>
  </property>
</Properties>
</file>